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FU-SRV-3\ESDstaff\Huo\3. paper\PycharmProjects\plastics_optimization\data\raw\"/>
    </mc:Choice>
  </mc:AlternateContent>
  <bookViews>
    <workbookView xWindow="0" yWindow="0" windowWidth="19200" windowHeight="6180" firstSheet="2" activeTab="3"/>
  </bookViews>
  <sheets>
    <sheet name="Sheet1" sheetId="1" state="hidden" r:id="rId1"/>
    <sheet name="production_sector" sheetId="12" r:id="rId2"/>
    <sheet name="pivot" sheetId="15" r:id="rId3"/>
    <sheet name="substitution_factor_subsector" sheetId="8" r:id="rId4"/>
    <sheet name="share_subsector" sheetId="14" r:id="rId5"/>
    <sheet name="production_type_sector" sheetId="11" r:id="rId6"/>
    <sheet name="subsector_match_MK" sheetId="9" r:id="rId7"/>
    <sheet name="all" sheetId="3" r:id="rId8"/>
    <sheet name="JRC_screening" sheetId="6" r:id="rId9"/>
    <sheet name="density" sheetId="7" r:id="rId10"/>
    <sheet name="JRC_market" sheetId="5" r:id="rId11"/>
    <sheet name="substitution_factor_subsect (2" sheetId="10" state="hidden" r:id="rId12"/>
  </sheets>
  <externalReferences>
    <externalReference r:id="rId13"/>
  </externalReferences>
  <definedNames>
    <definedName name="_xlnm._FilterDatabase" localSheetId="0" hidden="1">Sheet1!$A$1:$GT$287</definedName>
    <definedName name="AreaUnderMACYN">#REF!</definedName>
    <definedName name="BioenergyCropsYN">#REF!</definedName>
    <definedName name="BurdenSharing">#REF!</definedName>
    <definedName name="CapitalYN">#REF!</definedName>
    <definedName name="ClimateChange">#REF!</definedName>
    <definedName name="CoalYN">#REF!</definedName>
    <definedName name="ConsumptionLossYN">#REF!</definedName>
    <definedName name="ElectricityYN">#REF!</definedName>
    <definedName name="EmissionsPermitsYN">#REF!</definedName>
    <definedName name="EnergySystemCostMarkUpYN">#REF!</definedName>
    <definedName name="EquivalentVariationYN">#REF!</definedName>
    <definedName name="FoodCropsYN">#REF!</definedName>
    <definedName name="GasYN">#REF!</definedName>
    <definedName name="GDPLossYN">#REF!</definedName>
    <definedName name="ModelTypeSolutionConcept">#REF!</definedName>
    <definedName name="ModelTypeSolutionHorizon">#REF!</definedName>
    <definedName name="ModelTypeSolutionMethod">#REF!</definedName>
    <definedName name="ModelVersionStatus">#REF!</definedName>
    <definedName name="OilYN">#REF!</definedName>
    <definedName name="Overshoot">#REF!</definedName>
    <definedName name="ProcessedGoodsYN">#REF!</definedName>
    <definedName name="RegionalCoverage">#REF!</definedName>
    <definedName name="ScenarioType">#REF!</definedName>
    <definedName name="TechFlex">#REF!</definedName>
    <definedName name="UraniumYN">#REF!</definedName>
    <definedName name="WelfareLossYN">#REF!</definedName>
    <definedName name="WhatFlex">#REF!</definedName>
    <definedName name="WhenFlex">#REF!</definedName>
    <definedName name="WhenFlex2">#REF!</definedName>
    <definedName name="YN">#REF!</definedName>
  </definedNames>
  <calcPr calcId="162913"/>
  <pivotCaches>
    <pivotCache cacheId="68" r:id="rId14"/>
    <pivotCache cacheId="67" r:id="rId1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0" i="8" l="1"/>
  <c r="K3" i="14"/>
  <c r="K4" i="14"/>
  <c r="K5" i="14"/>
  <c r="K6" i="14"/>
  <c r="K7" i="14"/>
  <c r="K8" i="14"/>
  <c r="K9" i="14"/>
  <c r="K10" i="14"/>
  <c r="K11" i="14"/>
  <c r="K12" i="14"/>
  <c r="K13" i="14"/>
  <c r="K14" i="14"/>
  <c r="K15" i="14"/>
  <c r="K16" i="14"/>
  <c r="K17" i="14"/>
  <c r="K18" i="14"/>
  <c r="K19" i="14"/>
  <c r="K20" i="14"/>
  <c r="K21" i="14"/>
  <c r="K22" i="14"/>
  <c r="K2" i="14"/>
  <c r="D168" i="11"/>
  <c r="E168" i="11"/>
  <c r="F168" i="11"/>
  <c r="G168" i="11"/>
  <c r="H168" i="11"/>
  <c r="I168" i="11"/>
  <c r="J168" i="11"/>
  <c r="K168" i="11"/>
  <c r="L168" i="11"/>
  <c r="C168" i="11"/>
  <c r="D182" i="11"/>
  <c r="E182" i="11"/>
  <c r="F182" i="11"/>
  <c r="G182" i="11"/>
  <c r="H182" i="11"/>
  <c r="I182" i="11"/>
  <c r="J182" i="11"/>
  <c r="K182" i="11"/>
  <c r="L182" i="11"/>
  <c r="D183" i="11"/>
  <c r="E183" i="11"/>
  <c r="F183" i="11"/>
  <c r="G183" i="11"/>
  <c r="H183" i="11"/>
  <c r="I183" i="11"/>
  <c r="J183" i="11"/>
  <c r="K183" i="11"/>
  <c r="L183" i="11"/>
  <c r="C183" i="11"/>
  <c r="C182" i="11"/>
  <c r="D181" i="11"/>
  <c r="E181" i="11"/>
  <c r="F181" i="11"/>
  <c r="G181" i="11"/>
  <c r="H181" i="11"/>
  <c r="I181" i="11"/>
  <c r="J181" i="11"/>
  <c r="K181" i="11"/>
  <c r="L181" i="11"/>
  <c r="C181" i="11"/>
  <c r="D171" i="11"/>
  <c r="E171" i="11"/>
  <c r="F171" i="11"/>
  <c r="G171" i="11"/>
  <c r="H171" i="11"/>
  <c r="I171" i="11"/>
  <c r="J171" i="11"/>
  <c r="K171" i="11"/>
  <c r="L171" i="11"/>
  <c r="D172" i="11"/>
  <c r="E172" i="11"/>
  <c r="F172" i="11"/>
  <c r="G172" i="11"/>
  <c r="H172" i="11"/>
  <c r="I172" i="11"/>
  <c r="J172" i="11"/>
  <c r="K172" i="11"/>
  <c r="L172" i="11"/>
  <c r="D173" i="11"/>
  <c r="E173" i="11"/>
  <c r="F173" i="11"/>
  <c r="G173" i="11"/>
  <c r="H173" i="11"/>
  <c r="I173" i="11"/>
  <c r="J173" i="11"/>
  <c r="K173" i="11"/>
  <c r="L173" i="11"/>
  <c r="D174" i="11"/>
  <c r="E174" i="11"/>
  <c r="F174" i="11"/>
  <c r="G174" i="11"/>
  <c r="H174" i="11"/>
  <c r="I174" i="11"/>
  <c r="J174" i="11"/>
  <c r="K174" i="11"/>
  <c r="L174" i="11"/>
  <c r="D175" i="11"/>
  <c r="E175" i="11"/>
  <c r="F175" i="11"/>
  <c r="G175" i="11"/>
  <c r="H175" i="11"/>
  <c r="I175" i="11"/>
  <c r="J175" i="11"/>
  <c r="K175" i="11"/>
  <c r="L175" i="11"/>
  <c r="D176" i="11"/>
  <c r="E176" i="11"/>
  <c r="F176" i="11"/>
  <c r="G176" i="11"/>
  <c r="H176" i="11"/>
  <c r="I176" i="11"/>
  <c r="J176" i="11"/>
  <c r="K176" i="11"/>
  <c r="L176" i="11"/>
  <c r="D177" i="11"/>
  <c r="E177" i="11"/>
  <c r="F177" i="11"/>
  <c r="G177" i="11"/>
  <c r="H177" i="11"/>
  <c r="I177" i="11"/>
  <c r="J177" i="11"/>
  <c r="K177" i="11"/>
  <c r="L177" i="11"/>
  <c r="D178" i="11"/>
  <c r="E178" i="11"/>
  <c r="F178" i="11"/>
  <c r="G178" i="11"/>
  <c r="H178" i="11"/>
  <c r="I178" i="11"/>
  <c r="J178" i="11"/>
  <c r="K178" i="11"/>
  <c r="L178" i="11"/>
  <c r="D179" i="11"/>
  <c r="E179" i="11"/>
  <c r="F179" i="11"/>
  <c r="G179" i="11"/>
  <c r="H179" i="11"/>
  <c r="I179" i="11"/>
  <c r="J179" i="11"/>
  <c r="K179" i="11"/>
  <c r="L179" i="11"/>
  <c r="D180" i="11"/>
  <c r="E180" i="11"/>
  <c r="F180" i="11"/>
  <c r="G180" i="11"/>
  <c r="H180" i="11"/>
  <c r="I180" i="11"/>
  <c r="J180" i="11"/>
  <c r="K180" i="11"/>
  <c r="L180" i="11"/>
  <c r="C172" i="11"/>
  <c r="C173" i="11"/>
  <c r="C174" i="11"/>
  <c r="C175" i="11"/>
  <c r="C176" i="11"/>
  <c r="C177" i="11"/>
  <c r="C178" i="11"/>
  <c r="C179" i="11"/>
  <c r="C180" i="11"/>
  <c r="C171" i="11"/>
  <c r="D169" i="11"/>
  <c r="E169" i="11"/>
  <c r="F169" i="11"/>
  <c r="G169" i="11"/>
  <c r="H169" i="11"/>
  <c r="I169" i="11"/>
  <c r="J169" i="11"/>
  <c r="K169" i="11"/>
  <c r="L169" i="11"/>
  <c r="D170" i="11"/>
  <c r="E170" i="11"/>
  <c r="F170" i="11"/>
  <c r="G170" i="11"/>
  <c r="H170" i="11"/>
  <c r="I170" i="11"/>
  <c r="J170" i="11"/>
  <c r="K170" i="11"/>
  <c r="L170" i="11"/>
  <c r="C170" i="11"/>
  <c r="C169" i="11"/>
  <c r="E167" i="11"/>
  <c r="D165" i="11"/>
  <c r="E165" i="11"/>
  <c r="F165" i="11"/>
  <c r="G165" i="11"/>
  <c r="H165" i="11"/>
  <c r="I165" i="11"/>
  <c r="J165" i="11"/>
  <c r="K165" i="11"/>
  <c r="L165" i="11"/>
  <c r="D166" i="11"/>
  <c r="E166" i="11"/>
  <c r="F166" i="11"/>
  <c r="G166" i="11"/>
  <c r="H166" i="11"/>
  <c r="I166" i="11"/>
  <c r="J166" i="11"/>
  <c r="K166" i="11"/>
  <c r="L166" i="11"/>
  <c r="D167" i="11"/>
  <c r="F167" i="11"/>
  <c r="G167" i="11"/>
  <c r="H167" i="11"/>
  <c r="I167" i="11"/>
  <c r="J167" i="11"/>
  <c r="K167" i="11"/>
  <c r="L167" i="11"/>
  <c r="C166" i="11"/>
  <c r="C167" i="11"/>
  <c r="C165" i="11"/>
  <c r="D163" i="11"/>
  <c r="E163" i="11"/>
  <c r="F163" i="11"/>
  <c r="G163" i="11"/>
  <c r="H163" i="11"/>
  <c r="I163" i="11"/>
  <c r="J163" i="11"/>
  <c r="K163" i="11"/>
  <c r="L163" i="11"/>
  <c r="D164" i="11"/>
  <c r="E164" i="11"/>
  <c r="F164" i="11"/>
  <c r="G164" i="11"/>
  <c r="H164" i="11"/>
  <c r="I164" i="11"/>
  <c r="J164" i="11"/>
  <c r="K164" i="11"/>
  <c r="L164" i="11"/>
  <c r="C164" i="11"/>
  <c r="C163" i="11"/>
  <c r="G133" i="11"/>
  <c r="G134" i="11" s="1"/>
  <c r="F122" i="11"/>
  <c r="E123" i="11"/>
  <c r="D124" i="11"/>
  <c r="L124" i="11"/>
  <c r="K125" i="11"/>
  <c r="J126" i="11"/>
  <c r="I127" i="11"/>
  <c r="H128" i="11"/>
  <c r="G129" i="11"/>
  <c r="C124" i="11"/>
  <c r="F121" i="11"/>
  <c r="J121" i="11"/>
  <c r="D117" i="11"/>
  <c r="E117" i="11"/>
  <c r="G117" i="11"/>
  <c r="H117" i="11"/>
  <c r="I117" i="11"/>
  <c r="I119" i="11" s="1"/>
  <c r="K117" i="11"/>
  <c r="L117" i="11"/>
  <c r="C117" i="11"/>
  <c r="D116" i="11"/>
  <c r="D119" i="11" s="1"/>
  <c r="E116" i="11"/>
  <c r="F116" i="11"/>
  <c r="F119" i="11" s="1"/>
  <c r="H116" i="11"/>
  <c r="H119" i="11" s="1"/>
  <c r="I116" i="11"/>
  <c r="J116" i="11"/>
  <c r="L116" i="11"/>
  <c r="D115" i="11"/>
  <c r="D118" i="11" s="1"/>
  <c r="F115" i="11"/>
  <c r="F118" i="11" s="1"/>
  <c r="H115" i="11"/>
  <c r="J115" i="11"/>
  <c r="J118" i="11" s="1"/>
  <c r="L115" i="11"/>
  <c r="L118" i="11" s="1"/>
  <c r="M107" i="11"/>
  <c r="F117" i="11" s="1"/>
  <c r="M108" i="11"/>
  <c r="E120" i="11" s="1"/>
  <c r="E131" i="11" s="1"/>
  <c r="M109" i="11"/>
  <c r="M110" i="11"/>
  <c r="G122" i="11" s="1"/>
  <c r="M111" i="11"/>
  <c r="M112" i="11"/>
  <c r="H133" i="11" s="1"/>
  <c r="H134" i="11" s="1"/>
  <c r="M106" i="11"/>
  <c r="G115" i="11" s="1"/>
  <c r="G118" i="11" s="1"/>
  <c r="E114" i="11"/>
  <c r="F114" i="11"/>
  <c r="G114" i="11"/>
  <c r="H114" i="11"/>
  <c r="I114" i="11"/>
  <c r="J114" i="11"/>
  <c r="K114" i="11"/>
  <c r="L114" i="11"/>
  <c r="C114" i="11"/>
  <c r="D113" i="11"/>
  <c r="D114" i="11" s="1"/>
  <c r="N26" i="11"/>
  <c r="C26" i="11"/>
  <c r="D26" i="11"/>
  <c r="E26" i="11"/>
  <c r="F26" i="11"/>
  <c r="G26" i="11"/>
  <c r="H26" i="11"/>
  <c r="J26" i="11"/>
  <c r="M26" i="11"/>
  <c r="B26" i="11"/>
  <c r="H27" i="11"/>
  <c r="C67" i="11"/>
  <c r="D67" i="11"/>
  <c r="E67" i="11"/>
  <c r="F67" i="11"/>
  <c r="G67" i="11"/>
  <c r="H67" i="11"/>
  <c r="I67" i="11"/>
  <c r="J67" i="11"/>
  <c r="K67" i="11"/>
  <c r="L67" i="11"/>
  <c r="M67" i="11"/>
  <c r="C68" i="11"/>
  <c r="D68" i="11"/>
  <c r="E68" i="11"/>
  <c r="F68" i="11"/>
  <c r="G68" i="11"/>
  <c r="H68" i="11"/>
  <c r="I68" i="11"/>
  <c r="J68" i="11"/>
  <c r="K68" i="11"/>
  <c r="L68" i="11"/>
  <c r="M68" i="11"/>
  <c r="C69" i="11"/>
  <c r="D69" i="11"/>
  <c r="E69" i="11"/>
  <c r="F69" i="11"/>
  <c r="G69" i="11"/>
  <c r="H69" i="11"/>
  <c r="I69" i="11"/>
  <c r="J69" i="11"/>
  <c r="K69" i="11"/>
  <c r="L69" i="11"/>
  <c r="M69" i="11"/>
  <c r="C70" i="11"/>
  <c r="D70" i="11"/>
  <c r="E70" i="11"/>
  <c r="F70" i="11"/>
  <c r="G70" i="11"/>
  <c r="H70" i="11"/>
  <c r="I70" i="11"/>
  <c r="J70" i="11"/>
  <c r="K70" i="11"/>
  <c r="L70" i="11"/>
  <c r="M70" i="11"/>
  <c r="C71" i="11"/>
  <c r="D71" i="11"/>
  <c r="E71" i="11"/>
  <c r="F71" i="11"/>
  <c r="G71" i="11"/>
  <c r="H71" i="11"/>
  <c r="I71" i="11"/>
  <c r="J71" i="11"/>
  <c r="K71" i="11"/>
  <c r="L71" i="11"/>
  <c r="M71" i="11"/>
  <c r="C72" i="11"/>
  <c r="D72" i="11"/>
  <c r="E72" i="11"/>
  <c r="F72" i="11"/>
  <c r="G72" i="11"/>
  <c r="H72" i="11"/>
  <c r="I72" i="11"/>
  <c r="J72" i="11"/>
  <c r="K72" i="11"/>
  <c r="L72" i="11"/>
  <c r="M72" i="11"/>
  <c r="C73" i="11"/>
  <c r="D73" i="11"/>
  <c r="E73" i="11"/>
  <c r="F73" i="11"/>
  <c r="G73" i="11"/>
  <c r="H73" i="11"/>
  <c r="I73" i="11"/>
  <c r="J73" i="11"/>
  <c r="K73" i="11"/>
  <c r="L73" i="11"/>
  <c r="M73" i="11"/>
  <c r="B68" i="11"/>
  <c r="B69" i="11"/>
  <c r="B70" i="11"/>
  <c r="B71" i="11"/>
  <c r="B72" i="11"/>
  <c r="B73" i="11"/>
  <c r="B67" i="11"/>
  <c r="G25" i="11"/>
  <c r="O24" i="11"/>
  <c r="C24" i="11"/>
  <c r="D24" i="11"/>
  <c r="E24" i="11"/>
  <c r="H24" i="11"/>
  <c r="M24" i="11"/>
  <c r="N24" i="11"/>
  <c r="B24" i="11"/>
  <c r="E58" i="11"/>
  <c r="F58" i="11"/>
  <c r="G58" i="11"/>
  <c r="E59" i="11"/>
  <c r="F27" i="11" s="1"/>
  <c r="F59" i="11"/>
  <c r="G27" i="11" s="1"/>
  <c r="G59" i="11"/>
  <c r="E60" i="11"/>
  <c r="F60" i="11"/>
  <c r="G60" i="11"/>
  <c r="E61" i="11"/>
  <c r="F61" i="11"/>
  <c r="G61" i="11"/>
  <c r="E62" i="11"/>
  <c r="F24" i="11" s="1"/>
  <c r="F62" i="11"/>
  <c r="G24" i="11" s="1"/>
  <c r="G62" i="11"/>
  <c r="F57" i="11"/>
  <c r="G57" i="11"/>
  <c r="E57" i="11"/>
  <c r="F25" i="11" s="1"/>
  <c r="O22" i="11"/>
  <c r="O23" i="11"/>
  <c r="F23" i="11" s="1"/>
  <c r="O25" i="11"/>
  <c r="O26" i="11"/>
  <c r="O27" i="11"/>
  <c r="O21" i="11"/>
  <c r="N22" i="11"/>
  <c r="N23" i="11"/>
  <c r="N25" i="11"/>
  <c r="N27" i="11"/>
  <c r="N21" i="11"/>
  <c r="C21" i="11"/>
  <c r="D21" i="11"/>
  <c r="E21" i="11"/>
  <c r="H21" i="11"/>
  <c r="M21" i="11"/>
  <c r="C22" i="11"/>
  <c r="D22" i="11"/>
  <c r="E22" i="11"/>
  <c r="H22" i="11"/>
  <c r="M22" i="11"/>
  <c r="C23" i="11"/>
  <c r="D23" i="11"/>
  <c r="E23" i="11"/>
  <c r="H23" i="11"/>
  <c r="M23" i="11"/>
  <c r="C25" i="11"/>
  <c r="D25" i="11"/>
  <c r="E25" i="11"/>
  <c r="H25" i="11"/>
  <c r="M25" i="11"/>
  <c r="C27" i="11"/>
  <c r="D27" i="11"/>
  <c r="E27" i="11"/>
  <c r="M27" i="11"/>
  <c r="B22" i="11"/>
  <c r="B23" i="11"/>
  <c r="B25" i="11"/>
  <c r="B27" i="11"/>
  <c r="B21" i="11"/>
  <c r="M11" i="11"/>
  <c r="M12" i="11" s="1"/>
  <c r="N11" i="11"/>
  <c r="C11" i="11"/>
  <c r="D11" i="11"/>
  <c r="E11" i="11"/>
  <c r="F11" i="11"/>
  <c r="G11" i="11"/>
  <c r="H11" i="11"/>
  <c r="B11" i="11"/>
  <c r="Q3" i="11"/>
  <c r="Q4" i="11"/>
  <c r="Q5" i="11"/>
  <c r="Q6" i="11"/>
  <c r="Q7" i="11"/>
  <c r="Q8" i="11"/>
  <c r="Q9" i="11"/>
  <c r="Q2" i="11"/>
  <c r="D103" i="3"/>
  <c r="C103" i="3"/>
  <c r="D102" i="3"/>
  <c r="C102" i="3"/>
  <c r="J25" i="11" l="1"/>
  <c r="J119" i="11"/>
  <c r="D120" i="11"/>
  <c r="D131" i="11" s="1"/>
  <c r="N12" i="11"/>
  <c r="J24" i="11"/>
  <c r="E115" i="11"/>
  <c r="E118" i="11" s="1"/>
  <c r="G116" i="11"/>
  <c r="G119" i="11" s="1"/>
  <c r="J117" i="11"/>
  <c r="K120" i="11"/>
  <c r="K131" i="11" s="1"/>
  <c r="C121" i="11"/>
  <c r="E121" i="11"/>
  <c r="C123" i="11"/>
  <c r="F129" i="11"/>
  <c r="G128" i="11"/>
  <c r="H127" i="11"/>
  <c r="I126" i="11"/>
  <c r="J125" i="11"/>
  <c r="K124" i="11"/>
  <c r="L123" i="11"/>
  <c r="D123" i="11"/>
  <c r="E122" i="11"/>
  <c r="F133" i="11"/>
  <c r="F134" i="11" s="1"/>
  <c r="D121" i="11"/>
  <c r="C122" i="11"/>
  <c r="E129" i="11"/>
  <c r="F128" i="11"/>
  <c r="G127" i="11"/>
  <c r="H126" i="11"/>
  <c r="I125" i="11"/>
  <c r="J124" i="11"/>
  <c r="K123" i="11"/>
  <c r="L122" i="11"/>
  <c r="D122" i="11"/>
  <c r="C133" i="11"/>
  <c r="C134" i="11" s="1"/>
  <c r="E133" i="11"/>
  <c r="E134" i="11" s="1"/>
  <c r="L120" i="11"/>
  <c r="L131" i="11" s="1"/>
  <c r="J120" i="11"/>
  <c r="L121" i="11"/>
  <c r="K115" i="11"/>
  <c r="C115" i="11"/>
  <c r="C118" i="11" s="1"/>
  <c r="I120" i="11"/>
  <c r="I131" i="11" s="1"/>
  <c r="K121" i="11"/>
  <c r="C129" i="11"/>
  <c r="L129" i="11"/>
  <c r="D129" i="11"/>
  <c r="E128" i="11"/>
  <c r="F127" i="11"/>
  <c r="G126" i="11"/>
  <c r="H125" i="11"/>
  <c r="I124" i="11"/>
  <c r="J123" i="11"/>
  <c r="K122" i="11"/>
  <c r="L133" i="11"/>
  <c r="L134" i="11" s="1"/>
  <c r="D133" i="11"/>
  <c r="D134" i="11" s="1"/>
  <c r="J27" i="11"/>
  <c r="C128" i="11"/>
  <c r="K129" i="11"/>
  <c r="L128" i="11"/>
  <c r="D128" i="11"/>
  <c r="E127" i="11"/>
  <c r="F126" i="11"/>
  <c r="G125" i="11"/>
  <c r="H124" i="11"/>
  <c r="I123" i="11"/>
  <c r="J122" i="11"/>
  <c r="J130" i="11" s="1"/>
  <c r="K133" i="11"/>
  <c r="K134" i="11" s="1"/>
  <c r="H120" i="11"/>
  <c r="H131" i="11" s="1"/>
  <c r="F12" i="11"/>
  <c r="I115" i="11"/>
  <c r="I118" i="11" s="1"/>
  <c r="K116" i="11"/>
  <c r="C116" i="11"/>
  <c r="C119" i="11" s="1"/>
  <c r="G120" i="11"/>
  <c r="G131" i="11" s="1"/>
  <c r="I121" i="11"/>
  <c r="C127" i="11"/>
  <c r="J129" i="11"/>
  <c r="K128" i="11"/>
  <c r="L127" i="11"/>
  <c r="D127" i="11"/>
  <c r="E126" i="11"/>
  <c r="F125" i="11"/>
  <c r="G124" i="11"/>
  <c r="H123" i="11"/>
  <c r="I122" i="11"/>
  <c r="J133" i="11"/>
  <c r="J134" i="11" s="1"/>
  <c r="F120" i="11"/>
  <c r="F131" i="11" s="1"/>
  <c r="H121" i="11"/>
  <c r="C126" i="11"/>
  <c r="I129" i="11"/>
  <c r="J128" i="11"/>
  <c r="K127" i="11"/>
  <c r="L126" i="11"/>
  <c r="D126" i="11"/>
  <c r="E125" i="11"/>
  <c r="F124" i="11"/>
  <c r="G123" i="11"/>
  <c r="H122" i="11"/>
  <c r="I133" i="11"/>
  <c r="I134" i="11" s="1"/>
  <c r="B12" i="11"/>
  <c r="G21" i="11"/>
  <c r="G23" i="11"/>
  <c r="D12" i="11"/>
  <c r="C120" i="11"/>
  <c r="C131" i="11" s="1"/>
  <c r="G121" i="11"/>
  <c r="C125" i="11"/>
  <c r="H129" i="11"/>
  <c r="I128" i="11"/>
  <c r="J127" i="11"/>
  <c r="K126" i="11"/>
  <c r="L125" i="11"/>
  <c r="D125" i="11"/>
  <c r="E124" i="11"/>
  <c r="F123" i="11"/>
  <c r="F22" i="11"/>
  <c r="G22" i="11"/>
  <c r="F21" i="11"/>
  <c r="C12" i="11"/>
  <c r="H12" i="11"/>
  <c r="G12" i="11"/>
  <c r="E12" i="11"/>
  <c r="J21" i="11" l="1"/>
  <c r="F31" i="11"/>
  <c r="K130" i="11"/>
  <c r="D130" i="11"/>
  <c r="G31" i="11"/>
  <c r="H33" i="11"/>
  <c r="K31" i="11"/>
  <c r="J22" i="11"/>
  <c r="L130" i="11"/>
  <c r="E130" i="11"/>
  <c r="J37" i="11"/>
  <c r="E32" i="11"/>
  <c r="J23" i="11"/>
  <c r="D37" i="11"/>
  <c r="B36" i="11"/>
  <c r="C130" i="11"/>
  <c r="F35" i="11"/>
  <c r="C36" i="11"/>
  <c r="I31" i="11" l="1"/>
  <c r="D36" i="11"/>
  <c r="H32" i="11"/>
  <c r="K33" i="11"/>
  <c r="C31" i="11"/>
  <c r="K37" i="11"/>
  <c r="E33" i="11"/>
  <c r="H36" i="11"/>
  <c r="E34" i="11"/>
  <c r="J32" i="11"/>
  <c r="B31" i="11"/>
  <c r="D35" i="11"/>
  <c r="K32" i="11"/>
  <c r="I34" i="11"/>
  <c r="D33" i="11"/>
  <c r="D34" i="11"/>
  <c r="C34" i="11"/>
  <c r="C32" i="11"/>
  <c r="H34" i="11"/>
  <c r="F32" i="11"/>
  <c r="B35" i="11"/>
  <c r="F37" i="11"/>
  <c r="B37" i="11"/>
  <c r="J33" i="11"/>
  <c r="I37" i="11"/>
  <c r="J35" i="11"/>
  <c r="B32" i="11"/>
  <c r="C37" i="11"/>
  <c r="I33" i="11"/>
  <c r="G36" i="11"/>
  <c r="E36" i="11"/>
  <c r="J34" i="11"/>
  <c r="H35" i="11"/>
  <c r="I32" i="11"/>
  <c r="K36" i="11"/>
  <c r="J36" i="11"/>
  <c r="H31" i="11"/>
  <c r="K35" i="11"/>
  <c r="C33" i="11"/>
  <c r="C35" i="11"/>
  <c r="G35" i="11"/>
  <c r="I36" i="11"/>
  <c r="B34" i="11"/>
  <c r="B33" i="11"/>
  <c r="G32" i="11"/>
  <c r="E31" i="11"/>
  <c r="I35" i="11"/>
  <c r="J31" i="11"/>
  <c r="G34" i="11"/>
  <c r="D32" i="11"/>
  <c r="G37" i="11"/>
  <c r="G33" i="11"/>
  <c r="F33" i="11"/>
  <c r="E35" i="11"/>
  <c r="H37" i="11"/>
  <c r="F36" i="11"/>
  <c r="E37" i="11"/>
  <c r="F34" i="11"/>
  <c r="D31" i="11"/>
  <c r="K34" i="11"/>
  <c r="D92" i="3" l="1"/>
  <c r="C92" i="3"/>
  <c r="C4" i="3"/>
  <c r="C5" i="3"/>
  <c r="C6" i="3"/>
  <c r="C7" i="3"/>
  <c r="C8" i="3"/>
  <c r="C9" i="3"/>
  <c r="C10" i="3"/>
  <c r="C11" i="3"/>
  <c r="C12" i="3"/>
  <c r="C13" i="3"/>
  <c r="C14" i="3"/>
  <c r="C15" i="3"/>
  <c r="C16" i="3"/>
  <c r="C17" i="3"/>
  <c r="C18" i="3"/>
  <c r="C86" i="3"/>
  <c r="C20" i="3"/>
  <c r="C21" i="3"/>
  <c r="C88"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19" i="3"/>
  <c r="C3" i="3"/>
  <c r="E14" i="6"/>
  <c r="B17" i="7"/>
  <c r="E89" i="6"/>
  <c r="E88" i="6"/>
  <c r="E87" i="6"/>
  <c r="E86" i="6"/>
  <c r="E85" i="6"/>
  <c r="E81" i="6"/>
  <c r="E77" i="6"/>
  <c r="E76" i="6"/>
  <c r="E72" i="6"/>
  <c r="E71" i="6"/>
  <c r="E70" i="6"/>
  <c r="E69" i="6"/>
  <c r="E68" i="6"/>
  <c r="E67" i="6"/>
  <c r="E64" i="6"/>
  <c r="E62" i="6"/>
  <c r="E61" i="6"/>
  <c r="E60" i="6"/>
  <c r="E58" i="6"/>
  <c r="E57" i="6"/>
  <c r="E55" i="6"/>
  <c r="E54" i="6"/>
  <c r="E53" i="6"/>
  <c r="E52" i="6"/>
  <c r="E51" i="6"/>
  <c r="E50" i="6"/>
  <c r="E43" i="6"/>
  <c r="E42" i="6"/>
  <c r="E40" i="6"/>
  <c r="E39" i="6"/>
  <c r="E38" i="6"/>
  <c r="E36" i="6"/>
  <c r="E32" i="6"/>
  <c r="E31" i="6"/>
  <c r="E30" i="6"/>
  <c r="E29" i="6"/>
  <c r="E28" i="6"/>
  <c r="E27" i="6"/>
  <c r="E26" i="6"/>
  <c r="E25" i="6"/>
  <c r="E24" i="6"/>
  <c r="E23" i="6"/>
  <c r="E22" i="6"/>
  <c r="E21" i="6"/>
  <c r="E20" i="6"/>
  <c r="E19" i="6"/>
  <c r="E18" i="6"/>
  <c r="E15" i="6"/>
  <c r="E13" i="6"/>
  <c r="E11" i="6"/>
  <c r="E9" i="6"/>
  <c r="E8" i="6"/>
  <c r="E7" i="6"/>
  <c r="E6" i="6"/>
  <c r="E5" i="6"/>
  <c r="B16" i="7"/>
  <c r="B15" i="7"/>
  <c r="B10" i="7"/>
  <c r="B9" i="7"/>
  <c r="B7" i="7"/>
  <c r="B5" i="7"/>
  <c r="B4" i="7"/>
  <c r="D19" i="3"/>
  <c r="D70" i="3"/>
  <c r="D69" i="3"/>
  <c r="D68" i="3"/>
  <c r="D67" i="3"/>
  <c r="D66" i="3"/>
  <c r="D65" i="3"/>
  <c r="D63" i="3"/>
  <c r="D61" i="3"/>
  <c r="D60" i="3"/>
  <c r="D59" i="3"/>
  <c r="D58" i="3"/>
  <c r="D57" i="3"/>
  <c r="D56" i="3"/>
  <c r="D54" i="3"/>
  <c r="D53" i="3"/>
  <c r="D52" i="3"/>
  <c r="D51" i="3"/>
  <c r="D50" i="3"/>
  <c r="D49" i="3"/>
  <c r="D48" i="3"/>
  <c r="D47" i="3"/>
  <c r="D46" i="3"/>
  <c r="D45" i="3"/>
  <c r="D43" i="3"/>
  <c r="D42" i="3"/>
  <c r="D41" i="3"/>
  <c r="D40" i="3"/>
  <c r="D39" i="3"/>
  <c r="D38" i="3"/>
  <c r="D37" i="3"/>
  <c r="D36" i="3"/>
  <c r="D35" i="3"/>
  <c r="D34" i="3"/>
  <c r="D33" i="3"/>
  <c r="D32" i="3"/>
  <c r="D31" i="3"/>
  <c r="D30" i="3"/>
  <c r="D29" i="3"/>
  <c r="D28" i="3"/>
  <c r="D27" i="3"/>
  <c r="D25" i="3"/>
  <c r="D26" i="3"/>
  <c r="D24" i="3"/>
  <c r="D23" i="3"/>
  <c r="D88" i="3"/>
  <c r="D21" i="3"/>
  <c r="D86" i="3" l="1"/>
  <c r="D18" i="3" l="1"/>
  <c r="D17" i="3"/>
  <c r="D16" i="3"/>
  <c r="D14" i="3"/>
  <c r="D13" i="3"/>
  <c r="D11" i="3"/>
  <c r="D9" i="3"/>
  <c r="D8" i="3"/>
  <c r="D7" i="3"/>
  <c r="D6" i="3"/>
  <c r="D4" i="3"/>
  <c r="D3" i="3"/>
  <c r="D2" i="3"/>
  <c r="W24" i="1" l="1"/>
  <c r="U2" i="1" l="1"/>
  <c r="V4" i="1"/>
  <c r="V5" i="1"/>
  <c r="V6" i="1"/>
  <c r="V7" i="1"/>
  <c r="V8" i="1"/>
  <c r="V9" i="1"/>
  <c r="V10" i="1"/>
  <c r="V11" i="1"/>
  <c r="V12" i="1"/>
  <c r="U14" i="1"/>
  <c r="U19" i="1"/>
  <c r="U20" i="1"/>
  <c r="V21" i="1"/>
  <c r="V22" i="1"/>
  <c r="V23" i="1"/>
  <c r="U24" i="1"/>
  <c r="U25" i="1"/>
  <c r="U26" i="1"/>
  <c r="U27" i="1"/>
  <c r="U28" i="1"/>
  <c r="U32" i="1"/>
  <c r="U33" i="1"/>
  <c r="U34" i="1"/>
  <c r="U35" i="1"/>
  <c r="U36" i="1"/>
  <c r="U37" i="1"/>
  <c r="U38" i="1"/>
  <c r="U39" i="1"/>
  <c r="U44" i="1"/>
  <c r="U45" i="1"/>
  <c r="U46" i="1"/>
  <c r="U47" i="1"/>
  <c r="U55" i="1"/>
  <c r="V56" i="1"/>
  <c r="U58" i="1"/>
  <c r="V58" i="1" s="1"/>
  <c r="U152" i="1"/>
  <c r="U214" i="1"/>
  <c r="U66" i="1"/>
  <c r="U111" i="1"/>
  <c r="U212" i="1"/>
  <c r="U221" i="1"/>
  <c r="V70" i="1"/>
  <c r="V71" i="1"/>
  <c r="U79" i="1"/>
  <c r="U80" i="1"/>
  <c r="U81" i="1"/>
  <c r="U82" i="1"/>
  <c r="U83" i="1"/>
  <c r="U84" i="1"/>
  <c r="U210" i="1"/>
  <c r="U211" i="1"/>
  <c r="U126" i="1"/>
  <c r="U213" i="1"/>
  <c r="U85" i="1"/>
  <c r="U86" i="1"/>
  <c r="U254" i="1"/>
  <c r="U93" i="1"/>
  <c r="U94" i="1"/>
  <c r="U65" i="1"/>
  <c r="U63" i="1"/>
  <c r="U104" i="1"/>
  <c r="U89" i="1"/>
  <c r="U101" i="1"/>
  <c r="U102" i="1"/>
  <c r="U103" i="1"/>
  <c r="V238" i="1"/>
  <c r="U248" i="1"/>
  <c r="U113" i="1"/>
  <c r="U285" i="1"/>
  <c r="U226" i="1"/>
  <c r="U117" i="1"/>
  <c r="U118" i="1"/>
  <c r="U119" i="1"/>
  <c r="U120" i="1"/>
  <c r="U261" i="1"/>
  <c r="U227" i="1"/>
  <c r="U128" i="1"/>
  <c r="U129" i="1"/>
  <c r="U130" i="1"/>
  <c r="U131" i="1"/>
  <c r="U132" i="1"/>
  <c r="U133" i="1"/>
  <c r="U134" i="1"/>
  <c r="U135" i="1"/>
  <c r="U137" i="1"/>
  <c r="U138" i="1"/>
  <c r="U139" i="1"/>
  <c r="U140" i="1"/>
  <c r="U141" i="1"/>
  <c r="U142" i="1"/>
  <c r="U143" i="1"/>
  <c r="U144" i="1"/>
  <c r="U145" i="1"/>
  <c r="U146" i="1"/>
  <c r="U147" i="1"/>
  <c r="U148" i="1"/>
  <c r="U149" i="1"/>
  <c r="U150" i="1"/>
  <c r="U151" i="1"/>
  <c r="U287" i="1"/>
  <c r="U156" i="1"/>
  <c r="U157" i="1"/>
  <c r="U158" i="1"/>
  <c r="U173" i="1"/>
  <c r="U174" i="1"/>
  <c r="U175" i="1"/>
  <c r="U176" i="1"/>
  <c r="U180" i="1"/>
  <c r="U183" i="1"/>
  <c r="X183" i="1" s="1"/>
  <c r="U184" i="1"/>
  <c r="U185" i="1"/>
  <c r="U186" i="1"/>
  <c r="U187" i="1"/>
  <c r="V187" i="1" s="1"/>
  <c r="U188" i="1"/>
  <c r="U189" i="1"/>
  <c r="U190" i="1"/>
  <c r="U191" i="1"/>
  <c r="U192" i="1"/>
  <c r="U193" i="1"/>
  <c r="U194" i="1"/>
  <c r="U195" i="1"/>
  <c r="U196" i="1"/>
  <c r="U197" i="1"/>
  <c r="U198" i="1"/>
  <c r="U199" i="1"/>
  <c r="U200" i="1"/>
  <c r="U201" i="1"/>
  <c r="U202" i="1"/>
  <c r="V202" i="1" s="1"/>
  <c r="U203" i="1"/>
  <c r="U204" i="1"/>
  <c r="U205" i="1"/>
  <c r="U206" i="1"/>
  <c r="U207" i="1"/>
  <c r="U208" i="1"/>
  <c r="U209" i="1"/>
  <c r="U215" i="1"/>
  <c r="U219" i="1"/>
  <c r="U249" i="1"/>
  <c r="U225" i="1"/>
  <c r="U216" i="1"/>
  <c r="U217" i="1"/>
  <c r="U218" i="1"/>
  <c r="U240" i="1"/>
  <c r="U241" i="1"/>
  <c r="U112" i="1"/>
  <c r="U220" i="1"/>
  <c r="U110" i="1"/>
  <c r="U273" i="1"/>
  <c r="U253" i="1"/>
  <c r="U255" i="1"/>
  <c r="U100" i="1"/>
  <c r="U109" i="1"/>
  <c r="U231" i="1"/>
  <c r="U232" i="1"/>
  <c r="U233" i="1"/>
  <c r="U234" i="1"/>
  <c r="U235" i="1"/>
  <c r="U236" i="1"/>
  <c r="U237" i="1"/>
  <c r="V107" i="1"/>
  <c r="V90" i="1"/>
  <c r="U242" i="1"/>
  <c r="V105" i="1"/>
  <c r="U230" i="1"/>
  <c r="U243" i="1"/>
  <c r="U244" i="1"/>
  <c r="U239" i="1"/>
  <c r="V92" i="1"/>
  <c r="V108" i="1"/>
  <c r="V106" i="1"/>
  <c r="U96" i="1"/>
  <c r="U97" i="1"/>
  <c r="U98" i="1"/>
  <c r="U99" i="1"/>
  <c r="U222" i="1"/>
  <c r="U283" i="1"/>
  <c r="U256" i="1"/>
  <c r="U257" i="1"/>
  <c r="U258" i="1"/>
  <c r="U259" i="1"/>
  <c r="U251" i="1"/>
  <c r="U269" i="1"/>
  <c r="U270" i="1"/>
  <c r="U271" i="1"/>
  <c r="V272" i="1"/>
  <c r="V224" i="1"/>
  <c r="U276" i="1"/>
  <c r="U278" i="1"/>
  <c r="U280" i="1"/>
  <c r="U281" i="1"/>
  <c r="U282" i="1"/>
  <c r="U61" i="1"/>
  <c r="U286" i="1"/>
  <c r="V286" i="1" s="1"/>
  <c r="U62" i="1"/>
  <c r="Y62" i="1"/>
  <c r="Y252" i="1"/>
  <c r="V252" i="1" s="1"/>
  <c r="Y124" i="1"/>
  <c r="V124" i="1" s="1"/>
  <c r="Y282" i="1"/>
  <c r="Y281" i="1"/>
  <c r="X269" i="1"/>
  <c r="W269" i="1"/>
  <c r="Y268" i="1"/>
  <c r="V268" i="1" s="1"/>
  <c r="Y267" i="1"/>
  <c r="V267" i="1" s="1"/>
  <c r="Y266" i="1"/>
  <c r="V266" i="1" s="1"/>
  <c r="Y265" i="1"/>
  <c r="V265" i="1" s="1"/>
  <c r="Y264" i="1"/>
  <c r="V264" i="1" s="1"/>
  <c r="X251" i="1"/>
  <c r="W251" i="1"/>
  <c r="Y259" i="1"/>
  <c r="Y258" i="1"/>
  <c r="Y257" i="1"/>
  <c r="Y256" i="1"/>
  <c r="Y283" i="1"/>
  <c r="Y114" i="1"/>
  <c r="V114" i="1" s="1"/>
  <c r="Y222" i="1"/>
  <c r="V222" i="1" s="1"/>
  <c r="Y99" i="1"/>
  <c r="Y98" i="1"/>
  <c r="Y97" i="1"/>
  <c r="Y96" i="1"/>
  <c r="Y239" i="1"/>
  <c r="X239" i="1"/>
  <c r="W239" i="1"/>
  <c r="Y244" i="1"/>
  <c r="X244" i="1"/>
  <c r="W244" i="1"/>
  <c r="Y243" i="1"/>
  <c r="X243" i="1"/>
  <c r="W243" i="1"/>
  <c r="Y230" i="1"/>
  <c r="X230" i="1"/>
  <c r="W230" i="1"/>
  <c r="Y242" i="1"/>
  <c r="X242" i="1"/>
  <c r="W242" i="1"/>
  <c r="Y237" i="1"/>
  <c r="X237" i="1"/>
  <c r="W237" i="1"/>
  <c r="Y236" i="1"/>
  <c r="Y235" i="1"/>
  <c r="Y234" i="1"/>
  <c r="Y233" i="1"/>
  <c r="Y232" i="1"/>
  <c r="Y231" i="1"/>
  <c r="Y109" i="1"/>
  <c r="Y100" i="1"/>
  <c r="Y260" i="1"/>
  <c r="Y125" i="1"/>
  <c r="Y255" i="1"/>
  <c r="Y253" i="1"/>
  <c r="Y273" i="1"/>
  <c r="Y110" i="1"/>
  <c r="Y220" i="1"/>
  <c r="Y112" i="1"/>
  <c r="Y241" i="1"/>
  <c r="Y240" i="1"/>
  <c r="Y218" i="1"/>
  <c r="Y217" i="1"/>
  <c r="Y216" i="1"/>
  <c r="Y219" i="1"/>
  <c r="X219" i="1"/>
  <c r="W219" i="1"/>
  <c r="Y115" i="1"/>
  <c r="V115" i="1" s="1"/>
  <c r="Y215" i="1"/>
  <c r="Y262" i="1"/>
  <c r="Y209" i="1"/>
  <c r="Z208" i="1"/>
  <c r="Y208" i="1" s="1"/>
  <c r="Z207" i="1"/>
  <c r="Y207" i="1" s="1"/>
  <c r="Y206" i="1"/>
  <c r="Z205" i="1"/>
  <c r="Y205" i="1" s="1"/>
  <c r="Y204" i="1"/>
  <c r="Z203" i="1"/>
  <c r="Y203" i="1" s="1"/>
  <c r="Z201" i="1"/>
  <c r="Y201" i="1" s="1"/>
  <c r="Z200" i="1"/>
  <c r="Y200" i="1" s="1"/>
  <c r="Y199" i="1"/>
  <c r="Y198" i="1"/>
  <c r="Y197" i="1"/>
  <c r="Y196" i="1"/>
  <c r="Y195" i="1"/>
  <c r="Y194" i="1"/>
  <c r="Y193" i="1"/>
  <c r="Y192" i="1"/>
  <c r="Y191" i="1"/>
  <c r="Y190" i="1"/>
  <c r="Y189" i="1"/>
  <c r="Y188" i="1"/>
  <c r="Y186" i="1"/>
  <c r="Y185" i="1"/>
  <c r="Y184" i="1"/>
  <c r="Y183" i="1"/>
  <c r="Y182" i="1"/>
  <c r="Y181" i="1"/>
  <c r="Y180" i="1"/>
  <c r="Y179" i="1"/>
  <c r="Y178" i="1"/>
  <c r="Y177" i="1"/>
  <c r="Y176" i="1"/>
  <c r="Y175" i="1"/>
  <c r="Y174" i="1"/>
  <c r="Y173" i="1"/>
  <c r="Y172" i="1"/>
  <c r="V172" i="1" s="1"/>
  <c r="Y171" i="1"/>
  <c r="V171" i="1" s="1"/>
  <c r="Y170" i="1"/>
  <c r="V170" i="1" s="1"/>
  <c r="Y169" i="1"/>
  <c r="V169" i="1" s="1"/>
  <c r="Y168" i="1"/>
  <c r="V168" i="1" s="1"/>
  <c r="Y167" i="1"/>
  <c r="V167" i="1" s="1"/>
  <c r="Y166" i="1"/>
  <c r="V166" i="1" s="1"/>
  <c r="Y165" i="1"/>
  <c r="V165" i="1" s="1"/>
  <c r="Y164" i="1"/>
  <c r="V164" i="1" s="1"/>
  <c r="Y163" i="1"/>
  <c r="V163" i="1" s="1"/>
  <c r="Y162" i="1"/>
  <c r="V162" i="1" s="1"/>
  <c r="Y161" i="1"/>
  <c r="V161" i="1" s="1"/>
  <c r="Z160" i="1"/>
  <c r="Y160" i="1"/>
  <c r="V160" i="1" s="1"/>
  <c r="Z159" i="1"/>
  <c r="Y159" i="1"/>
  <c r="V159" i="1" s="1"/>
  <c r="Y158" i="1"/>
  <c r="Y157" i="1"/>
  <c r="Y156" i="1"/>
  <c r="X156" i="1"/>
  <c r="W156" i="1"/>
  <c r="Y155" i="1"/>
  <c r="V155" i="1" s="1"/>
  <c r="Y287" i="1"/>
  <c r="Y151" i="1"/>
  <c r="Y150" i="1"/>
  <c r="Y147" i="1"/>
  <c r="W147" i="1"/>
  <c r="Y146" i="1"/>
  <c r="X146" i="1"/>
  <c r="W146" i="1"/>
  <c r="Y145" i="1"/>
  <c r="V145" i="1" s="1"/>
  <c r="Y144" i="1"/>
  <c r="Y143" i="1"/>
  <c r="Y142" i="1"/>
  <c r="Y141" i="1"/>
  <c r="Y140" i="1"/>
  <c r="Y139" i="1"/>
  <c r="Y138" i="1"/>
  <c r="Y135" i="1"/>
  <c r="Y134" i="1"/>
  <c r="Y133" i="1"/>
  <c r="Y132" i="1"/>
  <c r="Y131" i="1"/>
  <c r="Y130" i="1"/>
  <c r="Y129" i="1"/>
  <c r="Y128" i="1"/>
  <c r="Y127" i="1"/>
  <c r="V127" i="1" s="1"/>
  <c r="Y227" i="1"/>
  <c r="Y261" i="1"/>
  <c r="Y64" i="1"/>
  <c r="V64" i="1" s="1"/>
  <c r="Y123" i="1"/>
  <c r="V123" i="1" s="1"/>
  <c r="Y122" i="1"/>
  <c r="X122" i="1" s="1"/>
  <c r="Y121" i="1"/>
  <c r="X121" i="1" s="1"/>
  <c r="Y120" i="1"/>
  <c r="Y119" i="1"/>
  <c r="Y118" i="1"/>
  <c r="Y117" i="1"/>
  <c r="Y116" i="1"/>
  <c r="V116" i="1" s="1"/>
  <c r="Y87" i="1"/>
  <c r="V87" i="1" s="1"/>
  <c r="Y284" i="1"/>
  <c r="V284" i="1" s="1"/>
  <c r="Y223" i="1"/>
  <c r="X223" i="1"/>
  <c r="W223" i="1"/>
  <c r="Y226" i="1"/>
  <c r="Y285" i="1"/>
  <c r="Y229" i="1"/>
  <c r="V229" i="1" s="1"/>
  <c r="Y228" i="1"/>
  <c r="V228" i="1" s="1"/>
  <c r="Y113" i="1"/>
  <c r="Y248" i="1"/>
  <c r="Y263" i="1"/>
  <c r="V263" i="1" s="1"/>
  <c r="Y88" i="1"/>
  <c r="V88" i="1" s="1"/>
  <c r="Y103" i="1"/>
  <c r="Y102" i="1"/>
  <c r="Y101" i="1"/>
  <c r="Y247" i="1"/>
  <c r="V247" i="1" s="1"/>
  <c r="Y89" i="1"/>
  <c r="Y104" i="1"/>
  <c r="Y63" i="1"/>
  <c r="Y65" i="1"/>
  <c r="Y95" i="1"/>
  <c r="Y93" i="1"/>
  <c r="Y254" i="1"/>
  <c r="Y91" i="1"/>
  <c r="V91" i="1" s="1"/>
  <c r="Y86" i="1"/>
  <c r="Y85" i="1"/>
  <c r="Y213" i="1"/>
  <c r="Y126" i="1"/>
  <c r="Y211" i="1"/>
  <c r="Y210" i="1"/>
  <c r="Y84" i="1"/>
  <c r="Y83" i="1"/>
  <c r="Y82" i="1"/>
  <c r="Y81" i="1"/>
  <c r="Y80" i="1"/>
  <c r="Y79" i="1"/>
  <c r="Y78" i="1"/>
  <c r="Y77" i="1"/>
  <c r="Y76" i="1"/>
  <c r="Z75" i="1"/>
  <c r="Y75" i="1"/>
  <c r="V75" i="1" s="1"/>
  <c r="Z74" i="1"/>
  <c r="Y74" i="1"/>
  <c r="V74" i="1" s="1"/>
  <c r="Z73" i="1"/>
  <c r="Y73" i="1"/>
  <c r="V73" i="1" s="1"/>
  <c r="Z72" i="1"/>
  <c r="Y72" i="1"/>
  <c r="V72" i="1" s="1"/>
  <c r="Y69" i="1"/>
  <c r="V69" i="1" s="1"/>
  <c r="Y68" i="1"/>
  <c r="V68" i="1" s="1"/>
  <c r="Y67" i="1"/>
  <c r="X67" i="1"/>
  <c r="W67" i="1"/>
  <c r="Y221" i="1"/>
  <c r="Y212" i="1"/>
  <c r="V212" i="1" s="1"/>
  <c r="Y111" i="1"/>
  <c r="Y66" i="1"/>
  <c r="Y214" i="1"/>
  <c r="Y152" i="1"/>
  <c r="V152" i="1" s="1"/>
  <c r="Y60" i="1"/>
  <c r="V60" i="1" s="1"/>
  <c r="Y59" i="1"/>
  <c r="V59" i="1" s="1"/>
  <c r="Y57" i="1"/>
  <c r="V57" i="1" s="1"/>
  <c r="Y55" i="1"/>
  <c r="Y54" i="1"/>
  <c r="V54" i="1" s="1"/>
  <c r="Y53" i="1"/>
  <c r="V53" i="1" s="1"/>
  <c r="Y52" i="1"/>
  <c r="V52" i="1" s="1"/>
  <c r="Y51" i="1"/>
  <c r="V51" i="1" s="1"/>
  <c r="Y50" i="1"/>
  <c r="V50" i="1" s="1"/>
  <c r="Y49" i="1"/>
  <c r="V49" i="1" s="1"/>
  <c r="Y48" i="1"/>
  <c r="V48" i="1" s="1"/>
  <c r="Y47" i="1"/>
  <c r="Y46" i="1"/>
  <c r="Y45" i="1"/>
  <c r="Y44" i="1"/>
  <c r="Y43" i="1"/>
  <c r="V43" i="1" s="1"/>
  <c r="Y42" i="1"/>
  <c r="V42" i="1" s="1"/>
  <c r="Y41" i="1"/>
  <c r="V41" i="1" s="1"/>
  <c r="Y40" i="1"/>
  <c r="Y39" i="1"/>
  <c r="Y38" i="1"/>
  <c r="Y37" i="1"/>
  <c r="Y36" i="1"/>
  <c r="Y35" i="1"/>
  <c r="Y34" i="1"/>
  <c r="Y33" i="1"/>
  <c r="Y32" i="1"/>
  <c r="Y31" i="1"/>
  <c r="V31" i="1" s="1"/>
  <c r="Y30" i="1"/>
  <c r="V30" i="1" s="1"/>
  <c r="Y29" i="1"/>
  <c r="V29" i="1" s="1"/>
  <c r="Z28" i="1"/>
  <c r="Y28" i="1" s="1"/>
  <c r="Z27" i="1"/>
  <c r="Y27" i="1" s="1"/>
  <c r="Z26" i="1"/>
  <c r="Y26" i="1" s="1"/>
  <c r="Y25" i="1"/>
  <c r="X25" i="1"/>
  <c r="W25" i="1"/>
  <c r="Y24" i="1"/>
  <c r="X24" i="1"/>
  <c r="Y20" i="1"/>
  <c r="V20" i="1" s="1"/>
  <c r="X20" i="1"/>
  <c r="W20" i="1"/>
  <c r="Y19" i="1"/>
  <c r="X19" i="1"/>
  <c r="W19" i="1"/>
  <c r="Y18" i="1"/>
  <c r="V18" i="1" s="1"/>
  <c r="Y17" i="1"/>
  <c r="V17" i="1" s="1"/>
  <c r="Y16" i="1"/>
  <c r="V16" i="1" s="1"/>
  <c r="Y15" i="1"/>
  <c r="V15" i="1" s="1"/>
  <c r="Y14" i="1"/>
  <c r="X14" i="1"/>
  <c r="W14" i="1"/>
  <c r="Y13" i="1"/>
  <c r="V13" i="1" s="1"/>
  <c r="Y3" i="1"/>
  <c r="V3" i="1" s="1"/>
  <c r="Y2" i="1"/>
  <c r="V175" i="1" l="1"/>
  <c r="V261" i="1"/>
  <c r="V118" i="1"/>
  <c r="V131" i="1"/>
  <c r="V189" i="1"/>
  <c r="V157" i="1"/>
  <c r="V193" i="1"/>
  <c r="V146" i="1"/>
  <c r="V239" i="1"/>
  <c r="V197" i="1"/>
  <c r="V199" i="1"/>
  <c r="V208" i="1"/>
  <c r="V65" i="1"/>
  <c r="V99" i="1"/>
  <c r="U67" i="1"/>
  <c r="V67" i="1" s="1"/>
  <c r="V220" i="1"/>
  <c r="V113" i="1"/>
  <c r="V214" i="1"/>
  <c r="V44" i="1"/>
  <c r="V82" i="1"/>
  <c r="V142" i="1"/>
  <c r="V133" i="1"/>
  <c r="V211" i="1"/>
  <c r="V46" i="1"/>
  <c r="V185" i="1"/>
  <c r="V132" i="1"/>
  <c r="V119" i="1"/>
  <c r="V103" i="1"/>
  <c r="V243" i="1"/>
  <c r="V235" i="1"/>
  <c r="V217" i="1"/>
  <c r="V97" i="1"/>
  <c r="V206" i="1"/>
  <c r="V201" i="1"/>
  <c r="V141" i="1"/>
  <c r="V257" i="1"/>
  <c r="V96" i="1"/>
  <c r="V205" i="1"/>
  <c r="V183" i="1"/>
  <c r="V158" i="1"/>
  <c r="V147" i="1"/>
  <c r="V79" i="1"/>
  <c r="V39" i="1"/>
  <c r="V234" i="1"/>
  <c r="V282" i="1"/>
  <c r="V231" i="1"/>
  <c r="V203" i="1"/>
  <c r="V196" i="1"/>
  <c r="V176" i="1"/>
  <c r="V138" i="1"/>
  <c r="V102" i="1"/>
  <c r="V210" i="1"/>
  <c r="V37" i="1"/>
  <c r="V139" i="1"/>
  <c r="V204" i="1"/>
  <c r="V109" i="1"/>
  <c r="V215" i="1"/>
  <c r="V287" i="1"/>
  <c r="V144" i="1"/>
  <c r="V128" i="1"/>
  <c r="V254" i="1"/>
  <c r="V84" i="1"/>
  <c r="V221" i="1"/>
  <c r="V209" i="1"/>
  <c r="V151" i="1"/>
  <c r="V135" i="1"/>
  <c r="V35" i="1"/>
  <c r="V25" i="1"/>
  <c r="V14" i="1"/>
  <c r="V62" i="1"/>
  <c r="U223" i="1"/>
  <c r="V223" i="1" s="1"/>
  <c r="V255" i="1"/>
  <c r="V218" i="1"/>
  <c r="V173" i="1"/>
  <c r="V150" i="1"/>
  <c r="V134" i="1"/>
  <c r="V104" i="1"/>
  <c r="V86" i="1"/>
  <c r="V111" i="1"/>
  <c r="V207" i="1"/>
  <c r="V63" i="1"/>
  <c r="V81" i="1"/>
  <c r="V66" i="1"/>
  <c r="V110" i="1"/>
  <c r="V281" i="1"/>
  <c r="V259" i="1"/>
  <c r="V230" i="1"/>
  <c r="V100" i="1"/>
  <c r="V216" i="1"/>
  <c r="V195" i="1"/>
  <c r="V156" i="1"/>
  <c r="V120" i="1"/>
  <c r="V101" i="1"/>
  <c r="V36" i="1"/>
  <c r="V258" i="1"/>
  <c r="V200" i="1"/>
  <c r="V194" i="1"/>
  <c r="V188" i="1"/>
  <c r="V227" i="1"/>
  <c r="V248" i="1"/>
  <c r="V28" i="1"/>
  <c r="V242" i="1"/>
  <c r="V233" i="1"/>
  <c r="V112" i="1"/>
  <c r="V89" i="1"/>
  <c r="V85" i="1"/>
  <c r="V83" i="1"/>
  <c r="V55" i="1"/>
  <c r="V47" i="1"/>
  <c r="V27" i="1"/>
  <c r="V98" i="1"/>
  <c r="V232" i="1"/>
  <c r="V241" i="1"/>
  <c r="V186" i="1"/>
  <c r="V180" i="1"/>
  <c r="V140" i="1"/>
  <c r="V226" i="1"/>
  <c r="V213" i="1"/>
  <c r="V34" i="1"/>
  <c r="V26" i="1"/>
  <c r="V256" i="1"/>
  <c r="V240" i="1"/>
  <c r="V219" i="1"/>
  <c r="V198" i="1"/>
  <c r="V192" i="1"/>
  <c r="V174" i="1"/>
  <c r="V130" i="1"/>
  <c r="V285" i="1"/>
  <c r="V93" i="1"/>
  <c r="V126" i="1"/>
  <c r="V33" i="1"/>
  <c r="V19" i="1"/>
  <c r="V283" i="1"/>
  <c r="V244" i="1"/>
  <c r="V237" i="1"/>
  <c r="V253" i="1"/>
  <c r="V191" i="1"/>
  <c r="V129" i="1"/>
  <c r="V117" i="1"/>
  <c r="V45" i="1"/>
  <c r="V32" i="1"/>
  <c r="V80" i="1"/>
  <c r="V236" i="1"/>
  <c r="V273" i="1"/>
  <c r="V190" i="1"/>
  <c r="V184" i="1"/>
  <c r="V143" i="1"/>
  <c r="V38" i="1"/>
  <c r="V24" i="1"/>
  <c r="V2" i="1"/>
  <c r="W122" i="1"/>
  <c r="U122" i="1" s="1"/>
  <c r="V122" i="1" s="1"/>
  <c r="W121" i="1"/>
  <c r="U121" i="1" s="1"/>
  <c r="V121" i="1" s="1"/>
  <c r="W183" i="1"/>
  <c r="N182" i="1" l="1"/>
  <c r="U182" i="1" s="1"/>
  <c r="V182" i="1" s="1"/>
  <c r="N181" i="1"/>
  <c r="U181" i="1" s="1"/>
  <c r="V181" i="1" s="1"/>
  <c r="N179" i="1"/>
  <c r="U179" i="1" s="1"/>
  <c r="V179" i="1" s="1"/>
  <c r="N177" i="1"/>
  <c r="U177" i="1" s="1"/>
  <c r="V177" i="1" s="1"/>
  <c r="N178" i="1"/>
  <c r="U178" i="1" s="1"/>
  <c r="V178" i="1" s="1"/>
  <c r="CX62" i="1" l="1"/>
  <c r="CK95" i="1" l="1"/>
  <c r="CH95" i="1"/>
  <c r="CG95" i="1"/>
  <c r="CD95" i="1"/>
  <c r="CC95" i="1"/>
  <c r="BZ95" i="1"/>
  <c r="BY95" i="1"/>
  <c r="BV95" i="1"/>
  <c r="BR95" i="1"/>
  <c r="BU95" i="1"/>
  <c r="BL95" i="1"/>
  <c r="BI95" i="1"/>
  <c r="BC95" i="1"/>
  <c r="AZ95" i="1"/>
  <c r="AY95" i="1"/>
  <c r="AV95" i="1"/>
  <c r="AU95" i="1"/>
  <c r="AR95" i="1"/>
  <c r="N95" i="1"/>
  <c r="U95" i="1" s="1"/>
  <c r="V95" i="1" s="1"/>
  <c r="CT76" i="1"/>
  <c r="N76" i="1"/>
  <c r="U76" i="1" s="1"/>
  <c r="V76" i="1" s="1"/>
  <c r="O61" i="1" l="1"/>
  <c r="Y61" i="1" s="1"/>
  <c r="V61" i="1" s="1"/>
  <c r="BM252" i="1" l="1"/>
  <c r="BD252" i="1"/>
  <c r="CX282" i="1"/>
  <c r="CX281" i="1"/>
  <c r="BD280" i="1"/>
  <c r="O280" i="1"/>
  <c r="Y280" i="1" s="1"/>
  <c r="V280" i="1" s="1"/>
  <c r="O279" i="1" l="1"/>
  <c r="CX278" i="1"/>
  <c r="O278" i="1"/>
  <c r="BM277" i="1"/>
  <c r="BM276" i="1"/>
  <c r="BD277" i="1"/>
  <c r="BD276" i="1"/>
  <c r="O277" i="1"/>
  <c r="Y277" i="1" s="1"/>
  <c r="V277" i="1" s="1"/>
  <c r="O276" i="1"/>
  <c r="Y276" i="1" s="1"/>
  <c r="V276" i="1" s="1"/>
  <c r="N275" i="1"/>
  <c r="U275" i="1" s="1"/>
  <c r="N274" i="1"/>
  <c r="U274" i="1" s="1"/>
  <c r="O274" i="1"/>
  <c r="Y274" i="1" s="1"/>
  <c r="O275" i="1"/>
  <c r="Y275" i="1" s="1"/>
  <c r="BM224" i="1"/>
  <c r="BD224" i="1"/>
  <c r="CX224" i="1"/>
  <c r="BD272" i="1"/>
  <c r="BM272" i="1"/>
  <c r="V274" i="1" l="1"/>
  <c r="V275" i="1"/>
  <c r="Y279" i="1"/>
  <c r="V279" i="1" s="1"/>
  <c r="Y278" i="1"/>
  <c r="V278" i="1" s="1"/>
  <c r="BD270" i="1"/>
  <c r="BD271" i="1"/>
  <c r="BD269" i="1"/>
  <c r="CX271" i="1"/>
  <c r="CX269" i="1"/>
  <c r="CX270" i="1"/>
  <c r="O269" i="1"/>
  <c r="Y269" i="1" s="1"/>
  <c r="V269" i="1" s="1"/>
  <c r="O271" i="1"/>
  <c r="Y271" i="1" s="1"/>
  <c r="V271" i="1" s="1"/>
  <c r="O270" i="1"/>
  <c r="Y270" i="1" l="1"/>
  <c r="V270" i="1" s="1"/>
  <c r="X270" i="1"/>
  <c r="W270" i="1"/>
  <c r="O251" i="1"/>
  <c r="Y251" i="1" s="1"/>
  <c r="V251" i="1" s="1"/>
  <c r="O250" i="1"/>
  <c r="Y250" i="1" s="1"/>
  <c r="O246" i="1"/>
  <c r="Y246" i="1" s="1"/>
  <c r="O245" i="1"/>
  <c r="Y245" i="1" s="1"/>
  <c r="N250" i="1" l="1"/>
  <c r="U250" i="1" s="1"/>
  <c r="V250" i="1" s="1"/>
  <c r="W250" i="1" l="1"/>
  <c r="X250" i="1"/>
  <c r="N245" i="1"/>
  <c r="U245" i="1" s="1"/>
  <c r="V245" i="1" s="1"/>
  <c r="N246" i="1"/>
  <c r="U246" i="1" s="1"/>
  <c r="V246" i="1" s="1"/>
  <c r="X246" i="1" l="1"/>
  <c r="W246" i="1"/>
  <c r="W245" i="1"/>
  <c r="X245" i="1"/>
  <c r="BM257" i="1"/>
  <c r="BM258" i="1"/>
  <c r="BM259" i="1"/>
  <c r="BM256" i="1"/>
  <c r="BD257" i="1"/>
  <c r="BD258" i="1"/>
  <c r="BD259" i="1"/>
  <c r="BD256" i="1"/>
  <c r="CX283" i="1"/>
  <c r="BM283" i="1"/>
  <c r="BD283" i="1"/>
  <c r="BM59" i="1" l="1"/>
  <c r="EB45" i="1" l="1"/>
  <c r="EB68" i="1"/>
  <c r="EB69" i="1"/>
  <c r="EA66" i="1"/>
  <c r="ED66" i="1"/>
  <c r="EA214" i="1"/>
  <c r="ED214" i="1"/>
  <c r="ED111" i="1"/>
  <c r="EB66" i="1" l="1"/>
  <c r="EB214" i="1"/>
  <c r="FB79" i="1" l="1"/>
  <c r="FB223" i="1"/>
  <c r="FB287" i="1"/>
  <c r="CX21" i="1" l="1"/>
  <c r="CX23" i="1"/>
  <c r="CX22" i="1"/>
  <c r="CX24" i="1"/>
  <c r="CX25" i="1"/>
  <c r="CX45" i="1"/>
  <c r="CX53" i="1"/>
  <c r="CX85" i="1"/>
  <c r="CX86" i="1"/>
  <c r="CX248" i="1"/>
  <c r="CX229" i="1"/>
  <c r="CX228" i="1"/>
  <c r="CX226" i="1"/>
  <c r="CX151" i="1"/>
  <c r="CX163" i="1"/>
  <c r="CX168" i="1"/>
  <c r="CX161" i="1"/>
  <c r="CX164" i="1"/>
  <c r="CX162" i="1"/>
  <c r="CX165" i="1"/>
  <c r="CX170" i="1"/>
  <c r="CX172" i="1"/>
  <c r="CX166" i="1"/>
  <c r="CX169" i="1"/>
  <c r="CX167" i="1"/>
  <c r="CX171" i="1"/>
  <c r="CX217" i="1"/>
  <c r="CX218" i="1"/>
  <c r="CX100" i="1"/>
  <c r="CX109" i="1"/>
  <c r="CX8" i="1"/>
  <c r="CX5" i="1"/>
  <c r="CX7" i="1"/>
  <c r="CX4" i="1"/>
  <c r="CX10" i="1"/>
  <c r="CX9" i="1"/>
  <c r="CX11" i="1"/>
  <c r="CX6" i="1"/>
  <c r="CX3" i="1"/>
  <c r="BM3" i="1"/>
  <c r="BM12" i="1"/>
  <c r="BM13" i="1"/>
  <c r="BM20" i="1"/>
  <c r="BM26" i="1"/>
  <c r="BM27" i="1"/>
  <c r="BM28" i="1"/>
  <c r="BM30" i="1"/>
  <c r="BM29" i="1"/>
  <c r="BM31" i="1"/>
  <c r="BM39" i="1"/>
  <c r="BM38" i="1"/>
  <c r="BM37" i="1"/>
  <c r="BM43" i="1"/>
  <c r="BM42" i="1"/>
  <c r="BM41" i="1"/>
  <c r="BM48" i="1"/>
  <c r="BM49" i="1"/>
  <c r="BM50" i="1"/>
  <c r="BM53" i="1"/>
  <c r="BM69" i="1"/>
  <c r="BM68" i="1"/>
  <c r="BM84" i="1"/>
  <c r="BM83" i="1"/>
  <c r="BM85" i="1"/>
  <c r="BM86" i="1"/>
  <c r="BM238" i="1"/>
  <c r="BM120" i="1"/>
  <c r="BM227" i="1"/>
  <c r="BM127" i="1"/>
  <c r="BM136" i="1"/>
  <c r="BM150" i="1"/>
  <c r="BM163" i="1"/>
  <c r="BM168" i="1"/>
  <c r="BM161" i="1"/>
  <c r="BM164" i="1"/>
  <c r="BM162" i="1"/>
  <c r="BM165" i="1"/>
  <c r="BM170" i="1"/>
  <c r="BM172" i="1"/>
  <c r="BM166" i="1"/>
  <c r="BM169" i="1"/>
  <c r="BM167" i="1"/>
  <c r="BM171" i="1"/>
  <c r="BM173" i="1"/>
  <c r="BM174" i="1"/>
  <c r="BM175" i="1"/>
  <c r="BM176" i="1"/>
  <c r="BM182" i="1"/>
  <c r="BM180" i="1"/>
  <c r="BM179" i="1"/>
  <c r="BM178" i="1"/>
  <c r="BM181" i="1"/>
  <c r="BM177" i="1"/>
  <c r="BM183" i="1"/>
  <c r="BM185" i="1"/>
  <c r="BM216" i="1"/>
  <c r="BM217" i="1"/>
  <c r="BM218" i="1"/>
  <c r="BM100" i="1"/>
  <c r="BM109" i="1"/>
  <c r="BM2" i="1"/>
  <c r="BD3" i="1"/>
  <c r="BD13" i="1"/>
  <c r="BD20" i="1"/>
  <c r="BD26" i="1"/>
  <c r="BD27" i="1"/>
  <c r="BD28" i="1"/>
  <c r="BD30" i="1"/>
  <c r="BD29" i="1"/>
  <c r="BD31" i="1"/>
  <c r="BD39" i="1"/>
  <c r="BD38" i="1"/>
  <c r="BD37" i="1"/>
  <c r="BD43" i="1"/>
  <c r="BD42" i="1"/>
  <c r="BD41" i="1"/>
  <c r="BD45" i="1"/>
  <c r="BD48" i="1"/>
  <c r="BD49" i="1"/>
  <c r="BD50" i="1"/>
  <c r="BD53" i="1"/>
  <c r="BD69" i="1"/>
  <c r="BD68" i="1"/>
  <c r="BD84" i="1"/>
  <c r="BD83" i="1"/>
  <c r="BD238" i="1"/>
  <c r="BD227" i="1"/>
  <c r="BD136" i="1"/>
  <c r="BD150" i="1"/>
  <c r="BD160" i="1"/>
  <c r="BD159" i="1"/>
  <c r="BD173" i="1"/>
  <c r="BD174" i="1"/>
  <c r="BD175" i="1"/>
  <c r="BD176" i="1"/>
  <c r="BD182" i="1"/>
  <c r="BD180" i="1"/>
  <c r="BD179" i="1"/>
  <c r="BD178" i="1"/>
  <c r="BD181" i="1"/>
  <c r="BD177" i="1"/>
  <c r="BD183" i="1"/>
  <c r="BD184" i="1"/>
  <c r="BD185" i="1"/>
  <c r="BD216" i="1"/>
  <c r="BD217" i="1"/>
  <c r="BD218" i="1"/>
  <c r="BD100" i="1"/>
  <c r="BD109" i="1"/>
  <c r="BD235" i="1"/>
  <c r="BD232" i="1"/>
  <c r="BD231" i="1"/>
  <c r="BD236" i="1"/>
  <c r="BD234" i="1"/>
  <c r="BD233" i="1"/>
  <c r="BD2" i="1"/>
  <c r="N260" i="1" l="1"/>
  <c r="U260" i="1" s="1"/>
  <c r="V260" i="1" s="1"/>
  <c r="N125" i="1"/>
  <c r="U125" i="1" s="1"/>
  <c r="V125" i="1" s="1"/>
  <c r="N255" i="1"/>
  <c r="DN240" i="1"/>
  <c r="DK240" i="1"/>
  <c r="CW240" i="1"/>
  <c r="CT240" i="1"/>
  <c r="BL240" i="1"/>
  <c r="BI240" i="1"/>
  <c r="BC240" i="1"/>
  <c r="AZ240" i="1"/>
  <c r="DN241" i="1"/>
  <c r="DK241" i="1"/>
  <c r="CW241" i="1"/>
  <c r="CT241" i="1"/>
  <c r="BL241" i="1"/>
  <c r="BI241" i="1"/>
  <c r="BC241" i="1"/>
  <c r="AZ241" i="1"/>
  <c r="CT216" i="1"/>
  <c r="CX216" i="1" s="1"/>
  <c r="O249" i="1"/>
  <c r="Y249" i="1" s="1"/>
  <c r="V249" i="1" s="1"/>
  <c r="O225" i="1"/>
  <c r="Y225" i="1" s="1"/>
  <c r="V225" i="1" s="1"/>
  <c r="CL215" i="1"/>
  <c r="N262" i="1"/>
  <c r="U262" i="1" s="1"/>
  <c r="V262" i="1" s="1"/>
  <c r="FE183" i="1"/>
  <c r="FD183" i="1"/>
  <c r="EW183" i="1"/>
  <c r="EV183" i="1"/>
  <c r="ES183" i="1"/>
  <c r="ER183" i="1"/>
  <c r="DY183" i="1"/>
  <c r="DX183" i="1"/>
  <c r="BB183" i="1"/>
  <c r="BA183" i="1"/>
  <c r="AT183" i="1"/>
  <c r="AS183" i="1"/>
  <c r="X262" i="1" l="1"/>
  <c r="BM241" i="1"/>
  <c r="CX240" i="1"/>
  <c r="CX241" i="1"/>
  <c r="BM240" i="1"/>
  <c r="BD241" i="1"/>
  <c r="BD240" i="1"/>
  <c r="O154" i="1" l="1"/>
  <c r="Y154" i="1" s="1"/>
  <c r="V154" i="1" s="1"/>
  <c r="O153" i="1"/>
  <c r="Y153" i="1" s="1"/>
  <c r="V153" i="1" s="1"/>
  <c r="GD287" i="1"/>
  <c r="GA287" i="1"/>
  <c r="FJ287" i="1"/>
  <c r="FG287" i="1"/>
  <c r="EY287" i="1"/>
  <c r="EP287" i="1"/>
  <c r="EM287" i="1"/>
  <c r="DR287" i="1"/>
  <c r="DO287" i="1"/>
  <c r="DN287" i="1"/>
  <c r="DK287" i="1"/>
  <c r="BQ287" i="1"/>
  <c r="BN287" i="1"/>
  <c r="BC287" i="1"/>
  <c r="AZ287" i="1"/>
  <c r="CO148" i="1"/>
  <c r="CL148" i="1"/>
  <c r="O148" i="1"/>
  <c r="Y148" i="1" s="1"/>
  <c r="V148" i="1" s="1"/>
  <c r="CO149" i="1"/>
  <c r="CL149" i="1"/>
  <c r="O149" i="1"/>
  <c r="Y149" i="1" s="1"/>
  <c r="V149" i="1" s="1"/>
  <c r="DN138" i="1"/>
  <c r="DK138" i="1"/>
  <c r="DN139" i="1"/>
  <c r="DK139" i="1"/>
  <c r="CW137" i="1"/>
  <c r="CX137" i="1" s="1"/>
  <c r="BQ137" i="1"/>
  <c r="BN137" i="1"/>
  <c r="BH137" i="1"/>
  <c r="BE137" i="1"/>
  <c r="O137" i="1"/>
  <c r="Y137" i="1" s="1"/>
  <c r="V137" i="1" s="1"/>
  <c r="O136" i="1"/>
  <c r="Y136" i="1" s="1"/>
  <c r="V136" i="1" s="1"/>
  <c r="AU227" i="1"/>
  <c r="AR227" i="1"/>
  <c r="BI119" i="1"/>
  <c r="BM119" i="1" s="1"/>
  <c r="EY223" i="1"/>
  <c r="EX223" i="1"/>
  <c r="EU223" i="1"/>
  <c r="EL223" i="1"/>
  <c r="EI223" i="1"/>
  <c r="BL223" i="1"/>
  <c r="BI223" i="1"/>
  <c r="BH223" i="1"/>
  <c r="BE223" i="1"/>
  <c r="AU223" i="1"/>
  <c r="AR223" i="1"/>
  <c r="BL226" i="1"/>
  <c r="BI226" i="1"/>
  <c r="BC226" i="1"/>
  <c r="AZ226" i="1"/>
  <c r="GI88" i="1"/>
  <c r="EQ88" i="1"/>
  <c r="BL88" i="1"/>
  <c r="BI88" i="1"/>
  <c r="AZ88" i="1"/>
  <c r="BD88" i="1" s="1"/>
  <c r="GL94" i="1"/>
  <c r="GI94" i="1"/>
  <c r="GH94" i="1"/>
  <c r="GE94" i="1"/>
  <c r="GD94" i="1"/>
  <c r="GA94" i="1"/>
  <c r="FN94" i="1"/>
  <c r="FK94" i="1"/>
  <c r="ET94" i="1"/>
  <c r="EQ94" i="1"/>
  <c r="EP94" i="1"/>
  <c r="EM94" i="1"/>
  <c r="ED94" i="1"/>
  <c r="EA94" i="1"/>
  <c r="DR94" i="1"/>
  <c r="DO94" i="1"/>
  <c r="BL94" i="1"/>
  <c r="BI94" i="1"/>
  <c r="BC94" i="1"/>
  <c r="AZ94" i="1"/>
  <c r="AU94" i="1"/>
  <c r="AR94" i="1"/>
  <c r="O94" i="1"/>
  <c r="Y94" i="1" s="1"/>
  <c r="V94" i="1" s="1"/>
  <c r="DF93" i="1"/>
  <c r="DC93" i="1"/>
  <c r="CS93" i="1"/>
  <c r="CP93" i="1"/>
  <c r="BL93" i="1"/>
  <c r="BI93" i="1"/>
  <c r="BC93" i="1"/>
  <c r="AZ93" i="1"/>
  <c r="GD79" i="1"/>
  <c r="GA79" i="1"/>
  <c r="FZ79" i="1"/>
  <c r="FW79" i="1"/>
  <c r="FV79" i="1"/>
  <c r="FS79" i="1"/>
  <c r="FR79" i="1"/>
  <c r="FO79" i="1"/>
  <c r="FN79" i="1"/>
  <c r="FK79" i="1"/>
  <c r="EY79" i="1"/>
  <c r="ET79" i="1"/>
  <c r="EQ79" i="1"/>
  <c r="EP79" i="1"/>
  <c r="EM79" i="1"/>
  <c r="ED79" i="1"/>
  <c r="EA79" i="1"/>
  <c r="DR79" i="1"/>
  <c r="DO79" i="1"/>
  <c r="DN79" i="1"/>
  <c r="DK79" i="1"/>
  <c r="DJ79" i="1"/>
  <c r="DG79" i="1"/>
  <c r="CC79" i="1"/>
  <c r="BZ79" i="1"/>
  <c r="BL79" i="1"/>
  <c r="BI79" i="1"/>
  <c r="BC79" i="1"/>
  <c r="AZ79" i="1"/>
  <c r="AU79" i="1"/>
  <c r="AR79" i="1"/>
  <c r="DB77" i="1"/>
  <c r="CY77" i="1"/>
  <c r="CT77" i="1"/>
  <c r="CX77" i="1" s="1"/>
  <c r="N77" i="1"/>
  <c r="U77" i="1" s="1"/>
  <c r="V77" i="1" s="1"/>
  <c r="DB78" i="1"/>
  <c r="CY78" i="1"/>
  <c r="CT78" i="1"/>
  <c r="CX78" i="1" s="1"/>
  <c r="N78" i="1"/>
  <c r="U78" i="1" s="1"/>
  <c r="V78" i="1" s="1"/>
  <c r="DF67" i="1"/>
  <c r="DE67" i="1"/>
  <c r="DD67" i="1"/>
  <c r="ED221" i="1"/>
  <c r="EA221" i="1"/>
  <c r="CO221" i="1"/>
  <c r="CL221" i="1"/>
  <c r="BU221" i="1"/>
  <c r="BR221" i="1"/>
  <c r="BL221" i="1"/>
  <c r="BI221" i="1"/>
  <c r="BH221" i="1"/>
  <c r="BE221" i="1"/>
  <c r="CO214" i="1"/>
  <c r="CL214" i="1"/>
  <c r="BU214" i="1"/>
  <c r="BR214" i="1"/>
  <c r="BL214" i="1"/>
  <c r="BI214" i="1"/>
  <c r="BH214" i="1"/>
  <c r="BE214" i="1"/>
  <c r="EA111" i="1"/>
  <c r="EB111" i="1" s="1"/>
  <c r="CO111" i="1"/>
  <c r="CL111" i="1"/>
  <c r="BU111" i="1"/>
  <c r="BR111" i="1"/>
  <c r="BL111" i="1"/>
  <c r="BI111" i="1"/>
  <c r="BH111" i="1"/>
  <c r="BE111" i="1"/>
  <c r="ED212" i="1"/>
  <c r="EA212" i="1"/>
  <c r="CO212" i="1"/>
  <c r="CL212" i="1"/>
  <c r="BU212" i="1"/>
  <c r="BR212" i="1"/>
  <c r="BL212" i="1"/>
  <c r="BI212" i="1"/>
  <c r="BH212" i="1"/>
  <c r="BE212" i="1"/>
  <c r="ED152" i="1"/>
  <c r="EA152" i="1"/>
  <c r="CO152" i="1"/>
  <c r="CL152" i="1"/>
  <c r="BU152" i="1"/>
  <c r="BR152" i="1"/>
  <c r="BL152" i="1"/>
  <c r="BI152" i="1"/>
  <c r="BH152" i="1"/>
  <c r="BE152" i="1"/>
  <c r="CO66" i="1"/>
  <c r="CL66" i="1"/>
  <c r="BU66" i="1"/>
  <c r="BR66" i="1"/>
  <c r="BL66" i="1"/>
  <c r="BI66" i="1"/>
  <c r="BH66" i="1"/>
  <c r="BE66" i="1"/>
  <c r="N40" i="1"/>
  <c r="U40" i="1" s="1"/>
  <c r="V40" i="1" s="1"/>
  <c r="EI38" i="1"/>
  <c r="EI39" i="1"/>
  <c r="CR14" i="1"/>
  <c r="CQ14" i="1"/>
  <c r="CP14" i="1"/>
  <c r="BK14" i="1"/>
  <c r="BJ14" i="1"/>
  <c r="BI14" i="1"/>
  <c r="BM14" i="1" s="1"/>
  <c r="BB14" i="1"/>
  <c r="BA14" i="1"/>
  <c r="AZ14" i="1"/>
  <c r="BD14" i="1" s="1"/>
  <c r="EB94" i="1" l="1"/>
  <c r="EB221" i="1"/>
  <c r="EB79" i="1"/>
  <c r="EB152" i="1"/>
  <c r="EB212" i="1"/>
  <c r="BM94" i="1"/>
  <c r="BM223" i="1"/>
  <c r="CX76" i="1"/>
  <c r="BM95" i="1"/>
  <c r="BM152" i="1"/>
  <c r="BM111" i="1"/>
  <c r="BM221" i="1"/>
  <c r="BM79" i="1"/>
  <c r="BM226" i="1"/>
  <c r="BM93" i="1"/>
  <c r="BD79" i="1"/>
  <c r="BM88" i="1"/>
  <c r="BD93" i="1"/>
  <c r="BD287" i="1"/>
  <c r="BM66" i="1"/>
  <c r="BM212" i="1"/>
  <c r="BM214" i="1"/>
  <c r="BD226" i="1"/>
  <c r="BD94" i="1"/>
  <c r="BD95" i="1"/>
  <c r="DC67" i="1"/>
</calcChain>
</file>

<file path=xl/comments1.xml><?xml version="1.0" encoding="utf-8"?>
<comments xmlns="http://schemas.openxmlformats.org/spreadsheetml/2006/main">
  <authors>
    <author>Emma</author>
  </authors>
  <commentList>
    <comment ref="N1" authorId="0" shapeId="0">
      <text>
        <r>
          <rPr>
            <b/>
            <sz val="9"/>
            <color indexed="81"/>
            <rFont val="Tahoma"/>
            <charset val="1"/>
          </rPr>
          <t>Emma:</t>
        </r>
        <r>
          <rPr>
            <sz val="9"/>
            <color indexed="81"/>
            <rFont val="Tahoma"/>
            <charset val="1"/>
          </rPr>
          <t xml:space="preserve">
Biogenic credit is sometimes already in- or excluded in gwp_bb, this is thus not a representation of all addressed biogenic carbon content</t>
        </r>
      </text>
    </comment>
  </commentList>
</comments>
</file>

<file path=xl/sharedStrings.xml><?xml version="1.0" encoding="utf-8"?>
<sst xmlns="http://schemas.openxmlformats.org/spreadsheetml/2006/main" count="12953" uniqueCount="1744">
  <si>
    <t>Scale-up method</t>
  </si>
  <si>
    <t>Biochemical</t>
  </si>
  <si>
    <t>Urban_&amp;_Bakshi</t>
  </si>
  <si>
    <t>Three LCA methods are applied to the case study of 1,3-propanediol (PDO) produced via fossil-based and bio-based feedstocks</t>
  </si>
  <si>
    <t>1,3-propanediol</t>
  </si>
  <si>
    <t>Biological (biochemical) conversion</t>
  </si>
  <si>
    <t>Corn</t>
  </si>
  <si>
    <t>Pure feedstock (1st generation)</t>
  </si>
  <si>
    <t>No</t>
  </si>
  <si>
    <t>Cradle-to-gate</t>
  </si>
  <si>
    <t>conventional: syngas reacting with ethylene oxide</t>
  </si>
  <si>
    <t>Patent + Process simulation</t>
  </si>
  <si>
    <t>Attributional</t>
  </si>
  <si>
    <t>Lab-scale</t>
  </si>
  <si>
    <t>Yes</t>
  </si>
  <si>
    <t>CHEMDAD software</t>
  </si>
  <si>
    <t>Fermentation</t>
  </si>
  <si>
    <t>CML 2.03</t>
  </si>
  <si>
    <t>USA</t>
  </si>
  <si>
    <t xml:space="preserve">The trends found in this study are similar to those found with biofuels, which are that biomaterials may reduce GHGs and fossil fuel consumption but they place a larger stress on ecosystems than their fossil-based equivalent. These stresses are determined by the Eco-LCA approach, which goes beyond conventional LCA methods by including energetic quality and ecosystem goods and services consumed through the entire life cycle. </t>
  </si>
  <si>
    <t>Aryapratama_&amp;_Janssen</t>
  </si>
  <si>
    <t>prospective life cycle assessment (LCA) of bio-based adipic acid pro- duction from forest residues at an early development stage, situated in Sweden</t>
  </si>
  <si>
    <t>adipic acid</t>
  </si>
  <si>
    <t>Hydrolysis and fermentation</t>
  </si>
  <si>
    <t>Forest residues of roundwood</t>
  </si>
  <si>
    <t>Agricultural &amp; Forestry residues</t>
  </si>
  <si>
    <t>conventional: oxidation of a mixture of cyclo-hexanone</t>
  </si>
  <si>
    <t>Global</t>
  </si>
  <si>
    <t>Ecoinvent 3.1</t>
  </si>
  <si>
    <t>linear scale up</t>
  </si>
  <si>
    <t>2012 - 2014</t>
  </si>
  <si>
    <t>Sweden</t>
  </si>
  <si>
    <t>Producing bio-based adipic acid using the alkaline pretreatment has a higher environmental impact than producing it using acid-catalyzed pretreatment.</t>
  </si>
  <si>
    <t>Benalcazar_et_al</t>
  </si>
  <si>
    <t xml:space="preserve">This study presents the design and assessment of site-specific supply chains and related manufacturing processes for the production of bio-based chemicals from the syngas platform and via gasifi cation of lignocellulosic biomass followed by syngas fermentation. </t>
  </si>
  <si>
    <t>2,3-butanediol</t>
  </si>
  <si>
    <t>Syngas fermentation (hybrid process)</t>
  </si>
  <si>
    <t>Corn stover</t>
  </si>
  <si>
    <t>Cradle-to-gate plus EoL</t>
  </si>
  <si>
    <t>conventional</t>
  </si>
  <si>
    <t>literature</t>
  </si>
  <si>
    <t>1991 - 2016</t>
  </si>
  <si>
    <t>Results suggest that the syngas platform, through the hybrid process (biomass gasifi cation followed by syn- gas fermentation), is a potentially competitive route to produce 2,3-butanediol.</t>
  </si>
  <si>
    <t>Sugarcane bagasse</t>
  </si>
  <si>
    <t>Brazil</t>
  </si>
  <si>
    <t>Pine wood</t>
  </si>
  <si>
    <t>Eucalyptus wood</t>
  </si>
  <si>
    <t>Production of  hexanoic acid though the hybrid process may potentially lead to lower GHG emissions than their respective fossil-based counterparts. However, uncertainties still exist within the economic performance due to the lack of commercial-scale projects that could serve as reference for cost-related data</t>
  </si>
  <si>
    <t>Ekman_&amp;_Börjesson</t>
  </si>
  <si>
    <t>an environmental system study of the production of propionic acid in a biorefinery system based on agricultural by-products</t>
  </si>
  <si>
    <t>propionic acid</t>
  </si>
  <si>
    <t>Potato Pulp &amp; Rapeseed (glycerol)</t>
  </si>
  <si>
    <t>Yes, dLUC</t>
  </si>
  <si>
    <t>Ullmann’s Encyclopedia of Industrial Chemistry</t>
  </si>
  <si>
    <t>1993 - 2010</t>
  </si>
  <si>
    <t>Biomass-based propionic acid leads to a greenhouse gas reduction of 60% compared to propionic acid from fossil sources. However, the primary energy input is about twice as high for the biomass-based propionic acid. The choice of input energy and the efficiency of the process, as well as the technology applied, have high impacts on the environmental performance of the biorefinery concept.</t>
  </si>
  <si>
    <t>Liptow_&amp;_Tillman</t>
  </si>
  <si>
    <t>This screening LCA is intended to identify key aspects that influence the environmental impact of sugarcane low-density polyethylene (LDPE) and compare these results against fossil-based LDPE.</t>
  </si>
  <si>
    <t>polyethylene</t>
  </si>
  <si>
    <t>Sugarcane</t>
  </si>
  <si>
    <t>Yes, iLUC</t>
  </si>
  <si>
    <t>Cradle-to-grave</t>
  </si>
  <si>
    <t>Middle East</t>
  </si>
  <si>
    <t>StatoilHydro and NTM</t>
  </si>
  <si>
    <t>Industrial-scale</t>
  </si>
  <si>
    <t>ASPEN HYSYS</t>
  </si>
  <si>
    <t>2004 - 2009</t>
  </si>
  <si>
    <t>Europe</t>
  </si>
  <si>
    <t>The study showed that the major contributors to the environmental impact of sugarcane LDPE are ethanol production, polymerization, and long-distance sea transport. The com- parison between sugarcane- and oil-based plastics showed that the sugarcane alternative consumes more total energy, although the major share is renewable.</t>
  </si>
  <si>
    <t>Liptow_et_al</t>
  </si>
  <si>
    <t>This study assesses the environmental impact ofproducing ethylene from Swedish wood ethanol</t>
  </si>
  <si>
    <t>ethylene</t>
  </si>
  <si>
    <t>Sawmill residues</t>
  </si>
  <si>
    <t>Simapro</t>
  </si>
  <si>
    <t>Pilot-scale</t>
  </si>
  <si>
    <t>ASPEN PLUS and Producer data</t>
  </si>
  <si>
    <t>own calculations</t>
  </si>
  <si>
    <t>2007-2011</t>
  </si>
  <si>
    <t>The study has shown that the production of the enzymes used for the hydrolysis of the sawmill chips is decisive for the environmental impact ofthe wood-based ethylene.</t>
  </si>
  <si>
    <t>Tufvesson_et_al</t>
  </si>
  <si>
    <t>Environmental and economic assessment propionic acid by fermentation of glycerol as a renewable resource</t>
  </si>
  <si>
    <t>Glycerol from rapeseed oil</t>
  </si>
  <si>
    <t>Literature (Samel et al. (2005))</t>
  </si>
  <si>
    <t>SuperPro Designer</t>
  </si>
  <si>
    <t>IPCC GWP 100a</t>
  </si>
  <si>
    <t>2010-2013</t>
  </si>
  <si>
    <t>Production of biobased propionic acid has the potential to achieve a reduction ofGWP of20–25% compared to conventional production. However the process needs to be improved as compared to the state of the art today; space–time yield need to be increased and NaOH con- sumption reduced to be competitive</t>
  </si>
  <si>
    <t>Glucose from sugarbeet</t>
  </si>
  <si>
    <t>Molasses</t>
  </si>
  <si>
    <t>J Artichoke</t>
  </si>
  <si>
    <t>Pure feedstock (2nd generation)</t>
  </si>
  <si>
    <t>Zhang_et_al</t>
  </si>
  <si>
    <t>Life cycle assessment evaluates and quantifies the environmental impacts of renewable chemical production from forest residue via fast pyrolysis with hydrotreating/ fluidized catalytic cracking (FCC) pathway.</t>
  </si>
  <si>
    <t>Thermochemical conversion</t>
  </si>
  <si>
    <t>Forestresidues</t>
  </si>
  <si>
    <t>aromatics &amp; olefins</t>
  </si>
  <si>
    <t>Literature</t>
  </si>
  <si>
    <t>ASPEN PLUS</t>
  </si>
  <si>
    <t>Fast pyrolysis</t>
  </si>
  <si>
    <t>2010-2014</t>
  </si>
  <si>
    <t>Sensitivity analysis indicates that bio-oil yields and chemical yields play the most important roles in the greenhouse gas footprints.</t>
  </si>
  <si>
    <t>Biorefinery</t>
  </si>
  <si>
    <t>Fiorentino_et_al</t>
  </si>
  <si>
    <t xml:space="preserve">The aim of this study is to evaluate the environmental, energetic and economic feasibility, in terms of emissions, energy gain and economic income, of a biorefinery-oriented system, with a special focus on the production of value-added chemicals via the Biofine process from an oilseed crop (Brassica carinata) grown on marginal land in Campania Region (southern Italy). </t>
  </si>
  <si>
    <t>formic acid</t>
  </si>
  <si>
    <t>Biofine process</t>
  </si>
  <si>
    <t>Brassica carinata</t>
  </si>
  <si>
    <t>No, but only marginal land is considered</t>
  </si>
  <si>
    <t>SimaPro</t>
  </si>
  <si>
    <t>CML</t>
  </si>
  <si>
    <t>2013-2014</t>
  </si>
  <si>
    <t>Italy</t>
  </si>
  <si>
    <t>In spite of claims of biomass-based “greenness”, both systems still rely on large fractions of non- renewable energy sources (around 90% of the total use) and mostly affect the same impact categories (abiotic depletion and global warming). The agricultural phase contributes to the total impact more than the industrial extraction and conversion steps, being the nitrogen fertilizers responsible for most of impacts of both systems. However, the conversion of lignocellulosic residues into chemicals instead of heat, conserves the structural quality of natural polymers in the form of marketable value added products (ethyl levulinate and formic acid), also translating into large energy savings compared to traditional chemical routes.</t>
  </si>
  <si>
    <t>Adom_et_al</t>
  </si>
  <si>
    <t>a life-cycle analysis of eight bioproducts produced from either algal-derived glycerol or corn stover-derived sugars.</t>
  </si>
  <si>
    <t>succinic acid</t>
  </si>
  <si>
    <t>GREET</t>
  </si>
  <si>
    <t>The bioproducts uniformly offer GHG emissions reductions compared to their fossil counterparts ranging from 39 to 86% on a cradle-to-grave basis.</t>
  </si>
  <si>
    <t>1,4-butanediol</t>
  </si>
  <si>
    <t xml:space="preserve">Hydrogenation </t>
  </si>
  <si>
    <t>Hydrogenation</t>
  </si>
  <si>
    <t>2012-2013</t>
  </si>
  <si>
    <t>isobutanol</t>
  </si>
  <si>
    <t>Cok_et_al</t>
  </si>
  <si>
    <t>A life cycle assessment of different bio-based succinic acid production processes, based on dextrose from corn, was performed to investigate their non-renewable energy use (NREU) and greenhouse gas (GHG) emissions, from cradle-to-factory gate in Europe</t>
  </si>
  <si>
    <t>Fermentation (low PH)</t>
  </si>
  <si>
    <t>Ecoinvent</t>
  </si>
  <si>
    <t>Low pH yeast fermentation to succinic acid with direct crystallization was found to have signifi cantly lower GHG emissions and NREU, compared to other fermentation routes and three petrochemical routes</t>
  </si>
  <si>
    <t>Fermentation (neutral pH)</t>
  </si>
  <si>
    <t>Khoo_et_al</t>
  </si>
  <si>
    <t>A relative LCA comparing 2-MeTHF manufacture originating from dif- ferent biomass resources was carried out to investigate the sustainability of each feedstock</t>
  </si>
  <si>
    <t>THF</t>
  </si>
  <si>
    <t xml:space="preserve">conventional </t>
  </si>
  <si>
    <t>Ecoinvent 3.7 (Tetrahydrofuran {GLO}| market for | APOS, U)</t>
  </si>
  <si>
    <t>1997 - 2013</t>
  </si>
  <si>
    <t>The order of preference for the results shown for land footprint (LF) per kg 2-MeTHF is sugarcane-bagasse, followed by rice straw and last of all, corn stover. All agriculture stages score significantly higher in global warming potential, acidifica- tion, eutrophication and energy use, compared to the impacts from the stages of processing biomass to 2-MeTHF.</t>
  </si>
  <si>
    <t>Rice straw</t>
  </si>
  <si>
    <t>China</t>
  </si>
  <si>
    <t>Gonzalez-Garay_et_al</t>
  </si>
  <si>
    <t>A Techno-Economic and Environmental Assessment of the production of high-value biobased propylene glycol as an alternative chemical route to valorize biodiesel glycerol.</t>
  </si>
  <si>
    <t>propylene glycol</t>
  </si>
  <si>
    <t>Hydrogenolysis (isothermal)</t>
  </si>
  <si>
    <t>soybean oil</t>
  </si>
  <si>
    <t>convetional</t>
  </si>
  <si>
    <t>Encyclopedia of chemical processing and design</t>
  </si>
  <si>
    <t>CML 2001</t>
  </si>
  <si>
    <t>2012 - 2016</t>
  </si>
  <si>
    <t>The results presented for the deterministic evaluation of the alternatives show that the use of an external source of hydrogen at atmospheric pressure and gradient of temperatures (GB-2) represents the best glycerol route with potential to increase profitability and reduce the environmental impact (compared to the BAU process) in all the categories evaluated.</t>
  </si>
  <si>
    <t>Hydrogenolysis (non-isothermal)</t>
  </si>
  <si>
    <t>Hydrogenolysis (isothermal &amp; in situ hydrogen)</t>
  </si>
  <si>
    <t>Gunukula_et_al</t>
  </si>
  <si>
    <t>The minimum selling price (MSP), specific energy consumption, and greenhouse (GHG) emissions resulting from biobased production of adipic acid, succinic acid, 1,3-propanediol, 3-hydroxy propionic acid, and isobutanol were estimated for various combinations of titer, yield, and volumetric productivity</t>
  </si>
  <si>
    <t>Fermentation (anaerobic/microaerobic)</t>
  </si>
  <si>
    <t xml:space="preserve">ASPEN PLUS, SuperPro Designer </t>
  </si>
  <si>
    <t xml:space="preserve">The comparison of feasible spaces of processes for the production of biobased commodity chemicals shows that a biocatalyst must exhibit titers of at least 45 g/L. They found: if a biocommodity chemical production process is found to be economically feasible, then the environmental performance of the biobased commodity chemical route will be equal or better than that of conventional petrochemical route. </t>
  </si>
  <si>
    <t>Fermentation (anaerobic)</t>
  </si>
  <si>
    <t>Fermentation (aerobic/microaerobic)</t>
  </si>
  <si>
    <t>3-hydroxy propionic acid</t>
  </si>
  <si>
    <t>Fermentaiton (anaerobic/microaerobic)</t>
  </si>
  <si>
    <t>2014 - 2016</t>
  </si>
  <si>
    <t>Mandegari_et_al</t>
  </si>
  <si>
    <t>Environmental assesment of alternative lignocellulose biorefineries annexed to a typical sugar mill were investigated to co-produce ethanol (EtOH), lactic acid (LA), and/or electricity, utilizing bagasse and a component of harvesting residues (brown leaves) as feedstock.</t>
  </si>
  <si>
    <t>lactic acid</t>
  </si>
  <si>
    <t>Simultaneous hydrolysis and fermentation (SHF) (LA from xylose and glucose)</t>
  </si>
  <si>
    <t>Ecoinvent 3.7 lactic acid {GLO}| market for | APOS, U)</t>
  </si>
  <si>
    <t>CML 3.02</t>
  </si>
  <si>
    <t>South-Africa</t>
  </si>
  <si>
    <t>multi- product scenarios presented distinctly improved economic performance than Scenario 1, with environmental perfor- mance that was only slightly inferior to that of Scenario 1.</t>
  </si>
  <si>
    <t>Fermentation (LA from xylose)</t>
  </si>
  <si>
    <t>Simultaneous hydrolysis and fermentation (SHF) (LA from glucose)</t>
  </si>
  <si>
    <t>Zucaro_et_al</t>
  </si>
  <si>
    <t>LCA of cradle-to-factory gate greenhouse gas (GHG) emissions and non-renewable energy use (NREU) of bio-SA from lignocellulosic giant reed (GR) feedstock grown on marginal lands in Southern Italy (GR bio-SA)</t>
  </si>
  <si>
    <t>Hydrolysis and co-fermentation</t>
  </si>
  <si>
    <t>giant reed</t>
  </si>
  <si>
    <t>This study showed that the lignocellulosic-based GR bio-SA might, against the fossil maleic anhydride and fossil succinic acid counterparts, provide: (1) relevant not- renewable energy saving and (2) comparable or higher gross GHG emissions. The latter outcome underlines the importance of further optimizing the N source in the fermentation media.</t>
  </si>
  <si>
    <t>Chen_et_al</t>
  </si>
  <si>
    <t>This study aims to analyze the environmental performance of caproic acid production from mixed organic waste via chain elongation</t>
  </si>
  <si>
    <t>Chain elongation</t>
  </si>
  <si>
    <t>organic fraction of municipal solid waste (OFMSW)</t>
  </si>
  <si>
    <t>gate-to-gate</t>
  </si>
  <si>
    <t>Ecoinvent 3.7 adipic acid {GLO}| market for | APOS, U)</t>
  </si>
  <si>
    <t>They recommend that future research and industrial producers focus on the reduction of ethanol use in chain elongation and improve the recovery efficiency of the extraction solvent.</t>
  </si>
  <si>
    <t xml:space="preserve">supermarket food waste (SFW) </t>
  </si>
  <si>
    <t>Zheng_et_al</t>
  </si>
  <si>
    <t>Prospective and detailed techno-economic life-cycle assessment for the joint production of levoglucosan, phenol-formaldehyde resins, and noncorrosive road deicers using fast biomass pyrolysis, bio-oil fractions, and a purification pathway by modeling a 60-dry-metric-ton biomass per day facility.</t>
  </si>
  <si>
    <t>Cotton straw</t>
  </si>
  <si>
    <t>Aspen PLUS, Aspen HYSYS</t>
  </si>
  <si>
    <t>TRACI 2.1 Midpoint</t>
  </si>
  <si>
    <t>2012-2017</t>
  </si>
  <si>
    <t xml:space="preserve">BO-LG is an environmentally friendly chemical alternative to LG. The process for BO-resin production was more environmentally friendly than PF. The environmental impacts for the production of 1 kg of BO-deicer were around 1000% higher than the production of 1 kg of CA. The environmental impact data were most sensitive to the yields of the three chemicals. </t>
  </si>
  <si>
    <t>Tripodi_et_al</t>
  </si>
  <si>
    <t>LCA of a fully integrated, newly designed process for the production of acetonitrile from bioethanol</t>
  </si>
  <si>
    <t>acetonitrile</t>
  </si>
  <si>
    <t>Ammoxidation</t>
  </si>
  <si>
    <t>Ecoinvent 3.3</t>
  </si>
  <si>
    <t>Aspen PLUS</t>
  </si>
  <si>
    <t>ReCiPe 2016</t>
  </si>
  <si>
    <t>LCA results confirm the reduction in the environmental burdens of the innovative biobased route, compared to the traditional pathway from petroleum. Residual lignocellulosic material is strongly recommended, it leads the whole system to carbon neutrality: climate change effects are negative.</t>
  </si>
  <si>
    <t>Yang_et_al</t>
  </si>
  <si>
    <t>Comparative technoeconomic and environmental analyses of three ethylene manufacturing pathways based on ethane-rich shale gas, corn stover, and corn grain.</t>
  </si>
  <si>
    <t>dehydration of bioethanol</t>
  </si>
  <si>
    <t>conventional: shale-gas processing</t>
  </si>
  <si>
    <t>lab-to-pilot scale</t>
  </si>
  <si>
    <t>1999 - 2017</t>
  </si>
  <si>
    <t>The net GHG emissions of ethylene produced via the shale-gas-based pathway are positive. In comparison, the corn- stover-based pathway and the corn-grain-based pathway could result in negative net GHG emissions of ethylene, due to the sequestration ofrenewable carbon.</t>
  </si>
  <si>
    <t>Alonso- Farinas_et_al</t>
  </si>
  <si>
    <t>LCA to evaluate the environmental sustainability of bio-ethylene from poplar produced by the following three thermo-chemical routes: direct and indirect dehydration of ethanol and production of olefins via dimethyl ether</t>
  </si>
  <si>
    <t>direct dehydration of bioethanol</t>
  </si>
  <si>
    <t>popular</t>
  </si>
  <si>
    <t>conventional: steam cracking</t>
  </si>
  <si>
    <t>CML 2</t>
  </si>
  <si>
    <t>Spain</t>
  </si>
  <si>
    <t xml:space="preserve">All the thermo-chemical processes offer a great potential for reducing GWP (44%e105%) and ADPfossil (104%e196%) relative to ethylene produced from fossil resources. However, for most of the other categories, bio-ethylene has higher impacts. </t>
  </si>
  <si>
    <t>indirect dehydration of bioethanol</t>
  </si>
  <si>
    <t>DME to olefins</t>
  </si>
  <si>
    <t>Brunklause_et_al</t>
  </si>
  <si>
    <t>LCA study is presented in order to highlight whether biogas production or the production of succinic acid has the lowest environmental impact as valorization option for mixed food waste, and if mixed food waste could be an environmentally preferable feedstock to succinic acid production.</t>
  </si>
  <si>
    <t>Fermentation (bacterial)</t>
  </si>
  <si>
    <t>food waste</t>
  </si>
  <si>
    <t>Ecoinvent 3.7 Succinic acid {GLO}| market for succinic acid | APOS, U</t>
  </si>
  <si>
    <t>2010 - 2014</t>
  </si>
  <si>
    <t>Although many uncertainties exist because production processes are still being developed, it can be concluded that mixed food waste seems to be a promising feedstock for bio-based chemicals from an environmental point of view.</t>
  </si>
  <si>
    <t>Fermentation (yeast)</t>
  </si>
  <si>
    <t>corn</t>
  </si>
  <si>
    <t>González-Garciá_et_al</t>
  </si>
  <si>
    <t>A study on a full-scale plant to produce BioSA from apple pomace, a low-cost solid waste from the cider- and juice-making industry, based on a biorefinery concept</t>
  </si>
  <si>
    <t>simultaneous saccharification and fermentation (SSF) - including the use of residual CO2 from an existing ethanol refinery</t>
  </si>
  <si>
    <t>apple pomace</t>
  </si>
  <si>
    <t>CML 2.05</t>
  </si>
  <si>
    <t>2009 - 2016</t>
  </si>
  <si>
    <t>The results indicate that the use of enzymes is responsible for the highest environmental burdens, due to their highly energy-intensive background production processes. When these were excluded from the analysis (following other studies available in the literature), the purification stage played an environmentally significant role, due to the extraction and distillation units in- volved. The electricity use and the requirements for organic solvents in these operations make up the largest environmental burdens.</t>
  </si>
  <si>
    <t>Jonker_et_al</t>
  </si>
  <si>
    <t>The aim of this study is to quantify uniformly the factory- gate production costs and the GHG emission intensity of biobased ethanol, ethylene, 1,3-propanediol (PDO), and succinic acid, and to compare them with each other and their respective fossil equivalent products.</t>
  </si>
  <si>
    <t>Considering the potential GHG emission reduction and profit per hectare, industrial processing pathways utilizing sugarcane scored better than the pathways using eucalyptus feedstock due to the high yield of sugarcane specifically in Brazil.
Overall, it was not possible to choose a clear winner, (a) because the best performing biobased product strongly depends on the chosen metric, and (b) because of the large ranges found, especially for PDO and succinic acid, independent of the chosen metric. To quantify the performance better, more data are required regarding the biobased product yield, equipment costs, and energy consumption of biobased industrial pathways, but also about the production costs and GHG emission intensity of fossil-equivalent products.</t>
  </si>
  <si>
    <t>2006, 2015</t>
  </si>
  <si>
    <t>2013, 2016</t>
  </si>
  <si>
    <t>Wang_et_al</t>
  </si>
  <si>
    <t>This study aimed to analyze the environmental impacts of levoglucosan production from biomass</t>
  </si>
  <si>
    <t>levoglucosan</t>
  </si>
  <si>
    <t>The LCA results showed that bio-oil recovery and biomass pretreatment units were major contributors to GWP (4,57 kg CO2 eq,/kg levoglucosan), while fast pyrolysis and bio-oil recovery units consumed a large portion of RD (5,52 MJ surplus/kg levoglucosan), Sensitivity analysis revealed that HCl usage, cooling energy consumption, levoglucosan yield, bio-oil yield and plant size were major factors affecting the environment im- pacts of the whole system, Levoglucosan production from biomass had a better environmental performance than petroleum-based production</t>
  </si>
  <si>
    <t>Lokesh_et_al</t>
  </si>
  <si>
    <t>A comparative LCA, incorporating the hybridised indicators including hazardous chemical use, waste generated, resource circularity and energy efficiency, from the “gate-to-gate” stages for the bio-based case studies and their petro-derived commercial counterparts</t>
  </si>
  <si>
    <t>Fermentation and polymerization</t>
  </si>
  <si>
    <t>2009 - 2014</t>
  </si>
  <si>
    <t xml:space="preserve">A set of guidance criteria was set to aid the develop- ment of some novel, hybridised indicators that could be flex- ibly applied to bridge gaps for both bio-based products and fossil-based products, by combining industrially used resource efficiency indicators with green chemistry metrics and prin- ciples. </t>
  </si>
  <si>
    <t>Sugarbeet pulp</t>
  </si>
  <si>
    <t>LLDPE mulch film</t>
  </si>
  <si>
    <t>2018 - 2019</t>
  </si>
  <si>
    <t>Van_Duuren_et_al</t>
  </si>
  <si>
    <t>a limited life cycle and cost analysis of an integrated biotechnological and chemical process for producing adipic acid and then compared it with the conventional petrochemical route.</t>
  </si>
  <si>
    <t>LIBRA fast‐pyrolysis process in combination with hydrodeoxygenation</t>
  </si>
  <si>
    <t>softwood lignin</t>
  </si>
  <si>
    <t>2015 - 2018</t>
  </si>
  <si>
    <t>Resource demands for glucose and ammonium sulfate have a major impact on the emission. They conclude that the bio‐ based production of adipic acid from softwood lignins brings environmental benefits over the petrochemical procedure and is cost‐effective at an industrial scale</t>
  </si>
  <si>
    <t>Ögmundarson_et_al</t>
  </si>
  <si>
    <t xml:space="preserve">The study aims (a) to consistently define biochemical production systems across selected bio‐based feedstocks, with a focus on LA as an important building block chemica; (b) to characterize the environmental performance of the selected LA production systems using a full LCA approach; and (c) to discuss related environmental impact hotspots and their potential drivers for each production system. </t>
  </si>
  <si>
    <t>1997 - 2018</t>
  </si>
  <si>
    <t>Across production systems, feedstock production and biorefinery processes dominate life cycle impact profiles, with choice in energy mix and biomass processing as main influencing aspects. Results show that uncertainty decreases with increasing technological maturity. When using Laminaria sp. (least mature among selected feedstocks), impacts are mainly driven by energy utilities (up to 86%) due to biomass drying. This suggests to focus on optimizing or avoiding this process for significantly increasing environmental sustainability of Laminaria sp.‐based LA production.
They emphasize that there is a need to consider a broader set of impact categories, including indirect land‐use change, and to cover the entire life cycle, in order to successfully identify and reduce relevant trade‐offs and avoid any possible burden shifting across impact categories and across life cycle‐stages.</t>
  </si>
  <si>
    <t>2011 - 2018</t>
  </si>
  <si>
    <t>Bioadhesive</t>
  </si>
  <si>
    <t>Yang_and_Rosentrater</t>
  </si>
  <si>
    <t>The potential environmental impacts of glycerol-based structural bio-adhesive produced through the reversible addition-fragmentation chain transfer polymerization process</t>
  </si>
  <si>
    <t xml:space="preserve"> Reversible addition-fragmentation chain transfer (RAFT) polymerization process</t>
  </si>
  <si>
    <t>Glycerol from soybean</t>
  </si>
  <si>
    <t>bioadhesive</t>
  </si>
  <si>
    <t>Petroleum based glycerol, rest of the process the same as emerging technology</t>
  </si>
  <si>
    <t>Databases</t>
  </si>
  <si>
    <t>When bioglycerol is replaced with petro-glycerol, the overall environmental impact will increase by around 23%. The choice of allocation methods has influence on the environmental impact as well. Adopting the energy allocation method results in higher environmental impact of the structural bio-adhesive production process</t>
  </si>
  <si>
    <t>Yang_and_Rosentrater_1</t>
  </si>
  <si>
    <t xml:space="preserve">The main objectives of this study were to evaluate environmental impacts and the economic feasibility of pressure sensitive bio-adhesive (PSA) from the reversible addition-fragmentation chain transfer (RAFT) polymerization process, in order to help guide commercialization. </t>
  </si>
  <si>
    <t>Compared with petro-glycerol, PSA produced from bio-glycerol has less environmental impact (40% lower). Sensitivity analyses results suggested that electricity sources have large impacts on greenhouse gas emissions.</t>
  </si>
  <si>
    <t>Arias_et_al</t>
  </si>
  <si>
    <t>The purpose of this study was to environmentally analyse the production of four different bio-adhesives as alternatives to the most conventional fossil resins used in the production of wood panels. The bio-adhesives proposed for analysis derived from different available renewable biopolymers such as protein (soy) and lignin (Kraft and Organosolv), as well as tannin.</t>
  </si>
  <si>
    <t>DMHP production and Bio-adhesive production</t>
  </si>
  <si>
    <t>soybean meal (soybean)</t>
  </si>
  <si>
    <t>PF, UF, MUF</t>
  </si>
  <si>
    <t>Econinvent 3.5 (Melamine-urea-formaldehyde resin, at plant/US, max: Phenol-resorcinol-formaldehyde resin, at plant/US)</t>
  </si>
  <si>
    <t>Given the variety of feedstocks that have been considered to produce the bio-adhesives, it can be concluded from this study that soy-based bio-adhesive can be selected as the best fossil-adhesive substitute, closely followed by the tannin-based one, since it has a global impact about 25% lower than PF and practically equal to UF. Attention needs to be paid on the current constraints that considerably affect the outcomes and thus, decision making related with the early development in which are the bio-adhesives production systems. This situation makes it difficult to comparewith the conventional fossil resins,which are totally optimized and developed, supplying products at low price but involving controversial impacts. Our results show that soy-based bio-adhesive can be considered as a potential fossil substitute.</t>
  </si>
  <si>
    <t xml:space="preserve">Glyoxalation of Kraft lignin and the production of bio-adhesives </t>
  </si>
  <si>
    <t>Kraft lignin (wood)</t>
  </si>
  <si>
    <t>2006 - 2013</t>
  </si>
  <si>
    <t xml:space="preserve">Glyoxalation of lignin and the production of bio-adhesives </t>
  </si>
  <si>
    <t>Organosolv lignin (wood)</t>
  </si>
  <si>
    <t>2007 - 2019</t>
  </si>
  <si>
    <t>Bark chips (wood)</t>
  </si>
  <si>
    <t>Processes of condensated tannin production and tannin-based bio-adhesive production</t>
  </si>
  <si>
    <t>2016 - 2019</t>
  </si>
  <si>
    <t>Biocomposite</t>
  </si>
  <si>
    <t>Le_Duigou_et_al</t>
  </si>
  <si>
    <t>To evaluate the environmental impact of the production of flax mat/PLA biocomposite laminates (200×300 mm2) and flax mat/PLLA/balsa bio-sandwich panels with the same planar area. For comparison a traditional glass mat reinforced polyester composite and a glass/polyester/balsa sandwich are also analysed</t>
  </si>
  <si>
    <t>moulding a stack of PLA film and flax mats and balsa core on a steel plate inside a vacuum bag at high temperature</t>
  </si>
  <si>
    <t>Flax fiber</t>
  </si>
  <si>
    <t>glass/polyester composites</t>
  </si>
  <si>
    <t>Petroleum based</t>
  </si>
  <si>
    <t>CML 2000</t>
  </si>
  <si>
    <t>France</t>
  </si>
  <si>
    <t>Overall the results demonstrate that the flax mat/PLLA based biocomposites, and the bio-sandwich materials production when these are added to a balsa core, are environmentally attractive compared to their conventional lass/polyester counterparts with equivalent mechanical properties. Nevertheless the biocomposites are heavier than the conventional composites of equivalent strength, and improvements in this area would facilitate their adoption for transport applications.</t>
  </si>
  <si>
    <t>Mahalle_et_al</t>
  </si>
  <si>
    <t>LCA of two prototype biocomposite formulations produced by extrusion of wood fibre with either polylactic acid (PLA) or a blend of PLA and locally produced thermoplastic starch (TPS). Environmental performances of the two formulations were then compared with each other and polypropylene (PP), a petroleum-based polymer.</t>
  </si>
  <si>
    <t>Injection molding</t>
  </si>
  <si>
    <t>Maize, wood fibre</t>
  </si>
  <si>
    <t>US-EI database</t>
  </si>
  <si>
    <t>2009 - 2013</t>
  </si>
  <si>
    <t>PLA is the environmentally significant input among the three raw materials. TPS causes less environmental burden than PLA. Environmental performance of the biocomposite improves in the life cycle energy consumption, fossil energy use, ozone depletion and non-carcinogenic impact categories when a blend of PLA and TPS is used.</t>
  </si>
  <si>
    <t>Deng_et_al</t>
  </si>
  <si>
    <t>This paper aims to evaluate and compare the environmental impact of biobased and conventional printed circuit board substrates</t>
  </si>
  <si>
    <t xml:space="preserve">Epoxidised Linseed Oil production, Composite production based on prepregs and lamination. </t>
  </si>
  <si>
    <t>Flax fibres and linseed oil from the plant L. usitatissimum</t>
  </si>
  <si>
    <t>Epoxy resin reinforced by woven glass fibre fabric and flame retardant TBBPA</t>
  </si>
  <si>
    <t>Conventional</t>
  </si>
  <si>
    <t>Ecoinvent 2.1 &amp; industrial data</t>
  </si>
  <si>
    <t xml:space="preserve">ReCiPe </t>
  </si>
  <si>
    <t>The comparative life cycle assessment documented in this paper shows that a biobased printed circuit board substrate offers a clear impact reduction compared to the conventional design for most impact categories, except for freshwater toxicity, eutrophication, and land use. The environmental impact caused in the End-of-Life stage is generally negligible compared to the production stage for both types of printed circuit board substrates. for industrial application, the major weaknesses of biobased materials, such as the high water absorbance, must be addressed. In addition, the higher land use raises considerable concern, indicating conflicts over food cultivation for use of biobased materials for manufacturing purposes.</t>
  </si>
  <si>
    <t>Quintana_et_al</t>
  </si>
  <si>
    <t>A comparative LCA between traditional plasterboard, for drywall applications, and different composite boards, made by natural fiber and a bio-based epoxy resin (Supersap CLR), was carried out. The goal of the study was to determine whether the composites based on such a resin combined with natural fibers could be an eco-friendly alternative to plasterboard in the building sector.</t>
  </si>
  <si>
    <t>Fiber production &amp; resin manufactering</t>
  </si>
  <si>
    <t xml:space="preserve">Flax </t>
  </si>
  <si>
    <t>Gypsum plasterboard</t>
  </si>
  <si>
    <t>Ecoinvent 3</t>
  </si>
  <si>
    <t>It is concluded that the use of natural fiber epoxy-based composites with Supersap Resin reduce the environmental impact in every category analyzed.</t>
  </si>
  <si>
    <t>Hemp</t>
  </si>
  <si>
    <t>Jute</t>
  </si>
  <si>
    <t>Ita-Nagy_et_al</t>
  </si>
  <si>
    <t>The main objective of this study was to evaluate the environmental performance of novel routes for producing biocomposites using agro-industrial materials and residues. For this, a LCA was developed to analyze the production of bagasse fiber reinforced biocomposites. The particularity of this study lies in the evaluation of alternative routes to obtain fibers from bagasse by assessing two different fractionation procedures.</t>
  </si>
  <si>
    <t>hydrothermal fractionation + soda fractionation</t>
  </si>
  <si>
    <t>Ecoinvent 3.4</t>
  </si>
  <si>
    <t>yes</t>
  </si>
  <si>
    <t>In this study, two fractionation processes were evaluated from an environmental point of view, to assess the benefits and constraints of producing biocomposites using fibers as reinforcement, and comparing them with 100% sugarcane bioPE and fossil-based PE. The results from the study showed that biocomposites perform better in the categories of GW, OF, TA and FRS, when compared to 100% sugarcane bioPE, and in the categories of GW and FRS when compared to fossil based PE.</t>
  </si>
  <si>
    <t>soda fractionation</t>
  </si>
  <si>
    <t>Bioplast/biopolymer</t>
  </si>
  <si>
    <t>Akiyama_et_al</t>
  </si>
  <si>
    <t>It predicts fermentative production cost of a PHA copolyester using soybean oil as carbon source, on a large commercial scale, amounting to 5000 tonnes per year. In addition, LCI of energy consumption and CO2 emissions from the cradle to the fermentation factory-gate have been calculated for the copolyester production to examine the basic environmental impact of the production.</t>
  </si>
  <si>
    <t>Soybean</t>
  </si>
  <si>
    <t>HDPE</t>
  </si>
  <si>
    <t>Association of Plastic Manufacturers in Europe (APME)</t>
  </si>
  <si>
    <t>1997 - 2003</t>
  </si>
  <si>
    <t>Japan</t>
  </si>
  <si>
    <t>In conclusion, production cost was comparable between P(3HB-co- 5mol% 3HHx) and P(3HB). The LCI values of energy consumption and CO2 emissions were estimated to be smaller for the PHA copolymer from soybean oil than for P(3HB) from glucose. In addition, the LCI values were much smaller for the bio-based PHA polymers than for petrochemical polymers.</t>
  </si>
  <si>
    <t>Kim_and_Dale</t>
  </si>
  <si>
    <t>This study examines the environmental performance of Polyhydroxyalkanoates (PHA), from agricultural production through the PHA fermentation and recovery process – 'cradle to gate'. Two types of PHA production systems are investigated: corn grain based PHA and corn grain and corn stover based PHA.</t>
  </si>
  <si>
    <t>Polystyrene</t>
  </si>
  <si>
    <t>DEAM Databases</t>
  </si>
  <si>
    <t>TRACI 2003</t>
  </si>
  <si>
    <t>2001 -2003</t>
  </si>
  <si>
    <t>Under the current PHA fermentation technology, corn grain based PHA does not provide an environmental advantage over polystyrene. Corn grain based PHA produced by the near future PHA fermentation technology would be more favorable than polystyrene in terms of NREU &amp; GWP due to improvement in the PHA fermentation and recovery process. Utilizing corn stover as a raw material for PHA along with corn grain in an integrated system could significantly decrease the environmental impacts in the PHA production system.</t>
  </si>
  <si>
    <t>Broeren_et_al</t>
  </si>
  <si>
    <t>Cradle-to-factory gate environmental impacts of six types of starch plastic granules</t>
  </si>
  <si>
    <t>Starch (corn)</t>
  </si>
  <si>
    <t>PlasticsEurope</t>
  </si>
  <si>
    <t>2007, 2014</t>
  </si>
  <si>
    <t>Germany</t>
  </si>
  <si>
    <t>Compared to common petrochemical plastics on a same weight-basis, starch plastics can reduce net GHG emissions (up to 80%) and NREU (up to 60%), but can have higher EP (up to 400%) and require ALU (0.3–1.3 m2yr/kg). Per m2yr, starch plastics are estimated to save between 10 and 200 MJ when replacing LDPE or PP on a kg basis. Additives can account for up to 40% of a starch plastic’s net GHG emissions. Using reclaimed starch instead of virgin starch improves all environmental indicators for starch plastics. The savings are relatively small (mostly&lt;10%) for GHG emissions and NREU, but substantial for EP (up to 40% improvement) and ALU (up to 60%), indicators linked to the biomass feedstock cultivation phase.</t>
  </si>
  <si>
    <t>Starch (wastewater)</t>
  </si>
  <si>
    <t>Biofiber</t>
  </si>
  <si>
    <t>Piccinno_et_al</t>
  </si>
  <si>
    <t>Following the framework's five-step procedure on the case of a new nanocellulose production pathway, a scaled- up LCA study for a future production of nanocellulose is performed.</t>
  </si>
  <si>
    <t>NanoCelluComp technology. (1) enzymatic treatment (2) homogenization (3) Addition of GripX</t>
  </si>
  <si>
    <t xml:space="preserve">Carrot Pomace </t>
  </si>
  <si>
    <t>Carbon fiber</t>
  </si>
  <si>
    <t>First, the evident reduction of the impact gives a more realistic estimate of the performance at an industrial-scale production and thus opens up the opportunity for comparison with existing materials. (1) Solvent, heat and electricity consumption are the main con- tributors to the end results. (2) Reducing of the impact caused by the GripX production and the wet spinning process in general have the highest potential for achieving a perceptible improvement of the production process.
(2) GripX production can lead to a lower impact through a dimin- ished amount of solvent used and/or a replacement of the sol- vents with more easily separable compounds to reduce the distillation energy. (4) Deactivation of the enzymes with a bleaching agent is preferable compared to a heat deactivation.</t>
  </si>
  <si>
    <t>Tan_et_al</t>
  </si>
  <si>
    <t>(1) sulfuric acid hydrolysis (2) Mixing and foaming of CNC suspension</t>
  </si>
  <si>
    <t>Wood pulp</t>
  </si>
  <si>
    <t>ReCiPe</t>
  </si>
  <si>
    <t>2013 - 2016</t>
  </si>
  <si>
    <t xml:space="preserve">Along the R&amp;D trajectory a steady reduction of the environmental impacts is observed as the result ofupscaling the production technology. The NREU and GHG emissions of the up-scale process design (PS4) are only less than 10% of the impacts analysed for the lab scale pro- duction (PS1).
In this case study, the ALO of the CNC foam is dominated by the biobased solvent (ethanol) but not the biobased raw material (wood pulp). This gives an important signal that more awareness should be raised and greater attention should be paid to the selection.
The proposed approach requires a multi-disciplinary team to conduct such an assessment, which requires to involve R&amp;D scientists, LCA practitioners and toxicology scientists. It does require more resources than a con- ventional ex-ante LCA. But the effort pays off. It leads to significant insight in the environmental performance of a novel material in its early-stage development, much more than an LCA with absent in- formation on toxicity information.
</t>
  </si>
  <si>
    <t>Ekman_&amp;_Borjesson</t>
  </si>
  <si>
    <t>The aim of this paper is to investigate the environmental impact of two types of hydraulic fluids, one based on mineral oil and one on vegetable oil. The difference in environmental impact of using chemical or biocatalytic production methods is also assessed.</t>
  </si>
  <si>
    <t>Biocatalytic esterification</t>
  </si>
  <si>
    <t>Rapeseed</t>
  </si>
  <si>
    <t>Mineral oil-based base fluid (TMP oleate)</t>
  </si>
  <si>
    <t>For GWP, POCP and primary energy consumption, BbP make a lower contribution than a mineral oil-based hydraulic fluid. For EP and AP, the contributions of TMP oleate are higher than the contribution of mineral oil-based hydraulic fluid. The difference between the chemically catalysed method and the ezymatically catalysed method is negligible because the major environmental impact is due to the production of the raw materials. The vegetable oil-based hydraulic fluid, TMP oleate, was more biodegradable than the mineral oil-based hydraulic fluid.</t>
  </si>
  <si>
    <t>Brière_et_al</t>
  </si>
  <si>
    <t>Production of alkyl polyglycosides (APGs) from mechanocatalytic depolymerization of wheat straw is a promising route because of the use of an available bio-based feedstock. This study aims to verify the environmental benefit of this process in comparison with a reference process that produces APGs from corn starch based glucose.</t>
  </si>
  <si>
    <t>mechanoanalytic: acid- assisted ball milling process</t>
  </si>
  <si>
    <t>Wheat straw</t>
  </si>
  <si>
    <t>APG (via Fischer glycosidation)</t>
  </si>
  <si>
    <t>This study has also pointed out that the environmental burdens of the surfactants come from the production of fatty alcohols. This tendency can be observed in all the indicators except for ozone depletion and ionizing radiation where the production of electricity in the nuclear plants is responsible for the impacts.</t>
  </si>
  <si>
    <t>Montazeri_et_al</t>
  </si>
  <si>
    <t>A bio-renewable content (BRC) formulation for wood flooring coating is analyzed using a life cycle assessment (LCA) framework and quantitatively compared to a conventional petrochemical formulation of similar performance across a range of impact categories.</t>
  </si>
  <si>
    <t>BRC coating (Biorenewable content): Layer assembly and UV curing</t>
  </si>
  <si>
    <t>Corn and Soy</t>
  </si>
  <si>
    <t>low-VOC UV- cured wood flooring coating</t>
  </si>
  <si>
    <t>Database</t>
  </si>
  <si>
    <t>2012 - 2018</t>
  </si>
  <si>
    <t>Comparative results show more than 30% reduction in six out of ten impact categories, using the USEPA TRACI 2.1 impact assessment method, with smog formation, acidification, eutrophica- tion and respiratory effects showing increases in environmental impacts, largely due to burdens from bio-based components. Bisphenol Aeepichlorohydrin resin and corn-derived itaconic acid are the most impactful chemicals in the composition of conventional and bio-renewable wood flooring coatings, respectively. Energy use from UV-curing does not appreciably contribute to impacts. The contribution of various building blocks to environmental impacts of both coatings are presented in detail, potentially guiding further formulation research and development. Modifying the BRC formulation to use corn stover instead of corn grain for synthesis of sugar-derived chemicals would improve the environmental profile of the BRC formulation, leading to reductions in all impact categories. The results underscore that meeting targets for bio-based content can have multiple secondary benefits to the environment and human health, but these depend on the particular biofeedstock and conversion processes as well as on the petrochemical components that are being replaced.</t>
  </si>
  <si>
    <t>Adom_&amp;_Dunn</t>
  </si>
  <si>
    <t>Life-cycle GHG emissions and Fossil Eenergy Consumption estimates for ethyl lactate and PGLA produced from corn stover.</t>
  </si>
  <si>
    <t>Enzymatic hydrolysis and fermentation</t>
  </si>
  <si>
    <t>2015 - 2017</t>
  </si>
  <si>
    <t>It is observed that lactic acid and ethyl lactate, whether the starting material was corn grain or corn stover, exhibited lower life-cycle FEC and GHG emissions than fossil-derived compounds for which they could serve as a functional replacement. Comparing ethyl lactate to different conventional compounds (EtOAC and NMP) for which it could serve that role highlighted the importance of specifying which conventional compounds would be used as the benchmark and for what reason.</t>
  </si>
  <si>
    <t>ethyl lactate</t>
  </si>
  <si>
    <t>Fermentation and reversible esterification reaction</t>
  </si>
  <si>
    <t>Garcia_Gonzalez_et_al</t>
  </si>
  <si>
    <t xml:space="preserve">Different polyester binders suitable as intermediates for the production of polyurethane coatings were designed, synthesized and technologically characterized. </t>
  </si>
  <si>
    <t>polymerization process</t>
  </si>
  <si>
    <t>Polyester binders</t>
  </si>
  <si>
    <t>Econinvent 3.2</t>
  </si>
  <si>
    <t>The introduction of a fraction of monomers from renewable sources (60% by weight) may reduce the total GHG emissions by around 75% and the total NREU by 35%. Most of the environmental advantages are related to the replacement of adipic acid (a C6 aliphatic diacid) with the relatively similar succinic acid (a C4 aliphatic diacid), (the total GHG emissions by around  96% and the total NREU by around  75%) whereas the presence of aromatic monomers (phthalic acid in the specific instance) seems to show a minor contribution (11% of the total GHG emissions and 31% of the total NREU).</t>
  </si>
  <si>
    <t>Kikuchi_et_al</t>
  </si>
  <si>
    <t>Biomass-derived ethanol (bioethanol), PE, and PP were selected as the products produced from sugarcane and its molasses at cane sugar mills, and synthesis gas as a product obtained from the gasification of waste wood in Japan compared with fossil-derived ones.</t>
  </si>
  <si>
    <t>Fermentation, dimerization and metathesis</t>
  </si>
  <si>
    <t>Sugarcane molasses</t>
  </si>
  <si>
    <t>Plant data</t>
  </si>
  <si>
    <t>2016, 2017</t>
  </si>
  <si>
    <t>This paper demonstrates the socioeconomic aspects and environmental performance of PE and PP production from sugarcane-derived ethanol and woody-biomass-derived synthesis gas. LCA based on actual plants, with process simulation by means of Aspen Plus™ and HYSYS™, shows the environmental advantage of biomass-derived resins on GHG emissions reduction.</t>
  </si>
  <si>
    <t>Waste wood gasification, methanol-to-olefin (MTO), dimerization and metathesis</t>
  </si>
  <si>
    <t>Wood wastes</t>
  </si>
  <si>
    <t>2005, 2017</t>
  </si>
  <si>
    <t>de_Leis_et_al</t>
  </si>
  <si>
    <t xml:space="preserve">This study aimed at analyzing the energy and environmental performance of the manufacturing of cassava starch-based film according to the current processing conditions in Brazil. </t>
  </si>
  <si>
    <t>casting technology</t>
  </si>
  <si>
    <t>Cassava starch</t>
  </si>
  <si>
    <t>Ecoinvent 3 Polyethylene, linear low density, granulate {GLO}| market for | APOS, U</t>
  </si>
  <si>
    <t>2014, 2015</t>
  </si>
  <si>
    <t>The results showed that the main energy and environmental impacts are related to cassava cultivation, electricity consumption during film manufacturing, and the production of the additives used in producing the film. LCA-based diagnosis allowed the identification of hotspots in the production chain.</t>
  </si>
  <si>
    <t>Petrucci_et_al</t>
  </si>
  <si>
    <t>LCA of limonene plasticized poly(lactic acid) (PLA) films containing cellulose nanocrystals (CNC) extracted, by acid hydrolysis, from Phormium tenax leaf fibres, was assessed and compared with the results of acetyl tributyl citrate (ATBC) plasticized PLA films, having equivalent mechanical properties, containing organo-modified montmorillonite (OMMT).</t>
  </si>
  <si>
    <t>Cellulose Nanocrystal Extraction and PLA Based Nanocomposite Production</t>
  </si>
  <si>
    <t>Citrus waste</t>
  </si>
  <si>
    <t>PLA/3OMMT/16.5ATBC (PLA/organomodified montmorillonite reference film plasticized with ATBC)</t>
  </si>
  <si>
    <t>Eco-indicator 99</t>
  </si>
  <si>
    <t>2013, 2014</t>
  </si>
  <si>
    <t>The Life cycle score of 1 kg of plastic film based on PLA/1CNC/20Limonene amounts to 0.454 Pt, which is slightly lower than the benchmark system, PLA/3OMMT/16.5ATBC (0.465 Pt). Moreover, even in terms of impact categories (Fossil fuels depletion, Land use, Resp. inorganics), the nanocomposite film containing CNC showed a better performance with respect of the benchmark although some impact categories, such as climate changes, ecotoxicity, resulted higher for the cellulose nanocrystals containing system.</t>
  </si>
  <si>
    <t>Zhang_et_al_1</t>
  </si>
  <si>
    <t xml:space="preserve">This study investigated the environmental impacts associated with the production of the newly proposed biopolymer polylimonene carbonate. Different feedstocks (citrus waste and microalgae) were selected and a conceptual process design from limonene oxidation to polymer synthesis was completed. </t>
  </si>
  <si>
    <t>(1) Production of limonene, (2) Production of the oxidant tert-butyl hydroperoxide (TBHP), (3) Limonene oxidation and (4) PLC synthesis</t>
  </si>
  <si>
    <t>Polycarbonate</t>
  </si>
  <si>
    <t>Ecoinvent 3 Polycarbonate {GLO}| market for | APOS, U</t>
  </si>
  <si>
    <t>2012 - 2017</t>
  </si>
  <si>
    <t>Compared to citrus waste, adverse life cycle impacts of algal limonene production were significantly enhanced, particularly with respect to ozone depletion, agricultural land use and water depletion. This could be mostly attributed to the high allocation factor given to limonene production from the algal route (66%) compared to the citrus route (1%). Finally, cost estimates for PLC production ($1.36 to $1.51 kg−1) were comparable to the cost of polystyrene, and it was therefore concluded that the proposed process has great potential to replace fossil based polystyrene with biomass derived PLC.</t>
  </si>
  <si>
    <t>Garcia_Gonzalez_et_al_1</t>
  </si>
  <si>
    <t xml:space="preserve">The main objective of this work is to present a new class of polyester binders based on FDCA suitable as precursors of PU coating materials. </t>
  </si>
  <si>
    <t>FDCA production,4-monomer copolymerization</t>
  </si>
  <si>
    <t xml:space="preserve">Sugarbeet </t>
  </si>
  <si>
    <t>Ecoinvent 3.2</t>
  </si>
  <si>
    <t>2014 - 2017</t>
  </si>
  <si>
    <t>The evaluation of the environmental impacts related to the production of the 100% bio-based polyester binder based on FDCA was applied in terms of GHG emissions and NREU. The substitution of Pht monomer with FDCA monomer in PE_100% compared to partial bio-based polyester (PE_75%) may reduce the total GHG emissions and NREU by around 36% and 38% respectively. In addition, a very remarkable reduction was showed for PE_100% compared to fossil-based polyester with a percentage of 79% in terms of GHG emissions and 60% in terms of NREU.</t>
  </si>
  <si>
    <t>Cheroennet_et_al</t>
  </si>
  <si>
    <t>The study assessed and compared the carbon footprint, the water footprint impact, and the total impacts for quantification of the 100-year global warming potential (GWP), water deprivation potential (WDP), and externality cost (Social cost), all of which are associated with the life cycle of bio-based plastics, including PLA from sugarcane, (PLAS), PLAS-starch blends (PLAS/starch), and polybutylene succinate (PBS), for packaging application of food box container.</t>
  </si>
  <si>
    <t>Succinic acid production and PBS pellet production</t>
  </si>
  <si>
    <t>Sugarcane and corn</t>
  </si>
  <si>
    <t>2011 - 2014</t>
  </si>
  <si>
    <t>Thailand</t>
  </si>
  <si>
    <t>The results from this study indicate that PBS reveals the lowest water footprint at 0.38 m3 H2O of all the bio-based boxes and presents the second lowest water deprivation at 0.008 m3 H2O equivalent and the lowest carbon footprint at  0.06 kg CO2 equivalent. The total impact on carbon footprint decreased by 26-69% for the production of bio-based boxes because CO2 absorption from the photosynthetic reactions during the plantation stages were included. In conclusion, for bio-based boxes, the PBS box showed the lowest total externality cost of 0.046 THB equivalent on production chain in Sakaeo province. This externality accounts for 64-74% of total cost for freshwater consumption but only accounts for 26-36% of total cost for carbon footprint</t>
  </si>
  <si>
    <t>Patel_et_al</t>
  </si>
  <si>
    <t>The primary goal of this study is to analyse greenhouse gas emissions (GHG) and non-renewable energy use (NREU) for plastic end products made from the second-generation SA-based polymer polybutylene succinate (PBS).</t>
  </si>
  <si>
    <t>Organosolv, fermentation, hydrogenation</t>
  </si>
  <si>
    <t>2010, 2016</t>
  </si>
  <si>
    <t>Using moderately optimistic technology assumptions (integrated reference case) for fully bio-based PBS products derived from 2G SA and BDO, the cradle-to-grave climate-change impacts and NREU are 34–36% and 36%–40% lower than those of production from the main petrochemical polymers PP (trays) and PE (films) products, while the impacts of 1G PBS are comparable or slightly higher than production from petrochemical polymers.</t>
  </si>
  <si>
    <t>Steam explosion, fermentation, hydrogenation</t>
  </si>
  <si>
    <t>Warlin_et_al</t>
  </si>
  <si>
    <t>This study examines the synthesis of a rigid diol with a spirocyclic structure via a one-step acid-catalyzed acetalation of fructose-sourced 5-hydroxymethylfurfural and pentaerythritol.</t>
  </si>
  <si>
    <t xml:space="preserve">synthesis of the fructose-base HMF &amp; synthesis of the novel bio-based monomer diol from HMF and bio-based pentaerythritol </t>
  </si>
  <si>
    <t>Sugarbeet</t>
  </si>
  <si>
    <t>Industrial data</t>
  </si>
  <si>
    <t>2007, 2018</t>
  </si>
  <si>
    <t>The novel bio-based monomer showed a remarkably lower GHG emission value compared with both the bio- and fossil-based 1,3-PD. The GHG value of Monomer S equals to only 54% of the value of bio-based 1,3-PD (2.18 kg CO2eq per kg bio-1,3-PD), and even as low as 24% of the value of fossil-based 1,3-PD (5.00 kg CO2eq per kg fossil-1,3-PD). This important result suggests that the novel bio-based monomer tends to be more environmentally favorable in terms of GHG emissions.</t>
  </si>
  <si>
    <t>Kookos_et_al</t>
  </si>
  <si>
    <t>The main aim of this study is the evaluation of greenhouse gas (GHG) emissions, non-renewable energy use (NREU), acidification potential (AP) and eutrophication potential (EP) of PHB production.</t>
  </si>
  <si>
    <t xml:space="preserve">PHB production &amp; recovery </t>
  </si>
  <si>
    <t xml:space="preserve">High density polyethylene (HDPE) </t>
  </si>
  <si>
    <t>Process simulation, linear scale-up</t>
  </si>
  <si>
    <t>2004, 2018</t>
  </si>
  <si>
    <t>This study performed a detailed LCI and LCA of PHB production in order to compare the obtained results with literature-cited publications. The results presented in this study show that the GHG emissions, NREU, AP and EP associated with PHB production depend strongly on the specific renewable raw material used and the allocation methodology adopted. These are also the reasons for the wide variations in the estimations presented in previous publications.</t>
  </si>
  <si>
    <t>Manzardo_et_al</t>
  </si>
  <si>
    <t>The objective of this study, through the development of a framework integrating laboratory testing and LCA, is to determine which parameters should be considered to develop biobased PU foams with improved environmental performances when compared to their fossil counterparts.</t>
  </si>
  <si>
    <t>polyurethane (PU) foams</t>
  </si>
  <si>
    <t>liquefaction of kraft lignin from softwood</t>
  </si>
  <si>
    <t>lignin (softwood)</t>
  </si>
  <si>
    <t>Ecoinvent 3.5</t>
  </si>
  <si>
    <t>The overall results of LCA show that formulation containing azelaic-acid derived polyol (B02) and lignin-based polyol (BL03) can score reductions of impacts in all the of the impact categories when compared to their fossil counterpart (T01). B02 presented better overall performances with a reduction of impacts between −8 and −44%. However, considering the results of uncertainty analysis, reduction in environmental impacts (absolute term) was confirmed only in the categories CC, POF, AE, and ADPFF for B02 and CC and ADPFF for BL03.</t>
  </si>
  <si>
    <t>Mankar_et_al</t>
  </si>
  <si>
    <t xml:space="preserve">An LCA on a two-step synthesis of a diol with a spirocyclic acetal structure, starting from bio-based vanillin and pentaerythritol. </t>
  </si>
  <si>
    <t>acid-catalyzed double acetalization</t>
  </si>
  <si>
    <t>vanillin, biomass</t>
  </si>
  <si>
    <t>bisphenol A</t>
  </si>
  <si>
    <t>In summary, the LCA results suggest that spiro-bisphenol and spiro-diol V tend to be more environmentally favorable in terms of GHG emissions. It should be noted that this assessment only intended to provide first-hand information regarding the environmental impacts of these bio-based building blocks. To gain deeper and comprehensive understanding of the environmental impacts of these building blocks, more thorough LCA investigations will be needed, including estimations of other critical environmental impact categories (e.g., eutrophication, energy consumption, among others) and consideration of the solvents in the system.</t>
  </si>
  <si>
    <t>hydroxyethylation</t>
  </si>
  <si>
    <t>Moretti_et_al</t>
  </si>
  <si>
    <t>The primary objective of this study is to provide a full picture of the environmental footprint of UCO-PP.</t>
  </si>
  <si>
    <t>NEXBTL process &amp; steam cracking</t>
  </si>
  <si>
    <t>used cooking oil (UCO)</t>
  </si>
  <si>
    <t>Bio-based PP from UCO is a promising alternative option to replace petrochemical polypropylene in terms of climate change and fossil fuel resources. It should be reminded that the comparisons made above are for the scope of cradle to factory gate. UCO-based PP has the further advantage of having a 100% biogenic carbon content embedded in the product, potentially for the long term (e.g. in a durable application). The full biogenic carbon balances should be accounted for in a future cradle to grave LCA when a final product made from UCO-PP is analysed.</t>
  </si>
  <si>
    <t>Fridrihsone_et_al</t>
  </si>
  <si>
    <t>The aim of this study is to evaluate a cradle-to-gate environmental impact of rapeseed oil based polyols developed at the LSIWC using two different routes e amidization with diethanolamine (DEA) and transesterification with triethanolamine (TEA).</t>
  </si>
  <si>
    <t>amidization with diethanolamine (DEA)</t>
  </si>
  <si>
    <t>polyols</t>
  </si>
  <si>
    <t>This study showed that use of rapeseed oil as a bio-based feedstock for polyol production offers a clear impact reduction compared to petrochemical polyols in terms non-renewable energy use, lower GHG emissions and water consumption. However, LCA results also showed that in important midpoint categories, such as land use, marine eutrophication and ecotoxicity the rapeseed oil based bio-polyols performed worse. The choice of allocation method, by mass, economic value or system expansion in the rapeseed oil mill stage, has a strong influence on the results: the impact of bio-based polyols based on system expansion is significantly lower than that based on economic allocation.</t>
  </si>
  <si>
    <t xml:space="preserve">transesterification with triethanolamine (TEA) </t>
  </si>
  <si>
    <t>Parajuli_et_al</t>
  </si>
  <si>
    <t xml:space="preserve">This study aims at evaluating the environmental impacts of biorefinery products using a LCA method. Evaluations were made for two standalone biorefinery plants, separately producing bioethanol (system A) and biobased lactic acid (system B), and was compared with an integrated system (system C) producing the both stated products. </t>
  </si>
  <si>
    <t>lactic acid fermentation</t>
  </si>
  <si>
    <t>alfalfa</t>
  </si>
  <si>
    <t>Yes, dLUC and iLUC</t>
  </si>
  <si>
    <t>EPD method</t>
  </si>
  <si>
    <t>The current study highlights that the benefits of the system integration for bioethanol and biobased lactic acid productions were in terms of higher net savings of GHG emissions, NRE use and EP compared to the standalone systems. However, the obtained ALO was higher in the integrated system than the standalone system. Based on the comparison of the results obtainedwithin CLCA and ALCA approaches, it can be concluded that the recommendations for producing biobased products from an integrated system would be the same, regardless of the approach used.</t>
  </si>
  <si>
    <t>Cai_and_Davis</t>
  </si>
  <si>
    <t xml:space="preserve">In this study, we explore co-product handling methods and their implications for the LCA of individual products and Integrated Biorefineries with biofuel and bio-chemical co-production. </t>
  </si>
  <si>
    <t>microbial oil fermentation</t>
  </si>
  <si>
    <t>corn stover (60 wt%), switchgrass (35 wt%), and municipal solid wastes (MSW, 5 wt%)</t>
  </si>
  <si>
    <t xml:space="preserve">maleic anhydride </t>
  </si>
  <si>
    <t>Integrated biorefineries with co-production of biofuels and bio-chemicals present a challenge in quantifying the GHG emissions of specific products due to the distinct nature and utilities of these co-produced products. The life-cycle GHG results are highly sensitive to co-product handling methods. Product-specific emission profiles vary significantly with different methods that distribute the total biorefinery emissions and the resulting emission reduction benefits differently to the fuel product and non-fuel products.</t>
  </si>
  <si>
    <t>Fernandez-Dacosta_et_al</t>
  </si>
  <si>
    <t>The aim of this paper is to review and evaluate the available early-stage assessment methods (ESM)
and ex-ante life cycle assessment (LCA). Using the case of lactic acid in a retrospective study, its different development stages were anticipated.</t>
  </si>
  <si>
    <t>sugarcane</t>
  </si>
  <si>
    <t>Key findings are that 1) many ESMs are often not fully or clearly described and the databases suggested are outdated; 2) since most of the methods are designed to assess chemicals in general, not specifically for bio-based chemicals, the relevant environmental themes to reflect the characteristics of bio-based chemicals are often missing; 3) in terms of toxicity impacts, the reviewed methods are often crude and not accurate in the coverage of toxicity aspects. Ex-ante LCA could play a more important role during the process design R&amp;D phase. However, ex-ante LCA should be complemented with accessible methods to evaluate the potential toxicity impacts at the early development stage to ensure safe by design.</t>
  </si>
  <si>
    <t>Mercado_et_al</t>
  </si>
  <si>
    <t>An analysis of the environmental impacts of a biopolymer based on starch</t>
  </si>
  <si>
    <t>Production of reinforcement (polymerized casein) and mixing with starch</t>
  </si>
  <si>
    <t>corn starch</t>
  </si>
  <si>
    <t>Mexico</t>
  </si>
  <si>
    <t xml:space="preserve">The results indicate that the electricity causes the highest impacts in the global warming and ozone depletion
categories, but compared to synthetic polymers, the emissions are low. Finally, in the case of eutrophication, the impacts are similar
to other biopolymers but higher in comparison with petroleum-based polymers like HDPE (High Density Polyethylene), LDPE (Low
Density Polyethylene), PP (Polypropylene), PS (Polystyrene) and PET (Polyethylene Terephthalate). </t>
  </si>
  <si>
    <t>Vink_et_al</t>
  </si>
  <si>
    <t>The Sustainability of NatureWorksTM Polylactide Polymers and IngeoTM Polylactide Fibersa: an Update of the Future</t>
  </si>
  <si>
    <t>2002 - 2004</t>
  </si>
  <si>
    <t xml:space="preserve"> PLA is a good start along the road to sustainability in man-made packaging and fiber materials. Cargill Dow’s program to improve the manufacturing processes is described in the section ‘Biomass utilization and Biorefineries’.</t>
  </si>
  <si>
    <t>Harding_et_al</t>
  </si>
  <si>
    <t>This study investigates a cradle-to-gate LCA of PHBproduction taking into account net CO2generation and all major impact categories. It compares the findings with similar studies of polypropylene(PP) and polyethylene (PE).</t>
  </si>
  <si>
    <t>BIOPOL flowsheet</t>
  </si>
  <si>
    <t>1990 - 2006</t>
  </si>
  <si>
    <t xml:space="preserve">The dominant contributions to the environmental burden inthe production of PHB are the large requirement for energy, inparticular steam, as well as the high water requirement (65 dm3per kg polymer). The use of fertiliser (from agricultural pro-cesses),  acids  and  a  significant  number  of  salts,  adds  to  thetoxicity levels of wastewater and the eutrophication potential.Despite  this,  the  production  of  polyhydroxy- -butyrate  ismore  beneficial  in  a  full  cradle-to-gate  life  cycle  assessmentstudy than polypropylene (PP) production. PE production has lower environmentalburdens than PHB production in acidification and eutrophica-tion. </t>
  </si>
  <si>
    <t>Páchon_et_al</t>
  </si>
  <si>
    <t>In this work, two biorefinery scenarios using vine shoots as feedstock to co-produce chemicals are assessed from an environmental point of view: production of lactic acid, and co-production of lactic acid and furfural.</t>
  </si>
  <si>
    <t>simultaneous saccharification and fermentation (SSF)</t>
  </si>
  <si>
    <t>vine shoots</t>
  </si>
  <si>
    <t>2002, 2018</t>
  </si>
  <si>
    <t>The LA and furfural produced from the biochemical conversion of vine shoots offer environmental benefits compared to conventional processes. VS LA shows 3.26 kgCO2eq. compared to 4.67 kgCO2eq. in RS VS LA. VS LF produces 3.03 kgCO2eq. compared to 4.77 kgCO2eq. released in RS VS LA. The studied systems showed 30.1–38.6% reduction of CO2 emissions and 60% reduction for fossil oil depletion. VS LA and VS LF showed strong environmental benefits for climate change, fossil fuel depletion, human toxicity, freshwater ecotoxicity, and freshwater eutrophication environmental impact categories in comparison with the relevant reference systems.</t>
  </si>
  <si>
    <t>0.025</t>
  </si>
  <si>
    <t>Vera_et_al</t>
  </si>
  <si>
    <t>We used an attributional life-cycle assessment approach based on region-specific characteristics to determine the greenhouse gas emissions (GHG) performance of different supply-chain configurations with internationally sourced lignocellulosic biomass (stem wood, forest residues, sawmill residues, and sugarcane bagasse) from the USA, the Baltic States (BS), and Brazil (BR) for the simultaneous production
of lactide and ethanol in a biorefinery located in the Netherlands (NL)</t>
  </si>
  <si>
    <t>own scaling method</t>
  </si>
  <si>
    <t>2008 - 2019</t>
  </si>
  <si>
    <t>The GHG emissions
‘from cradle to factory gate’ vary between 692 g CO2eq/kglactide (sawmill residues pellets from the BS) and
1002 g CO2eq/kglactide (sawmill chips from the USA) for lactide and between 15 g CO2eq/MJethanol (sawmill
residues pellets from the BS) and 28 g CO2eq/MJethanol (bagasse pellets from BR) for ethanol. Upstream
GHG emissions from the conversion routes have a relatively small impact compared with biomass
conversion to lactide and ethanol. The use of woody biomass yields better GHG emissions performance
for the conversion system than sugarcane bagasse or sugar beets as result of the higher lignin content that is used to generate electricity and heat internally for the system. Only the sugar beet from the NL production route is able to comply with RED II GHG savings criteria (65% by 2021). The GHG savings from polylactic acid (a derivate of lactic acid) are high and vary depending on choice of fossil-based counterpart, with the highest savings reported when compared to polystyrene (PS).  hese high savings are mostly attributed to the negative emission credit from the embedded carbon in the materials. Several improvement options along the conversion routes were explored. Efficient feedstock supply chains (including pelletization and large ocean vessels) also allow for long-distance transportation of biomass.
and conversion in large-scale biorefineries close to demand centers with similar GHG performance to
biorefineries with a local biomass supply</t>
  </si>
  <si>
    <t>stem wood</t>
  </si>
  <si>
    <t xml:space="preserve">forest residues </t>
  </si>
  <si>
    <t>Zah_et_al</t>
  </si>
  <si>
    <t>This article evaluates the prospective environmental impacts of automobile applications of curauá fiber (Ananas erectifolius), which nearly equates the physical properties of glass fibers</t>
  </si>
  <si>
    <t>Mercerized and blended</t>
  </si>
  <si>
    <t>Mechanical Conversion</t>
  </si>
  <si>
    <t>Curauá fiber</t>
  </si>
  <si>
    <t>glass fiber/PP composite</t>
  </si>
  <si>
    <t>2004, 2005</t>
  </si>
  <si>
    <t>Besides costing 50% less than fiber glass, the use of curauá fibers can promote regional development in the Amazon region. In order to realize significant environmental benefits, however, the curauá-based composites would have to be lighter than their glass fiber-based counterparts.</t>
  </si>
  <si>
    <t>Kim_et_al</t>
  </si>
  <si>
    <t>This study investigates the environmental performance of kenaf fiber reinforced biocomposite (polyhydroxybutyrate/kenaf fiber) via life cycle assessment and compares its environmental performance to that of glass fiber reinforced composite (polypropylene/glass fiber).</t>
  </si>
  <si>
    <t xml:space="preserve">alkali fiber surface treatment and extrusion compounding </t>
  </si>
  <si>
    <t>Kenaf fiber, corn</t>
  </si>
  <si>
    <t>TRACI</t>
  </si>
  <si>
    <t>2002 - 2005</t>
  </si>
  <si>
    <t>Using kenaf fiber reinforced biocomposite as a raw material for automobile parts instead of glass fiber reinforced composite can reduce
nonrenewable energy consumption by 23–24% and greenhouse gas emissions by 6–16%. However,
the kenaf fiber reinforced biocomposite product system produces more local environmental impacts
such as photochemical smog formation, acidification and eutrophication than the glass fiber reinforced composite product system because of nutrient losses to the environment during biomass production. Among the environmental impacts considered in this study, only greenhouse gas emissions associated with the kenaf fiber reinforced biocomposite product system are significantly affected by the waste management scenarios.</t>
  </si>
  <si>
    <t>Britode_Figueirêdo_et_al</t>
  </si>
  <si>
    <t>The present study contributes to the environmental performance of cellulose nanowhiskers production processes at their development stage.</t>
  </si>
  <si>
    <t>bleaching, hydrolysis and dialysis</t>
  </si>
  <si>
    <t>carbon nanofibers</t>
  </si>
  <si>
    <t>The comparison between the EUC and EC systems showed that nanowhiskers produced in the EC system required less energy and water, emitted less pollutants, and contributed less to climate change, human toxicity, and eutrophication than those produced in the EUC system. Further research to improve the environmental performance of these systems – before scaling up the results from the laboratory to industry – shall focus on improving yield efficiency, reducing energy and water use during the extraction of nanowhiskers, and recovering substances from effluents possessing market value.</t>
  </si>
  <si>
    <t>hydrolysis and dialysis</t>
  </si>
  <si>
    <t>cotton</t>
  </si>
  <si>
    <t>Li_et_al</t>
  </si>
  <si>
    <t>In this current study, four comparable lab scale nanocellulose fabrication routes were evaluated through a cradle-to-gate life cycle assessment (LCA) adopting the Eco-Indicator 99 method.</t>
  </si>
  <si>
    <t>TOSO (TEMPO-oxidation for chemical modification, sonication for mechanical disintegration),</t>
  </si>
  <si>
    <t>wood pulp</t>
  </si>
  <si>
    <t>The results indicated that, for the chemical−mechanical fabrication routes, the majority of the environmental impact
of nanocellulose fabrication is dependent upon both the chemical modification and mechanical treatment route chosen. For
sonication, the mechanical treatment overshadows that from the chemical modifications. Adapting the best practice based on unit
mass production was 2,2,6,6-tetramethylpiperidine-1-oxyl (TEMPO) oxidation followed by homogenization, as TEMPO oxidation resulted in a lower impact than carboxymethylation. Even though the fabrication process of nanocellulose presents a large environmental footprint markup relative to its raw material extraction process (kraft pulping), it still exhibits prominent environmental advantages over other nanomaterials like carbon nanotubes.</t>
  </si>
  <si>
    <t>TOHO (TEMPO-oxidation for chemical modification, homogenization for mechanical disintegration)</t>
  </si>
  <si>
    <t>CESO (chloroacetic acid etherification for chemical modification, sonication for mechanical disintegration)</t>
  </si>
  <si>
    <t>CEHO (chloroacetic acid etherification for chemical modification, homogenization for mechanical disintegration)</t>
  </si>
  <si>
    <t>Manda_et_al</t>
  </si>
  <si>
    <t>To this end, we conducted an LCA for an antibacterial T-shirt made in Europe from bio-based man-made cellulose fibres (modal). The antibacterial property is obtained by silver nanoparticles that are produced with colloidal techniques such as the sol–gel process and in-situ formation.</t>
  </si>
  <si>
    <t>sol–gel process</t>
  </si>
  <si>
    <t>polyester (NanoAg coated polyester)</t>
  </si>
  <si>
    <t>ReCiPe 2010</t>
  </si>
  <si>
    <t>2010 - 2015</t>
  </si>
  <si>
    <t>It was found that the T-shirt made of 50% antibacterial fibres with the in-situ process (50AB in-situ) caused 15–20% lower cradle-to-gate CO2 emissions than commercial antibacterial T-shirts. The cradle-to-grave comparison with non-antibacterial modal T-shirts showed that the 50AB in-situ T-shirt exhibited better environmental performance, resulting in 20–30% lower impacts in key categories such as climate change, freshwater toxicity and eutrophication. LCA demonstrated value creation opportunities such as lower environmental impacts, lower costs and risks. Moreover, the product's environmental performance can be transparently communicated to customers, which helps differentiating with competing products in the market, thus offering the producer a competitive advantage</t>
  </si>
  <si>
    <t>in-situ formation</t>
  </si>
  <si>
    <t>Piccinno_et_al_1</t>
  </si>
  <si>
    <t>We performed a laboratory-scale life cycle assessment (LCA) to assess the various routes of the entire production process from an environmental perspective.</t>
  </si>
  <si>
    <t>The results indicate that the electrospinning process has a higher impact than the alternative wet spinning process under the conditions described. Furthermore, to improve the liberation process of the microfibrillated cellulose, the enzymatic treatment step requires development; this could be through optimization of energy use in the heating process, mainly by reducing heat loss and water use.</t>
  </si>
  <si>
    <t>Hervy_et_al</t>
  </si>
  <si>
    <t xml:space="preserve">In the work, the environmental impact of bacterial cellulose (BC)- and nanofibrillated cellulose (NFC)-reinforced epoxy composites were evaluated using life cycle assessment (LCA). </t>
  </si>
  <si>
    <t>fermentation and vacuum assisted resin infusion</t>
  </si>
  <si>
    <t>Kraft pulp</t>
  </si>
  <si>
    <t>Our cradle-to-gate LCA showed that BC- and NFC-reinforced epoxy composites have higher global warming potential (GWP) and abiotic depletion potential of fossil fuels (ADf) compared to neat PLA and GF/PP even though the specific tensile moduli of the nanocellulose-reinforced epoxy composites were higher than neat PLA and GF/PP. However, when the use phase and the end-of-life of nanocellulose-reinforced epoxy composites were considered, the “green credentials” of nanocellulose-reinforced epoxy composites were comparable to that of neat PLA and GF/PP composites. Our life cycle scenario analysis further showed that the cradle-to-grave GWP and ADf of BC- and NFC-reinforced epoxy composites could be lower than neat PLA when the composites contains more than 60 vol.-% nanocellulose.</t>
  </si>
  <si>
    <t>grinding and vacuum assisted resin infusion</t>
  </si>
  <si>
    <t xml:space="preserve">Tufvesson_and_Borjesson </t>
  </si>
  <si>
    <t>The aim of this study was to conduct a life cycle assessment of wax esters based on rapeseed oil produced by biocatalysts (enzymes).</t>
  </si>
  <si>
    <t>biocatalytic synthesis</t>
  </si>
  <si>
    <t>paraffin wax</t>
  </si>
  <si>
    <t>The energy input into the wax ester production is about one third of the energy input in paraffin wax production. However, the wax ester has a higher contribution to the global warming potential (GWP) due to high emissions of nitrous oxide from rapeseed cultivation. Referring to a cradle-to-grave perspective, including waste incineration, the contribution to the GWP will, however, be 3.5 times higher from paraffin wax. Wax ester makes a higher contribution to the acidification and eutrophication potential, due to emissions from soil from rapeseed cultivation, but five times lower contribution to the photochemical ozone creation potential. From a land-use perspective and a global warming point of view, it is more efficient to produce paraffin wax and grow high-yielding, short-rotation coppice (Salix) to replace fuel oil than it is to grow rapeseed for wax ester production.</t>
  </si>
  <si>
    <t>Bernier_et_al</t>
  </si>
  <si>
    <t>This study focuses on the life cycle inventory of lignin originating from the kraft pulping process, for polymer applications.</t>
  </si>
  <si>
    <t>precipitation, washing, and drying</t>
  </si>
  <si>
    <t>wood</t>
  </si>
  <si>
    <t>polyol (polyethylene glycol)</t>
  </si>
  <si>
    <t>Ecoinvent 3.7 Polyol {RER}| market for polyol | APOS, U</t>
  </si>
  <si>
    <t xml:space="preserve">IMPACT 2000+ </t>
  </si>
  <si>
    <t>2010, 2011</t>
  </si>
  <si>
    <t>The environmental profile of kraft lignin tends to be preferable to synthetic organic compounds of similar molecular complexity because its initial transformation chain is relatively energy efficient. It is thus an environmentally sound choice for polymer applications as long as near-unity substitution ratios can be achieved without requiring compatibilization modifications that are too environmentally intensive and without affecting other stages of the product life cycle. In particular, the end-of-life performance depends on long-term lignin sequestration</t>
  </si>
  <si>
    <t>Deng_et_al_1</t>
  </si>
  <si>
    <t xml:space="preserve"> the study evaluates wheat-gluten-based packaging fi lm and compares it with low density polyethylene (LDPE) and polylactide (PLA) packaging fi lm over the life cycle of these products.</t>
  </si>
  <si>
    <t>Extrusion</t>
  </si>
  <si>
    <t xml:space="preserve">Wheat </t>
  </si>
  <si>
    <t>Ecoinvent 2.1</t>
  </si>
  <si>
    <t>2004 - 2011</t>
  </si>
  <si>
    <t>For wheat gluten production, the LCA results show that the impacts of the wheat cultivation and gluten drying phase are dominant in the majority of the 18 impact categories in the ReCiPe midpoint assessment method. The LCA results also exhibit that the scenario with wheat gluten film produced by extrusion and incinerated to recover embodied energy is favorable from environmental perspective. It offers great benefi ts in climate change and fossil depletion over LDPE film and in 14 impact categories over PLA fi lm. Although wheat gluten fi lm suffers from common problems for bio-based materials (e.g. land occupation), the overall environmental performance indicates that wheat gluten provides a promising source for bio-based polymer production.</t>
  </si>
  <si>
    <t>Pang_et_al</t>
  </si>
  <si>
    <t xml:space="preserve">Thermoformed trays made from biobased materials were prepared from agricultural waste (seeds or tubers), plasticizer and polypropylene (PP). A talc-filled PP thermoformed tray was used for comparison. </t>
  </si>
  <si>
    <t>Compounding, sheet extrusion and thermoforming</t>
  </si>
  <si>
    <t>waste seed (AWS)</t>
  </si>
  <si>
    <t>talc-filled PP thermoformed tray</t>
  </si>
  <si>
    <t>Malaysia</t>
  </si>
  <si>
    <t xml:space="preserve">Biobased trays, which include starch-containing agricultural wastes as part of the formulation, can be produced with a lower carbon footprint than talc-filled PP trays (approximately 20% emissions reduction). This result is attributed to the renewable resource input, lower processing temperature and shorter thermoforming cycle when using biobased materials. The thermoforming process is the largest contributor (35%) to the emissions associated with biobased trays followed by the raw material processing (33%). </t>
  </si>
  <si>
    <t>agricultural waste tuber (AWT)</t>
  </si>
  <si>
    <t>Frascari_et_al</t>
  </si>
  <si>
    <t xml:space="preserve">The goal of this work was to perform a life cycle assessment (LCA) and cost–benefit analysis (CBA) of a full‐scale process of PC adsorption/desorption on resin Amberlite XAD16N. </t>
  </si>
  <si>
    <t>PC adsorption/desorption on resin Amberlite XAD16N</t>
  </si>
  <si>
    <t xml:space="preserve">Olive mill wastewaters (OMWs) </t>
  </si>
  <si>
    <t>phenol</t>
  </si>
  <si>
    <t>Ecoinvent 3.7 Phenol {RER}| production | APOS, U</t>
  </si>
  <si>
    <t>SuperPro Designer, linear scale up</t>
  </si>
  <si>
    <t>The results indicate that the proposed PC adsorption/desorption technology, if integrated with an anaerobic digestion step, represents a promising solution for the treatment and valorization of OMW, a major agro‐industrial waste in Mediterranean countries</t>
  </si>
  <si>
    <t>Ghasemi_et_al</t>
  </si>
  <si>
    <t>We evaluate the main environmental impacts that are generated during the production of the bio-based resin used in the biocomposite, as well as the biocomposite itself. We compare the life cycle impacts of the proposed biocomposite to a functionally similar petroleum-based resin and flax fiber reinforced composite, to identify tradeoffs between the environmental performance of the two products</t>
  </si>
  <si>
    <t>Epoxidation of Sucrose Soyate (EES) and compsite fabrication</t>
  </si>
  <si>
    <t>bisphenol A (BPA)-based resins</t>
  </si>
  <si>
    <t>Own LCA based on literature</t>
  </si>
  <si>
    <t>2016 - 2017</t>
  </si>
  <si>
    <t>The results showed that, for ESS production, the greatest contribution in almost all environmental impact categories was due to the vegetable oil methyl ester. Moreover, hydrogen peroxide indicated a high impact in the carcinogenic category. Additionally, compared to petroleum-based (BPA-based) resin, the bio-based resin demonstrated an overall reduction of environmental footprint except in the eutrophication and carcinogenics impact categories, mostly due to vegetable oil methyl ester production and the use of hydrogen peroxide. This is a preliminary study and the exact source of emissions for farm-level activities are not assessed
in this model.</t>
  </si>
  <si>
    <t>Sadhukan_et_al</t>
  </si>
  <si>
    <t xml:space="preserve">Sugars can be converted into a chemical: levulinic acid by controlled acid hydrolysis; 2,5-furandicarboxylic acid by heterogeneous catalytic reaction; succinic acid by tricarboxylic acid cycle; lactic acid by fermentation, with 3–5 times market value than bioethanol. Protein, sugar based chemical and inorganics give the highest to the lowest climate change impact savings of 12, 3 and 1 kg CO2 equivalent per kg product. </t>
  </si>
  <si>
    <t>Anaerobic fermentation</t>
  </si>
  <si>
    <t>marcoalgae</t>
  </si>
  <si>
    <t>3rd generation</t>
  </si>
  <si>
    <t>Proof of concept</t>
  </si>
  <si>
    <t>he target platform or building block chemical is 2,5-furandicarboxylic acid, followed by lactic acid, from the sugar platform from macroalgae based biorefinery system, from both economic and environmental feasibility perspectives. Succinic acid and levulinic acid are ranked next due to their lower yields. They exhibit a win–win situation, with environmental feasibility for the former and economic feasibility for the latter. Sustainability of sugar derived platform chemical strongly depends on how energy is resourced. With increasing self-generation in terms of on-site combined heat and power or bioenergy generation and decreasing fossil based external energy supply, feasibility of sugar derived platform chemical increases. Thus, with increasing renewability in energy mix in future, levulinic acid as the sugar derived target platform chemical would be seen in a more positive light giving the highest return on investment and cash flows.</t>
  </si>
  <si>
    <t>Anaerobic fermentatio</t>
  </si>
  <si>
    <t>Lin_et_al</t>
  </si>
  <si>
    <t xml:space="preserve">A general framework implementing process design, simulation, heat integration, and life cycle assessment (LCA) is illustrated to develop a sustainable route, which is particularly exploited to evaluate the environmental impacts of the p-xylene production from both generation biomass feedstocks. </t>
  </si>
  <si>
    <t>p-xylene</t>
  </si>
  <si>
    <t>Hydrolysis</t>
  </si>
  <si>
    <t>red oak</t>
  </si>
  <si>
    <t>Europe/USA</t>
  </si>
  <si>
    <t>Ecoinvent v2.2</t>
  </si>
  <si>
    <t>The starch-based pX has much worse environmental impacts than the petroleum-based pX. The oak-based pX is comparable with petroleum-based pX.</t>
  </si>
  <si>
    <t>maize starch</t>
  </si>
  <si>
    <t>Dros_et_al</t>
  </si>
  <si>
    <t>In this paper, we concentrate our attention on potential bio-based paths for the synthesis of hexamethylenediamine (HMDA), one of the two key intermediates in the preparation of nylon 6-6 by poly-condensation with adipic acid.</t>
  </si>
  <si>
    <t>Hexamethylenediamine (HMDA)</t>
  </si>
  <si>
    <t>Hydrogenation+hydrogenolysis+animation</t>
  </si>
  <si>
    <t>Potatoes</t>
  </si>
  <si>
    <t>ILCD 2011</t>
  </si>
  <si>
    <t>The GHG emissions for the bio-based paths show values in the range 6.0–8.1 kg CO2 eq. per kg HMDA and 7.5–9.9 kg CO2 eq. per kg HMDA for the French and German locations, respectively. These values are higher than those estimated for route 1, showing GHG emissions of 5.5 and 5.8 kg CO2 eq. per kg HMDA, respectively. However, if the amount of bio-sourced carbon stored in HMDA (i.e. the carbon-sink, 2.3 kg CO2 eq. per kg HMDA) is taken explicitly into account, the estimated GHG emissions can be reduced to 3.8 kg CO2 eq. per kg HMDA for route 3P FR.</t>
  </si>
  <si>
    <t>Grain maize</t>
  </si>
  <si>
    <t>hydrogenation+hydro-deoxygenation</t>
  </si>
  <si>
    <t>oxidation+reductive animation+hydrodeoxygenation</t>
  </si>
  <si>
    <t>This study assesses and compares a wood gasification with a wood fermentation route to ethylene in Sweden, as well as compares it with the commercialized sugarcane and fossil oil alternatives.</t>
  </si>
  <si>
    <t>Gasification</t>
  </si>
  <si>
    <t>Wood (tree tops and branches)</t>
  </si>
  <si>
    <t>The comparison of the gasification with a wood and a sugarcane fermentation route showed a lower impact for the gasification route. Among other things, this is caused by high emissions from transport and cultivation for the sugarcane route and high emissions from enzyme and ethanol production for the wood fermentation route.
The results were less distinct for a comparison of the gasification with a fossil-based route.</t>
  </si>
  <si>
    <t>Wood (mix; pulp, energy wood, sawmill chips, tree tops and branches)</t>
  </si>
  <si>
    <t>Wood</t>
  </si>
  <si>
    <t>Three bio-chemicals were selected in the investigation: methanol, formic acid, and acetone. The results suggest that the environmental benefits anticipated from renewable resources to produce green chemicals should be reviewed on a case by case basis.</t>
  </si>
  <si>
    <t>Acetone</t>
  </si>
  <si>
    <t>NREL</t>
  </si>
  <si>
    <t xml:space="preserve">Biomass resources are especially favoured for their ability to absorb CO2via photosynthesis. Our results show that this benefit is overshadowed by greenhouse emissions caused by agricultural activities, harvesting, and other downstream processes involved before leading to 1 kg bio-chemical. </t>
  </si>
  <si>
    <t>Formic acid</t>
  </si>
  <si>
    <t>NREL/Ecoinvent</t>
  </si>
  <si>
    <t>NREL/literature</t>
  </si>
  <si>
    <t>Methanol</t>
  </si>
  <si>
    <t>Literature/Ecoinvent</t>
  </si>
  <si>
    <t>Forte_et_al</t>
  </si>
  <si>
    <t>This study investigated, through the Life Cycle Assessment (LCA) approach, the environmental performance of bio-based 1,4-butanediol (BDO) produced via direct fermentation of sugars from wheat straw, within a hypothetical regional biorefinery (Campania Region, Southern Italy).</t>
  </si>
  <si>
    <t>Ecoinvent v2.0</t>
  </si>
  <si>
    <t>The environmental load of the bio-based BDO resulted consistently lower as compared to fossil BDO, whose impacts appeared driven by the fossil (coal, oil and natural gas) energy sources (for CC, OD, TA and FD) and by the inputs of formaldehyde and acetylene (mainly for FE, ME and WD).</t>
  </si>
  <si>
    <t>Montazeri_&amp;_Eckelman</t>
  </si>
  <si>
    <t>In this study, we performed a comparative process simulation and life cycle assessment (LCA) of catechol-derived products from lignin contained in candlenut shells with those conventionally derived from petrochemical phenol.</t>
  </si>
  <si>
    <t>tert-butylcatechol</t>
  </si>
  <si>
    <t>Catalytic deplomerization</t>
  </si>
  <si>
    <t>Candlenut shell</t>
  </si>
  <si>
    <t>Ecoinvent v3.1/NREL</t>
  </si>
  <si>
    <t>TRACI 2.1</t>
  </si>
  <si>
    <t>Southeast Asia</t>
  </si>
  <si>
    <t>In the three impact categories of global warming potential, ecotoxicity, and fossil fuel depletion, lignin-based TBC was shown to be preferable compared to the conventional petrochemical route.</t>
  </si>
  <si>
    <t>Daful_et_al</t>
  </si>
  <si>
    <t>Lactic acid</t>
  </si>
  <si>
    <t>Sugarcane bagasse and leaves</t>
  </si>
  <si>
    <t>chemical synthesis</t>
  </si>
  <si>
    <t xml:space="preserve">The global warming potential of biobased and fossil based LA are 412.50 and 4338.14 kg CO2 eq./tonne of LA respectively, giving total environmental saving of 3925.65 kg CO2 eq./tonne of LA upon replacing the fossil based LA with biobased LA, i.e. reducing the environmental burden by 90.5%. </t>
  </si>
  <si>
    <t>Moussa_et_al</t>
  </si>
  <si>
    <t>Bio-succinic acid (bio-SAC) is a promising industrial alternative to the currently used petroleum counterparts. This is mainly due to its energy and environmental performances, which were both, assessed using a cradle-to-gate LCA approach.</t>
  </si>
  <si>
    <t>Sorghum grains</t>
  </si>
  <si>
    <t>Ecoinvent/US LCI database</t>
  </si>
  <si>
    <t>Results indicate that petroleum-based SAC has higher values of GWP and non-ren CED in comparison to bio-SAC by 385% and 1014%, respectively as demonstrated in Fig. 8.</t>
  </si>
  <si>
    <t>Dextrose</t>
  </si>
  <si>
    <t xml:space="preserve">The production of bio-SAC from dextrose caused the GWP and non-ren fossil CED values to increase by 72% and 86% respectively (Fig. 7). </t>
  </si>
  <si>
    <t>Morales_et_al</t>
  </si>
  <si>
    <t>In this study, we combine metabolic engineering with the most mature technologies for the production of bio-succinic acid from sugar beet and lignocellulosic residues.</t>
  </si>
  <si>
    <t>Fermentation+calcium hydroxide control+reactive extraction</t>
  </si>
  <si>
    <t>wood residues</t>
  </si>
  <si>
    <t>For the purification technologies (SA- 1 – SA-6), the neutral fermentation with reactive extraction (SA-1) has the lowest GWP value of 12.0 CO2- eq kgSA-1 (Figure S2), whereas the purification technology with electrodialysis (SA-2) has the biggest impact with 29.6 CO2-eq kgSA -1 due to the high consumption of electricity.</t>
  </si>
  <si>
    <t>Fermentation+electrodialysis</t>
  </si>
  <si>
    <t>Fermentation+ion exchange</t>
  </si>
  <si>
    <t>Fermentation+reactive extraction</t>
  </si>
  <si>
    <t>Cespi_et_al</t>
  </si>
  <si>
    <t>A multi-criteria approach based on life cycle thinking was proposed to investigate the production of 1,3-butadiene.</t>
  </si>
  <si>
    <t>1,3 butadine</t>
  </si>
  <si>
    <t>Dehydrogenation+Lebedev catalysis</t>
  </si>
  <si>
    <t>Mix (corn, wheat, rye sugar)</t>
  </si>
  <si>
    <t>Ecoinvent v3.1</t>
  </si>
  <si>
    <t>IPCC GWP 20a</t>
  </si>
  <si>
    <t>As a result of the lower number of steps and the lesser amount of energy required, the sugarcane-based Lebedev process seems to achieve a better score in terms of CO2 eq. emissions and, if compared with the conventional route, it contributes to the GHG mitigation target. On the other hand, the remaining Lebedev routes (EU and US) are not competitive enough to consider them as a valuable key-factor in fighting climate change (Table S5†).</t>
  </si>
  <si>
    <t>Surgarcane</t>
  </si>
  <si>
    <t>Ostromisslensky catalyis</t>
  </si>
  <si>
    <t>Gargalo_et_al</t>
  </si>
  <si>
    <t xml:space="preserve">The goal of applying the E3BU methodology to the case study is to identify the best potential environmentally sustainable design alternative to add value to the glycerol side stream by converting it to high-value added products. </t>
  </si>
  <si>
    <t>glycerol from palm oil</t>
  </si>
  <si>
    <t>Gate-to-gate</t>
  </si>
  <si>
    <t>Ecoinvent 3.7 (lactic acid {GLO}| market for | APOS, U)</t>
  </si>
  <si>
    <t>The CC value for the lactic acid production obtained in this work (1.90 kg CO2 eq./kg lactic acid) is located in the range of values reported per kg of bio-based lactic acid stated in other studies for the same boundary conditions (1.80 and 1.94 kg CO2 eq./kg in (Landis, 2010) and (Onwulata, 2014), respectively).</t>
  </si>
  <si>
    <t>Ecoinvent v3.7 (proponic acid {GLO}| market for | APOS, U)</t>
  </si>
  <si>
    <t>In the case of the production of propionic acid, the value obtained in this study (2.84 kg CO2 eq./kg propionic acid) is also located in the range of values being reported by Tufvesson and colleagues (Tufvesson et al., 2013) (3.8 kg CO2 eq./kg propionic acid), considering approximately the same set of boundary conditions.</t>
  </si>
  <si>
    <t>1,3 propanediol</t>
  </si>
  <si>
    <t>Urban_&amp;_Bakshi (2009)</t>
  </si>
  <si>
    <t>Therefore, the value obtained in this work (∼3.3 kg CO2 eq./kg 1,3-PDO) reports a difference of approximately 20% to the abovementioned reference for bio-based 1,3-propanediol (∼4 CO2 eq./kg 1,3-PDO).</t>
  </si>
  <si>
    <t>Herein, we (i) demonstrate tin-containing MFI zeolites prepared by scalable methods as highly active, selective and recyclable catalysts able to operate in concentrated dihydroxyacetone aqueous and methanolic solutions, and (ii) reveal by life cycle analysis that a process comprising the enzymatic production of dihydroxyacetone from crude glycerol and its chemocatalytic isomerisation in methanol is advantageous for the production of lactic acid compared to glucose fermentation in terms of both sustainability and operating costs.</t>
  </si>
  <si>
    <t>Biocatalysis</t>
  </si>
  <si>
    <t>glycerol from biodiesel</t>
  </si>
  <si>
    <t>Residual, not accounted for</t>
  </si>
  <si>
    <t>2006-2014</t>
  </si>
  <si>
    <t>For the alternative process, the highest environmental burden is the production of DHA from pure GLY. Indeed, the GWP for the DHA-1 model alone is 7.1 kgCO2-eq kgDHA−1</t>
  </si>
  <si>
    <t>Biocatalysis (from glycerol destined for incineration)</t>
  </si>
  <si>
    <t>2006-2015</t>
  </si>
  <si>
    <t>The production of DHA from crude GLY has at least a 30% lower impact than its production from pure GLY if the alternative utilisation scenario for GLY is burning in an incineration plant, recovering the respective steam and/or electricity (DHA-2 model).</t>
  </si>
  <si>
    <t>Biocatalysis (from glycerol destined for wastewatenr treatment)</t>
  </si>
  <si>
    <t>2006-2016</t>
  </si>
  <si>
    <t>If crude GLY is considered as a waste to be treated in a waste water treatment plant, the GWP value becomes even smaller (3.9 kgCO2-eq kgDHA−1, DHA-2 model).</t>
  </si>
  <si>
    <t>Biocatalysis + MFI-AT chemocatalysis</t>
  </si>
  <si>
    <t>2006-2017</t>
  </si>
  <si>
    <t>The cascade LA roduction process using the MFI-AT catalyst (LA-1 model) has a GWP value of 7.3 kgCO2-eq kgLA−1.</t>
  </si>
  <si>
    <t>Biocatalysis + MFI-SN chemocatalysis (3 runs in water)</t>
  </si>
  <si>
    <t>2006-2018</t>
  </si>
  <si>
    <t>When the Sn-MFI catalyst is employed (LA-2 model), the environmental impact is reduced to 6.9 kgCO2-eq kgLA−1 since the full DHA conversion and extremely high LA selectivity in this case enable a less energy-intensive purification of the LA stream.</t>
  </si>
  <si>
    <t>Biocatalysis + MFI-SN chemocatalysis (7 runs in water)</t>
  </si>
  <si>
    <t>2006-2019</t>
  </si>
  <si>
    <t>Biocatalysis + MFI-SN chemocatalysis (7 runs in methanol)</t>
  </si>
  <si>
    <t>2006-2020</t>
  </si>
  <si>
    <t>The lowest environmental impact (5.8 kgCO2-eq kgLA−1) can be reached when the conversion of DHA into LA is performed in methanol (LA-4 model).</t>
  </si>
  <si>
    <t>Yu_and_Chen</t>
  </si>
  <si>
    <t>A cradle-to-factory-gate life cycle assessment is performed with two important categories: the greenhouse gas (GHG) emissions and fossil energy requirement per kg of bioplastics produced.</t>
  </si>
  <si>
    <t>SuperPro Designer (V4.9)</t>
  </si>
  <si>
    <t>The analysis indicates that PHA bioplastics contribute clearly to the goal of mitigating GHG emissions with only 0.49 kg CO2-e being emitted from production of 1 kg of resin. Compared with 2−3 kg CO2-e of petrochemical counterparts, it is about 80% reduction of the global warming potential.</t>
  </si>
  <si>
    <t>Cradle-to-gate environmental performance of PHB derived from corn grain is evaluated through life cycle assessment (LCA), particularly nonrenewable energy consumption and greenhouse gas emissions.</t>
  </si>
  <si>
    <t>Results show that PHB derived from corn grain offers environmental advantages over petroleum-derived polymers in terms of nonrenewable energy consumption and greenhouse gas emissions.</t>
  </si>
  <si>
    <t>Kendall_et_al</t>
  </si>
  <si>
    <t>This study applies life cycle assessment to a potential production pathway for polyhydroxybutyrate (PHB), from the cellulosic fraction of organic residuals from material recovery facilities that otherwise are disposed of in a landfill.</t>
  </si>
  <si>
    <t>Cellulosic fraction of organic residuals from material recovery facilities</t>
  </si>
  <si>
    <t>The cradle-to-gate production of PHB from this proposed pathway results in primary energy consumption and emissions of approximately 55–76 MJ/kg and 3.4–5.0 kg carbon dioxide-equivalent/kg, respectively. By comparison, producing PHB from a dedicated agricultural feedstock such as corn is estimated to require approximately twice the energy and greenhouse gas emissions as PHB from material recovery facility residuals.</t>
  </si>
  <si>
    <t>Eerhart_et_al</t>
  </si>
  <si>
    <t>An energy and greenhouse gas (GHG) balance study was performed on the production of the bioplastic polyethylene furandicarboxylate (PEF) starting from corn based fructose. The goal of the study was to analyze and to translate experimental data on the catalytic dehydration of fructose to a simulation model, using the ASPEN Plus modeling software.</t>
  </si>
  <si>
    <t>The production of PEF can reduce the NREU approximately 40% to 50% while GHG emissions can be reduced approximately 45% to 55%, compared to PET for the system cradle to grave.</t>
  </si>
  <si>
    <t>Nuss_and_Gardner</t>
  </si>
  <si>
    <t>The objective of this study is to assess the environmental burdens of producing polyitaconic acid (PIA), a water-soluble polymer derived from itaconic acid identified by the US Department of Energy as one of the top 12 value added chemicals from northeast (NE) US softwood biomass. Results are compared to corn-derived PIA and fossil-based poly acrylic acid (PAA) on the basis of 1 kg of polymer at the factory gate.</t>
  </si>
  <si>
    <t>Polyacrylic acid</t>
  </si>
  <si>
    <t>Ecoinvent + NREL</t>
  </si>
  <si>
    <t>Results indicate that the use of softwood-based PIA may be advantageous in terms of GWP, CED, and acidification when compared to both, the integrated corn biorefinery and fossil-based PAA production.</t>
  </si>
  <si>
    <t>Akanuma_et_al</t>
  </si>
  <si>
    <t>This study provides a preliminary comparison of the environmental burdens of three different pathways for production of bio-based purified terephthalic acid (PTA), suitable for the production of 100 % bio-based poly(ethylene terephthalate), PET. These pathways are through (1) muconic acid originating in wheat stover; (2) isobutanol originating in corn; and (3) benzene, toluene, and xylene (BTX) originating in poplar.</t>
  </si>
  <si>
    <t>Wheat stover</t>
  </si>
  <si>
    <t>Ecoinvent 2.0</t>
  </si>
  <si>
    <t>IMPACT 2002+ v2.1</t>
  </si>
  <si>
    <t>Among the three scenarios for producing PET, PET synthesized through BTX looked the most promising to pursue for production of bio-based PET with lower environmental burdens. This work also indicated that the first production steps of producing PET through any of the evaluated scenarios (from biomass to the first intermediate) are responsible for the largest environmental burden and should be further characterized since they were the dominant processes in many impact categories.</t>
  </si>
  <si>
    <t>Pyrolysis</t>
  </si>
  <si>
    <t>Poplar</t>
  </si>
  <si>
    <t>Papong_et_al</t>
  </si>
  <si>
    <t>The objective of this study was to analyze the life cycle environmental performance of polylactic acid (PLA) drinking water bottles produced in Thailand with an emphasis on different end-of-life scenarios.</t>
  </si>
  <si>
    <t>Cassava</t>
  </si>
  <si>
    <t>Ecoinvent 2.2</t>
  </si>
  <si>
    <t>The results obtained in this study showed that the environmental performance of cassava-based PLA bottles was better than PET bottles in terms of global warming, reduction of dependency on fossil energy, and human toxicity. In addition, it was shown that improving cassava starch process by combining with biogas production and utilization will lead to significant reduction in global warming potential and eutrophication potential.</t>
  </si>
  <si>
    <t>Hohenschuh_et_al</t>
  </si>
  <si>
    <t>This study investigates the economic feasibility and estimates the life-cycle greenhouse gas (GHG) emissions produced during the PHB production from hybrid poplar leaves.</t>
  </si>
  <si>
    <t>The analysis suggests that in an unirrigated poplar production scenario net GHG emissions are likely to favor PHB production in poplar over conventional polypropylene production.</t>
  </si>
  <si>
    <t>Heimersson_et_al</t>
  </si>
  <si>
    <t>This article explores different methodological challenges for LCA of mixed-culture PHA production using organic material in wastewater as feedstock.</t>
  </si>
  <si>
    <t>wastewater</t>
  </si>
  <si>
    <t>CML2001</t>
  </si>
  <si>
    <t>The selection of allocation method is shown to determine the LCA results. The type of data used, for electricity in the energy system, is shown to be important for the results, which indicates, a strong regional dependency of results for systems with electricity use as an environmental hot spot.</t>
  </si>
  <si>
    <t>Zolkarinain_et_al</t>
  </si>
  <si>
    <t>The objective of this study is to identify any potential environmental impacts that could be associated with the production of palm polyol</t>
  </si>
  <si>
    <t>Palm fruit branches</t>
  </si>
  <si>
    <t>Sun_et_al</t>
  </si>
  <si>
    <t>In order to evaluate the environmental performance of poly(PhLA) produced from sweet sorghum, a cradle-to-factory-gate life cycle assessment was performed for two impact categories, namely fossil energy consumption and greenhouse gas (GHG) emissions per kilogram of poly(PhLA). These two impact categories were compared with those of the FBEPs, and with those of the bio-based polylactides (PLA) and poly(hydroxyalkanoate) (PHA).</t>
  </si>
  <si>
    <t>Sweet sorghum</t>
  </si>
  <si>
    <t>the GHG emissions are 6.2 kg CO2 eq/kg using the current technology; these are higher than those of the FBEPs and bio-based PLA and PHA.</t>
  </si>
  <si>
    <t>Tecchio_et_al</t>
  </si>
  <si>
    <t xml:space="preserve">In the present work, an ex-ante Life Cycle Assessment approach is proposed to forecast the environmental impact of a new material, overcoming the aforementioned issues. </t>
  </si>
  <si>
    <t>Maze starch</t>
  </si>
  <si>
    <t>Rest of the world</t>
  </si>
  <si>
    <t>The case study of polybutylene succinate highlights the advantages of the adopted scale-up methodology with particular reference to the ease of implementation and consistency of results.</t>
  </si>
  <si>
    <t>Sugar cane</t>
  </si>
  <si>
    <t>Lignocellulosics</t>
  </si>
  <si>
    <t>Gontia_and_Janssen</t>
  </si>
  <si>
    <t>In order to guide the development of a novel biochemical process for producing Na-PA, a life cycle assessment was done in which Na-PA produced from side streams of thermo-mechanical pulp (TMP) and sulfite pulp mills were compared. Furthermore, a comparison was made with Na-PA produced from fossil resources.</t>
  </si>
  <si>
    <t>Sodium polyacrylate (Na-PA)</t>
  </si>
  <si>
    <t>Thermo-mechanical pulp (wood)</t>
  </si>
  <si>
    <t>The results show that the main determinant of the environmental impact of the bio-based Na-PA production is the free sugar content in the side streams.</t>
  </si>
  <si>
    <t>Sulfite pulp (wood)</t>
  </si>
  <si>
    <t>This study provides a comparative environmental Life Cycle Analysis (LCA) for 100% bio-based polyethylene terephthalate (PET) bottles, versus fully fossil-based and partially bio-based PET bottles.</t>
  </si>
  <si>
    <t>Wood and corn</t>
  </si>
  <si>
    <t>Ecoinvent v3</t>
  </si>
  <si>
    <t>ReCiPe v1.08</t>
  </si>
  <si>
    <t>Results indicate that woody-biomass based PET bottles have 21% less global warming potential and require 22% less fossil fuel than their fossil based counterparts, but perform worse in other categories such as ecotoxicity and ozone depletion impacts.</t>
  </si>
  <si>
    <t>Wood and switchgrass</t>
  </si>
  <si>
    <t>Wood and wheat straw</t>
  </si>
  <si>
    <t>Corn stover and corn</t>
  </si>
  <si>
    <t>Corn stover and switchgrass</t>
  </si>
  <si>
    <t>Corn stover and wheat straw</t>
  </si>
  <si>
    <t>Posen_et_al</t>
  </si>
  <si>
    <t>This study investigates GHG emissions from U.S. production of three important biobased polymer families: polylactic acid (PLA), polyhydroxybutyrate (PHB) and bioethylene-based plastics.</t>
  </si>
  <si>
    <t>PHB (from either feedstock) is unlikely to have lower emissions than fossil polymers once end of life emissions are included. PLA generally has the lowest emissions when compared to high emission fossil polymers, such as polystyrene (mean GHG savings up to 1.4 kg CO2e/kg corn PLA and 2.9 kg CO2e/kg switchgrass PLA). In contrast, bioethylene is likely to achieve the greater emission reduction for ethylene intensive polymers, like polyethylene (mean GHG savings up to 0.60 kg CO2e/kg corn polyethylene and 3.4 kg CO2e/kg switchgrass polyethylene).</t>
  </si>
  <si>
    <t>Switchgrass</t>
  </si>
  <si>
    <t>Belboom_and_Léonard</t>
  </si>
  <si>
    <t>This paper undertakes an environmental evaluation of the production of biobased polymer produced from two different feedstock cultivated in Belgium: sugar beet and wheat. Both crops cultivation are studied as well as their transformation into biobased ethanol, first, and then to biobased ethylene, focusing on high-density polyethylene (HDPE) as final product.</t>
  </si>
  <si>
    <t>Belgium</t>
  </si>
  <si>
    <t>ReCiPe 2008</t>
  </si>
  <si>
    <t>This study shows a reduction of impact of around 60% for both climate change and fossil fuel depletion categories when using biobased HDPE instead of its fossil counterpart.</t>
  </si>
  <si>
    <t>This study attempts to estimate the environmental performance of Polyhydroxyalkanoates (PHA), from agricultural production through the PHA fermentation and recovery process – “cradle to gate”.</t>
  </si>
  <si>
    <t>Cat</t>
  </si>
  <si>
    <t>goal</t>
  </si>
  <si>
    <t>year</t>
  </si>
  <si>
    <t>ref</t>
  </si>
  <si>
    <t>emerg_tech</t>
  </si>
  <si>
    <t>emerg_tech_cat</t>
  </si>
  <si>
    <t>feedstock</t>
  </si>
  <si>
    <t>feedstock_cat</t>
  </si>
  <si>
    <t>feedstock_impact</t>
  </si>
  <si>
    <t>system_boundary</t>
  </si>
  <si>
    <t>biogenic_credit</t>
  </si>
  <si>
    <t>fossil_eol_emissions</t>
  </si>
  <si>
    <t>fossil_ct</t>
  </si>
  <si>
    <t>location</t>
  </si>
  <si>
    <t>luc_impact</t>
  </si>
  <si>
    <t>fu</t>
  </si>
  <si>
    <t>gwp_bbp</t>
  </si>
  <si>
    <t>gwp_fossil</t>
  </si>
  <si>
    <t>fossil_lci_source</t>
  </si>
  <si>
    <t>fossil_tech</t>
  </si>
  <si>
    <t>gwp_fossil_ecoinvent</t>
  </si>
  <si>
    <t>lca_approach</t>
  </si>
  <si>
    <t>scale_foreground</t>
  </si>
  <si>
    <t>trl_upscaled</t>
  </si>
  <si>
    <t>simulation</t>
  </si>
  <si>
    <t>scale_up_method</t>
  </si>
  <si>
    <t>energy_recycling</t>
  </si>
  <si>
    <t>recycling_flows</t>
  </si>
  <si>
    <t>impact_assessment_method</t>
  </si>
  <si>
    <t xml:space="preserve">uncertainty_analysis </t>
  </si>
  <si>
    <t>year_foreground</t>
  </si>
  <si>
    <t>location_biomass</t>
  </si>
  <si>
    <t>location_foreground</t>
  </si>
  <si>
    <t>conclusions</t>
  </si>
  <si>
    <t>ID_1</t>
  </si>
  <si>
    <t>ID_2</t>
  </si>
  <si>
    <t>PHA</t>
  </si>
  <si>
    <t>PHB</t>
  </si>
  <si>
    <t>PE</t>
  </si>
  <si>
    <t>PP</t>
  </si>
  <si>
    <t>PBS</t>
  </si>
  <si>
    <t>PET</t>
  </si>
  <si>
    <t>PLA</t>
  </si>
  <si>
    <t>polyol</t>
  </si>
  <si>
    <t>LDPE</t>
  </si>
  <si>
    <t>LLDPE</t>
  </si>
  <si>
    <t>OZ_BbP</t>
  </si>
  <si>
    <t>OZ_lower</t>
  </si>
  <si>
    <t>OZ_upper</t>
  </si>
  <si>
    <t>OZ_fossil</t>
  </si>
  <si>
    <t>SF_BbP</t>
  </si>
  <si>
    <t>SF_lower</t>
  </si>
  <si>
    <t>SF_upper</t>
  </si>
  <si>
    <t>SF_fossil</t>
  </si>
  <si>
    <t>AP1_BbP</t>
  </si>
  <si>
    <t>AP1_lower</t>
  </si>
  <si>
    <t>AP1_upper</t>
  </si>
  <si>
    <t>AP1_fossil</t>
  </si>
  <si>
    <t>AP2_BbP</t>
  </si>
  <si>
    <t>AP2_lower</t>
  </si>
  <si>
    <t>AP2_upper</t>
  </si>
  <si>
    <t>AP2_fossil</t>
  </si>
  <si>
    <t>EP1_BbP</t>
  </si>
  <si>
    <t>EP1_lower</t>
  </si>
  <si>
    <t>EP1_upper</t>
  </si>
  <si>
    <t>EP1_fossil</t>
  </si>
  <si>
    <t>EP2_BbP</t>
  </si>
  <si>
    <t>EP2_lower</t>
  </si>
  <si>
    <t>EP2_upper</t>
  </si>
  <si>
    <t>EP2_fossil</t>
  </si>
  <si>
    <t>CHE_BbP</t>
  </si>
  <si>
    <t>CHE_lower</t>
  </si>
  <si>
    <t>CHE_upper</t>
  </si>
  <si>
    <t>CHE_fossil</t>
  </si>
  <si>
    <t>NCHE_BbP</t>
  </si>
  <si>
    <t>NCHE_lower</t>
  </si>
  <si>
    <t>NCHE_upper</t>
  </si>
  <si>
    <t>NCHE_fossil</t>
  </si>
  <si>
    <t>RE_BbP</t>
  </si>
  <si>
    <t>RE_lower</t>
  </si>
  <si>
    <t>RE_upper</t>
  </si>
  <si>
    <t>RE_fossil</t>
  </si>
  <si>
    <t>ET_BbP</t>
  </si>
  <si>
    <t>ET_lower</t>
  </si>
  <si>
    <t>ET_upper</t>
  </si>
  <si>
    <t>ET_fossil</t>
  </si>
  <si>
    <t>FFD_BbP</t>
  </si>
  <si>
    <t>FFD_lower</t>
  </si>
  <si>
    <t>FFD_upper</t>
  </si>
  <si>
    <t>FFD_fossil</t>
  </si>
  <si>
    <t>FFD2_lower</t>
  </si>
  <si>
    <t>FFD2_upper</t>
  </si>
  <si>
    <t>FFD2_fossil</t>
  </si>
  <si>
    <t>POCP_BbP</t>
  </si>
  <si>
    <t>POCP_lower</t>
  </si>
  <si>
    <t>POCP_upper</t>
  </si>
  <si>
    <t>POCP_fossil</t>
  </si>
  <si>
    <t>NREU_BbP</t>
  </si>
  <si>
    <t>NREU_lower</t>
  </si>
  <si>
    <t>NREU_upper</t>
  </si>
  <si>
    <t>NREU_fossil</t>
  </si>
  <si>
    <t>REU_BbP</t>
  </si>
  <si>
    <t>REU_lower</t>
  </si>
  <si>
    <t>REU_upper</t>
  </si>
  <si>
    <t>REU_fossil</t>
  </si>
  <si>
    <t>CED_BbP</t>
  </si>
  <si>
    <t>CED_lower</t>
  </si>
  <si>
    <t>CED_upper</t>
  </si>
  <si>
    <t>CED_fossil</t>
  </si>
  <si>
    <t>ALO_BbP</t>
  </si>
  <si>
    <t>ALO_lower</t>
  </si>
  <si>
    <t>ALO_upper</t>
  </si>
  <si>
    <t>ALO_fossil</t>
  </si>
  <si>
    <t>HT_BbP</t>
  </si>
  <si>
    <t>HT_lower</t>
  </si>
  <si>
    <t>HT_upper</t>
  </si>
  <si>
    <t>HT_fossil</t>
  </si>
  <si>
    <t>FET_BbP</t>
  </si>
  <si>
    <t>FET_lower</t>
  </si>
  <si>
    <t>FET_upper</t>
  </si>
  <si>
    <t>FET_fossil</t>
  </si>
  <si>
    <t>RI_BbP</t>
  </si>
  <si>
    <t>RI_lower</t>
  </si>
  <si>
    <t>RI_upper</t>
  </si>
  <si>
    <t>RI_fossil</t>
  </si>
  <si>
    <t>RO_BbP</t>
  </si>
  <si>
    <t>RO_lower</t>
  </si>
  <si>
    <t>RO_upper</t>
  </si>
  <si>
    <t>RO_fossil</t>
  </si>
  <si>
    <t>WS_BbP</t>
  </si>
  <si>
    <t>WS_lower</t>
  </si>
  <si>
    <t>WS_upper</t>
  </si>
  <si>
    <t>WS_fossil</t>
  </si>
  <si>
    <t>HH_BbP</t>
  </si>
  <si>
    <t>HH_lower</t>
  </si>
  <si>
    <t>HH_upper</t>
  </si>
  <si>
    <t>HH_fossil</t>
  </si>
  <si>
    <t>DAR_BbP</t>
  </si>
  <si>
    <t>DAR_lower</t>
  </si>
  <si>
    <t>DAR_upper</t>
  </si>
  <si>
    <t>DAR_fossil</t>
  </si>
  <si>
    <t>MAET_BbP</t>
  </si>
  <si>
    <t>MAET_lower</t>
  </si>
  <si>
    <t>MAET_upper</t>
  </si>
  <si>
    <t>MAET_fossil</t>
  </si>
  <si>
    <t>TET_BbP</t>
  </si>
  <si>
    <t>TET_lower</t>
  </si>
  <si>
    <t>TET_upper</t>
  </si>
  <si>
    <t>TET_fossil</t>
  </si>
  <si>
    <t>DAR2_BbP</t>
  </si>
  <si>
    <t>DAR2_lower</t>
  </si>
  <si>
    <t>DAR2_upper</t>
  </si>
  <si>
    <t>DAR2_fossil</t>
  </si>
  <si>
    <t>EI99_BbP</t>
  </si>
  <si>
    <t>EI99_lower</t>
  </si>
  <si>
    <t>EI99_upper</t>
  </si>
  <si>
    <t>EI99_fossil</t>
  </si>
  <si>
    <t>PMF_BbP</t>
  </si>
  <si>
    <t>PMF_lower</t>
  </si>
  <si>
    <t>PMF_upper</t>
  </si>
  <si>
    <t>PMF_fossil</t>
  </si>
  <si>
    <t>IR_BbP</t>
  </si>
  <si>
    <t>IR_lower</t>
  </si>
  <si>
    <t>IR_upper</t>
  </si>
  <si>
    <t>IR_fossil</t>
  </si>
  <si>
    <t>ULO_BbP</t>
  </si>
  <si>
    <t>ULO_lower</t>
  </si>
  <si>
    <t>ULO_upper</t>
  </si>
  <si>
    <t>ULO_fossil</t>
  </si>
  <si>
    <t>NLT_BbP</t>
  </si>
  <si>
    <t>NLT_lower</t>
  </si>
  <si>
    <t>NLT_upper</t>
  </si>
  <si>
    <t>NLT_fossil</t>
  </si>
  <si>
    <t>MD_BbP</t>
  </si>
  <si>
    <t>MD_lower</t>
  </si>
  <si>
    <t>MD_upper</t>
  </si>
  <si>
    <t>MD_fossil</t>
  </si>
  <si>
    <t>FD_BbP</t>
  </si>
  <si>
    <t>FD_lower</t>
  </si>
  <si>
    <t>FD_upper</t>
  </si>
  <si>
    <t>FD_fossil</t>
  </si>
  <si>
    <t>LU_BbP</t>
  </si>
  <si>
    <t>LU_lower</t>
  </si>
  <si>
    <t>LU_upper</t>
  </si>
  <si>
    <t>LU_fossil</t>
  </si>
  <si>
    <t>C_BbP</t>
  </si>
  <si>
    <t>C_lower</t>
  </si>
  <si>
    <t>C_upper</t>
  </si>
  <si>
    <t>C_fossil</t>
  </si>
  <si>
    <t>NC_BbP</t>
  </si>
  <si>
    <t>NC_lower</t>
  </si>
  <si>
    <t>NC_upper</t>
  </si>
  <si>
    <t>NC_fossil</t>
  </si>
  <si>
    <t>Enzymatic depolymerization</t>
  </si>
  <si>
    <t>RR</t>
  </si>
  <si>
    <t>RR_AP1</t>
  </si>
  <si>
    <t>RR_EP1</t>
  </si>
  <si>
    <t>RR_NREU</t>
  </si>
  <si>
    <t xml:space="preserve">BoPP </t>
  </si>
  <si>
    <t>BoPP</t>
  </si>
  <si>
    <t xml:space="preserve">Polystyrene </t>
  </si>
  <si>
    <t>PBT</t>
  </si>
  <si>
    <t xml:space="preserve">PET </t>
  </si>
  <si>
    <t>na</t>
  </si>
  <si>
    <t>na OpenLCA</t>
  </si>
  <si>
    <t>An Aspen plus® simulation has been developed to investigate LA production from lignocellulosic biomass SCBL, to be integrated with a typical South-African sugar mill and a life cycle Assessment (LCA) of the process has been conducted based on the developed model.</t>
  </si>
  <si>
    <t>Kim_et_al_1</t>
  </si>
  <si>
    <t>FDCA</t>
  </si>
  <si>
    <t>Catalytic conversion</t>
  </si>
  <si>
    <t>Wood chips</t>
  </si>
  <si>
    <t>TPA</t>
  </si>
  <si>
    <t>2013 -2020</t>
  </si>
  <si>
    <t>Environmental impacts are compared between biomass-derived FDCA and petroleum-derived TPAproductions by life-cycle assessment. In the former production, fossil depletion is lower (53%) than that of the latter production,although climate change of the former is higher (29%) than that of the latter. FDCA production can be more environmentallyfriendly by changing the sources for electricity generation.</t>
  </si>
  <si>
    <t>PCOF_BbP</t>
  </si>
  <si>
    <t>PCOF_lower</t>
  </si>
  <si>
    <t>PCOF_upper</t>
  </si>
  <si>
    <t>PCOF_fossil</t>
  </si>
  <si>
    <t>trl_grouped</t>
  </si>
  <si>
    <t>1 to 3</t>
  </si>
  <si>
    <t>6 to 9</t>
  </si>
  <si>
    <t>Residual, accounted for</t>
  </si>
  <si>
    <t>Virgin, accounted for</t>
  </si>
  <si>
    <t>Virgin, not accounted for</t>
  </si>
  <si>
    <t>coconut</t>
  </si>
  <si>
    <t>No, pure feedstock</t>
  </si>
  <si>
    <t>BBP</t>
  </si>
  <si>
    <t>LACTIC ACID</t>
  </si>
  <si>
    <t>WOOD FIBRE/PLA/TPS BIOCOMPOSITE</t>
  </si>
  <si>
    <t>WOOD FIBRE/PLA BIOCOMPOSITE</t>
  </si>
  <si>
    <t>SUCCINIC ACID</t>
  </si>
  <si>
    <t>ETHYLENE</t>
  </si>
  <si>
    <t>NANOCELLULOSE (MICROFIBRILLATED CELLULOSE (MFC))</t>
  </si>
  <si>
    <t>1,3-PROPANEDIOL</t>
  </si>
  <si>
    <t>BOPLA</t>
  </si>
  <si>
    <t>CELLULOSE NANOWHISKERS</t>
  </si>
  <si>
    <t>ADIPIC ACID</t>
  </si>
  <si>
    <t>SPIRO-BISPHENOL</t>
  </si>
  <si>
    <t>HEXANOIC ACID</t>
  </si>
  <si>
    <t>1,3-BUTADIENE</t>
  </si>
  <si>
    <t>3-HYDROXY PROPIONIC ACID</t>
  </si>
  <si>
    <t>BIOPOLYETHYLENE/BAGASSE FIBERS BIOCOMPOSITE</t>
  </si>
  <si>
    <t>POLYLACTIDE</t>
  </si>
  <si>
    <t>PROPYLENE GLYCOL</t>
  </si>
  <si>
    <t>FORMIC ACID</t>
  </si>
  <si>
    <t>BIOPOLYMER</t>
  </si>
  <si>
    <t>WAX ESTERS</t>
  </si>
  <si>
    <t>POLYITACONIC ACID</t>
  </si>
  <si>
    <t xml:space="preserve">FLAX MAT/PLA BIOCOMPOSITE LAMINATES </t>
  </si>
  <si>
    <t>P-XYLENE</t>
  </si>
  <si>
    <t>WHEAT-GLUTEN-BASED PACKAGING FILM</t>
  </si>
  <si>
    <t>ISOBUTANOL</t>
  </si>
  <si>
    <t>PROPIONIC ACID</t>
  </si>
  <si>
    <t>METHANOL</t>
  </si>
  <si>
    <t>SPIROCYCLIC DIOL</t>
  </si>
  <si>
    <t>LEVOGLUCOSAN</t>
  </si>
  <si>
    <t>2,3-BUTANEDIOL</t>
  </si>
  <si>
    <t>MULCH FILM</t>
  </si>
  <si>
    <t>CURAUÁ/PP COMPOSITE</t>
  </si>
  <si>
    <t>1,4-BUTANEDIOL</t>
  </si>
  <si>
    <t>ETHYL LACTATE</t>
  </si>
  <si>
    <t>LACTIDE</t>
  </si>
  <si>
    <t>ACETONITRILE</t>
  </si>
  <si>
    <t>OLEFINS</t>
  </si>
  <si>
    <t>SODIUM POLYACRYLATE (NA-PA)</t>
  </si>
  <si>
    <t>PSA BIOADHESIVE</t>
  </si>
  <si>
    <t>POLYETHYLENE</t>
  </si>
  <si>
    <t>1,3-DIHYDROXYACETONE</t>
  </si>
  <si>
    <t>PU FOAMS</t>
  </si>
  <si>
    <t>LINSEED OIL/FLAX FIBRE/MMP BIOCOMPOSITE</t>
  </si>
  <si>
    <t>PHB/KENAF COMPOSITE</t>
  </si>
  <si>
    <t>MODAL ANTI BACTERIAL FABRIC</t>
  </si>
  <si>
    <t>EPOXY RESIN SUPERSAP</t>
  </si>
  <si>
    <t>PAG BIOADHESIVE</t>
  </si>
  <si>
    <t>BIOFILM</t>
  </si>
  <si>
    <t>SOY BIOADHESIVE</t>
  </si>
  <si>
    <t>ACETONE</t>
  </si>
  <si>
    <t>TANNIN BIOADHESIVE</t>
  </si>
  <si>
    <t>PHLA</t>
  </si>
  <si>
    <t>POLY(LACTIC ACID)/CELLULOSE NANOCRYSTAL/LIMONENE BIOFILM</t>
  </si>
  <si>
    <t>NANOFIBRILLATED CELLULOSE (NFC)-REINFORCED EPOXY COMPOSITES</t>
  </si>
  <si>
    <t>NANOCELLULOSE YARN</t>
  </si>
  <si>
    <t>BACTERIAL CELLULOSE (BC)-REINFORCED EPOXY COMPOSITES</t>
  </si>
  <si>
    <t>CNC FOAM</t>
  </si>
  <si>
    <t>LIGNIN BIOADHESIVE</t>
  </si>
  <si>
    <t>LIGNIN POWDER</t>
  </si>
  <si>
    <t>ALKYL POLYGLYCOSIDES</t>
  </si>
  <si>
    <t>HEXAMETHYLENEDIAMINE</t>
  </si>
  <si>
    <t>BIOLUBRICANT</t>
  </si>
  <si>
    <t>PHENOLIC</t>
  </si>
  <si>
    <t>POLYOLS</t>
  </si>
  <si>
    <t>POLYESTER BINDERS</t>
  </si>
  <si>
    <t>EPOXIDIZED SUCROSE SOYATE COMPOSITES</t>
  </si>
  <si>
    <t>STARCH-FILLED POLYPROPYLENE</t>
  </si>
  <si>
    <t>DIOL V</t>
  </si>
  <si>
    <t>BUTYLCATECHOL</t>
  </si>
  <si>
    <t>CURED WOOD FLOORING COATING</t>
  </si>
  <si>
    <t>3-PROPANEDIOL</t>
  </si>
  <si>
    <t>POLYLIMONENE CARBONATE</t>
  </si>
  <si>
    <t>4 and 5</t>
  </si>
  <si>
    <t>2-METHYL TETRAHYDROFURAN</t>
  </si>
  <si>
    <t xml:space="preserve"> In this study, an integrated process was developed for the coproduction of FDCA as abiobased plastic monomer and 1,5-pentanediol as a high-valueproduct from lignocellulosic biomass using catalytic conversionsand designing separation areas.</t>
  </si>
  <si>
    <t>Ingrao et al</t>
  </si>
  <si>
    <t>This paper aims at exploring the Carbon Footprint (CF) and the Cumulative Energy Demand (CED) of a set of composites through the application of LCA on a lab-scale dimension, which is comparable to small start-up production levels</t>
  </si>
  <si>
    <t>Extrusion &amp; injection molding</t>
  </si>
  <si>
    <t>Spend coffee ground</t>
  </si>
  <si>
    <t>2021-2022</t>
  </si>
  <si>
    <t>Latvia</t>
  </si>
  <si>
    <t>Results from the study proved that the SCG/PBS ratio increased from 0.25 to 1.5 and reduced the whole-system related CED and CF by 7.4–8.4%. Overall, the study allowed to understand that, already in the phases of lab-scale design, testing, and assessment, it is possible to find material recovery paths that have the potential to lead to implementing sustainable circular models of the economy</t>
  </si>
  <si>
    <t>Zuiderveen et al</t>
  </si>
  <si>
    <t>The purposes of this study are two folds: 1) to identify the significant environmental issues at an early development stage and 2) to gain insights into and experience of ex-ante assessment for a low-TRL bio-based innovation. The electrochemical technology investigated offers the opportunity of electrification of the chemical sector in the future. Ex-ante LCA was applied based on recently suggested TRL-frameworks.</t>
  </si>
  <si>
    <t>PEF</t>
  </si>
  <si>
    <t>TERRA: Tandem Electrocatalytic Reactor for energy/Resource efficiency and process</t>
  </si>
  <si>
    <t>Xylitol from wood pulp</t>
  </si>
  <si>
    <t>Process simulation</t>
  </si>
  <si>
    <t>Netherlands</t>
  </si>
  <si>
    <t>The results show that the electricity demand from the electrochemical reactor is the most important contributor of the environmental impacts, yet downstream processes contribute significantly as well. Future scenarios show that a carbon neutral electricity in 2050 could help to significantly reduce the climate change impact (by up to 60%). As a proof-of-concept, the assessed electrochemical reactor shows its important potential of the electrification of the chemical sector for monomer and polymer production, provided that a zero emission electricity in the future can be achieved.</t>
  </si>
  <si>
    <t>Haus et al.</t>
  </si>
  <si>
    <t>N-vinyl-2-pyrrolidone</t>
  </si>
  <si>
    <t>CML 2016</t>
  </si>
  <si>
    <t>Lab-scale &amp; Simulation</t>
  </si>
  <si>
    <t>In this work, we proposed and analyzed processes for the bio-based production of N-vinyl-2-pyrrolidone. Currently practiced fossil alternatives served as benchmark. The analysis is based on laboratory data, scientific and patent literature. Where necessary, life cycle inventories of process steps were derived from Aspen® flowsheet simulations. Finally, process scenarios were evaluated in terms of environmental impacts, such as global warming impact, and operational costs. Within these metrics, the succinic acid conversion scenario could reduce the impact/cost of NVP by up to 53% and 15%, respectively. Notably, the best current laboratory technology (Bio-Pt-Ex) still delivers substantial GWI reductions of 40% and reaches parity for operational cost.</t>
  </si>
  <si>
    <t>Patent</t>
  </si>
  <si>
    <t>Thaiand</t>
  </si>
  <si>
    <t>This study evaluates a new pathway for the synthesis of the established monomer N-vinyl-2-pyrrolidone (NVP) from succinic acid</t>
  </si>
  <si>
    <t>The research presented here aims to carry out the early-stage environmental assessment of a novel nano material cellulose nanocrystals (CNC) foam by applying ex-ante life cycle assessment (LCA) supplemented by an environmental, health and safety (EHS) screening along the R&amp;D trajectory from laboratory synthesis, conceptual design, bench-scale trial to the up-scaled process design.</t>
  </si>
  <si>
    <t>Quinteiro et al.</t>
  </si>
  <si>
    <t xml:space="preserve">This study compares the environmental impacts of rigid PUF produced using polyol derived from crude oil and unrefined CG derived from bio-based feedstocks, based on life cycle assessment following a cradle-to-grave approach. </t>
  </si>
  <si>
    <t>Waste cooking oil (WCO)</t>
  </si>
  <si>
    <t>PUF production</t>
  </si>
  <si>
    <t>PUF</t>
  </si>
  <si>
    <t>Ecoinvent v3.4</t>
  </si>
  <si>
    <t>Portugal</t>
  </si>
  <si>
    <t>2016-2021</t>
  </si>
  <si>
    <t xml:space="preserve">These results have also clearly demonstrated that, overall, the environmental superiority of bio-based feedstocks compared to their fossil feedstock counterpart to produce rigid PUFs cannot always be claimed. Regardless of the scenario considered, the methylene diphenyldiisocyanate (MDI) is the main hotspot for all impact categories other than marine eutrophication (ME), ranging from 50 to 98% of the total impacts. </t>
  </si>
  <si>
    <t>Yang et al.</t>
  </si>
  <si>
    <t>The techno-economic performance and CO2 equivalent (CO2eq) reduction potential of bio-based aromatic production cases with and without CO2 capture and storage (CCS) have been evaluated and compared to those of fossil-based aromatic production.</t>
  </si>
  <si>
    <t>Aromatics</t>
  </si>
  <si>
    <t>Catalytic Fast Pyrolysis</t>
  </si>
  <si>
    <t>Tail gas reactive pyrolysis</t>
  </si>
  <si>
    <t>Hydrothermal liquefaction</t>
  </si>
  <si>
    <t>Diels-Alder of furan/furfur combined with catalytic pyrolysis of lignin</t>
  </si>
  <si>
    <t>Ecoinvent v3.8</t>
  </si>
  <si>
    <t>Process simulation from other literature</t>
  </si>
  <si>
    <t>The results indicate that bio-based aromatics production, with their reasonable avoidance costs and low, or potentially negative, greenhouse gas (GHG) emissions, are an attractive option to compensate for the expected aromatic production shortages in the coming decades.</t>
  </si>
  <si>
    <t>Isobutene</t>
  </si>
  <si>
    <t>Fazeni-Fraisl &amp; Lindorfer</t>
  </si>
  <si>
    <t>The current work assesses the comparative environmental sustainability of bio-based IBN production routes based on first- and second-generation sugar compared with fossil IBN by applying the ISO 14044-based Life Cycle Assessment methodology</t>
  </si>
  <si>
    <t>Cereal straw</t>
  </si>
  <si>
    <t>GaBi 10.6 Professional database</t>
  </si>
  <si>
    <t>Basic process design</t>
  </si>
  <si>
    <t>2017 - 2021</t>
  </si>
  <si>
    <t>The savings in Global Warming Potential for first-generation IBN are up to 68% (scenario 1); for second-generation IBN, the savings reach 105% if an avoided burden approach for utilizing lignin as an energy source is applied (scenario 8). It is found that applying renewable process energy is a prerequisite to maximizing greenhouse gas savings.</t>
  </si>
  <si>
    <t>GaBi dataset</t>
  </si>
  <si>
    <t>Palm fatty acid distillate</t>
  </si>
  <si>
    <t>Ketonization</t>
  </si>
  <si>
    <t>Boekaerts et al</t>
  </si>
  <si>
    <t>Hereto, ketonization of vegetable oils and animal fats is a potential clean reaction route towards ketone bio-waxes. In the presence of a heterogeneous TiO2 catalyst, palm fatty acid distillate (PFAD) and other commercial feedstock are selectively coupled to bio-waxes in a solvent-less liquid phase ketonization process.</t>
  </si>
  <si>
    <t>Cultivation of biomass feedstock, catalyst production and the end-of-life phase are identified as the three major hotspots in the life cycle, while the gate-to-gate impact of the proposed ketonization process design itself is rather limited. Advice is formulated to considerably improve LCA of ketone bio-waxes, achieving sustainable waxy products with appreciably lower CO2 footprints than the fossil paraffin waxes.</t>
  </si>
  <si>
    <t>Müller-Carneiro et al</t>
  </si>
  <si>
    <t>The framework was applied to analyse a mango kernel starch (MKS) film and compare it with low-density polyethylene (LDPE).</t>
  </si>
  <si>
    <t>SCG/PBS COMPOSITE</t>
  </si>
  <si>
    <t>N-VINYL-2-PYRROLIDONE</t>
  </si>
  <si>
    <t>POLYURETHANE FOAM (PUF)</t>
  </si>
  <si>
    <t>AROMATICS</t>
  </si>
  <si>
    <t>ISOBUTENE</t>
  </si>
  <si>
    <t>KETONE WAX</t>
  </si>
  <si>
    <t>MANGO KERNEL STARCH FILM</t>
  </si>
  <si>
    <t>Mango seeds</t>
  </si>
  <si>
    <t>Solvent casting</t>
  </si>
  <si>
    <t>Lab/pilot-scale</t>
  </si>
  <si>
    <t>2018-2019</t>
  </si>
  <si>
    <t>Ecoinvent v.3.7.1</t>
  </si>
  <si>
    <t>Most impacts occur at starch and SNC extraction due to steam and acid consumption. Compared to LDPE, MKS performs better in non-renewable energy use but worse in climate change, freshwater eutrophication, and terrestrial acidification. Scenario analysis showed that yield enhancement and acid shifting could considerably reduce impacts.</t>
  </si>
  <si>
    <t>Gian, García-Velásquez &amp; van der Meer</t>
  </si>
  <si>
    <t>TEREPHTHALIC ACID</t>
  </si>
  <si>
    <t>The biochemical route involves the chemical and enzymatic conversion of biomass to sugars, while the thermochemical involves the thermal conversion to bio-oil. This study compares the environmental performance of both routes for terephthalic acid production using Miscanthus as feedstock. Miscanthus is a potential crop for biofuels and biochemicals due to its highly efficient use of water and resources (nitrogen, phosphorus). A life cycle assessment framework is used to quantify the environmental impact of both conversion routes using a cradle-to-gate approach.</t>
  </si>
  <si>
    <t>Miscanthus</t>
  </si>
  <si>
    <t>Diels-Alder cycloaddition</t>
  </si>
  <si>
    <t>2011-2016</t>
  </si>
  <si>
    <t>2012-2016</t>
  </si>
  <si>
    <t>PTA</t>
  </si>
  <si>
    <t>Ecoinvent v.3.7</t>
  </si>
  <si>
    <t>The thermochemical route showed better environmental performance (higher than 50%) in most selected impact categories than the biochemical route. Energy requirements and enzyme production were the main contributors to the performance of the thermochemical and biochemical routes, respectively.</t>
  </si>
  <si>
    <t>FFD2_BbP (fossil depletion in kg oil)</t>
  </si>
  <si>
    <t>METAL WORKING FLUIDS (MWF)</t>
  </si>
  <si>
    <t>Guiton et al</t>
  </si>
  <si>
    <t>This paper presents a comprehensive Life Cycle Assessment (LCA) of microalgae-based MWF, the first of its kind to our best knowledge.</t>
  </si>
  <si>
    <t>mineral oil-based MWF</t>
  </si>
  <si>
    <t>Microalgae</t>
  </si>
  <si>
    <t>Lyophilisation</t>
  </si>
  <si>
    <t>Environmental Footprint</t>
  </si>
  <si>
    <t>2005 - 2015</t>
  </si>
  <si>
    <t>MWF production</t>
  </si>
  <si>
    <t>Depending on algae species impacts from vegetable and mineral alternatives are 55–95% lower on Climate Change, 20–95% lower on Water use, and 85–95% lower on Fossil resource use. Electricity consumption during the cultivation and harvest stages, fertiliser and nutrient consumptions are the most significant contributors to environmental impacts.</t>
  </si>
  <si>
    <t>Gadkari et al</t>
  </si>
  <si>
    <t>This work evaluates the environmental performance of a proposed biorefinery concept for SA production by fermentation of waste bread using a cradle-to-factory gate life cycle assessment approach</t>
  </si>
  <si>
    <t>Bread waste</t>
  </si>
  <si>
    <t>GB</t>
  </si>
  <si>
    <t>2014-2016</t>
  </si>
  <si>
    <t>n this present study, the production of poly (butylene succinate) (PBS) from food waste was investigated and critical factors were evaluated</t>
  </si>
  <si>
    <t>Rajendran &amp; Han</t>
  </si>
  <si>
    <t>fossil-based PBS</t>
  </si>
  <si>
    <t>Waste bread fermentation demonstrated a better environmental profile compared to the fossil-based system, however, GHG emissions were about 50 higher as compared to processes using other biomass feedstocks such as corn wet mill or sorghum grains. NREU for fermentative SA production using waste bread was significantly lower ( 46) than fossil-based system and about the same as that of established biomass-based processes, thus proving the great potential of waste bread as a valuable feedstock for bioproduction of useful chemicals. The results show that steam and heating oil used in the process were the biggest contributors to the NREU and GHG emissions</t>
  </si>
  <si>
    <t>The results showed the GHG emission from the process was 5.19 kg CO2-eq/kg of PBS which is low than conventional PBS production</t>
  </si>
  <si>
    <t>García-Velásquez &amp; van der Meer</t>
  </si>
  <si>
    <t>This study proposes a biorefinery concept to produce food additives (pectin-derived oligosaccharides) and bulky chemicals (terephthalic acid).</t>
  </si>
  <si>
    <t>2007-2021</t>
  </si>
  <si>
    <t>Enzymatic saccharification</t>
  </si>
  <si>
    <t>The environmental impact of biobased terephthalic acid was higher in most impact categories than the fossil counterpart, depending on the selected allocation approach (mass vs economic). The economic feasibility of the proposed biorefinery is highly dependent on the pectin-derived oligosaccharides market price and the valorization of byproducts (humins and levulinic acid)</t>
  </si>
  <si>
    <t>Furanics conversion</t>
  </si>
  <si>
    <t>Kim et al</t>
  </si>
  <si>
    <t>A life-cycle GHG, water, and fossil-fuel consumption analysis is conducted for a potential bioplastic alternative for a fossil-based PET resin, or PEF on a kg-resin basis. PEF is assumed to be produced from a lignocellulosic feedstock (i.e., wheat straw) via furanics conversion reactions through three different pathways.</t>
  </si>
  <si>
    <t>Enzymatic hydrolysis and isomerization</t>
  </si>
  <si>
    <t xml:space="preserve">Yes, dLUC </t>
  </si>
  <si>
    <t>GREET 2021 model</t>
  </si>
  <si>
    <t>The results showed that all three PEF routes achieved significant GHG reduction relative to its fossil-based counterpart (i.e., PET): 134, 139, and 163% reduction for routes 1, 2, and 3, respectively. While fossil-fuel consumptions for all three pathways were also significantly reduced (i.e., 79, 57, and 53% reduction for routes 1, 2, and 3), water consumptions for routes 1 and 2 were increased by 168 and 79%, respectively, while route 3 only achieved reduction (by 77%) relative to fossil-PET.</t>
  </si>
  <si>
    <t>Methane Arrested Anaerobic Digestion</t>
  </si>
  <si>
    <t>2020-2021</t>
  </si>
  <si>
    <t>In this work, we investigated the life-cycle greenhouse gas emissions, water, and fossil-fuel consumption for waste-derived polylactic acids (PLA) from three different waste feedstocks, namely wastewater sludge, food waste, and swine manure, using the Greenhouse Gases, Regulated Emissions, and Energy Use in Technologies (GREET) model.</t>
  </si>
  <si>
    <t>Saavedra del Oso et al</t>
  </si>
  <si>
    <t>Organic fraction of the municipal solid waste</t>
  </si>
  <si>
    <t>Scale-up method, Literature</t>
  </si>
  <si>
    <t>2018-2022</t>
  </si>
  <si>
    <t>This work elucidates for the first time how waste-to-PHA biorefineries could develop in the future by combining prospective LCA with scenario methodology and where the attention of stakeholders should be focused. Four future scenarios were derived considering both surrounding (e.g., scale, environmental or bioeconomy policies) and technological parameters (e.g., acidification yield, PHA content in biomass or recovery yield).</t>
  </si>
  <si>
    <t>Those scenarios derived under ambitious environmental and bioeconomy policies shop up to 50% lower environmental impacts than those under business-as-usual policies. These differences are caused by the different background processes’ environmental burdens (e.g., electricity mix with low renewable energies share) and the higher consumption of chemicals and utilities.</t>
  </si>
  <si>
    <t>The results show that swine manure-to-PLA pathway was the least carbon intensive (−1.4 kgCO2e/kg) among the three waste-to-PLA pathways on a cradle-to-grave basis, followed by the food waste case (−1.3 kgCO2e/kg) and then by the wastewater sludge case (0.6 kgCO2e/kg). In the baseline scenario, all three waste-to-PLA pathways were less carbon intensive than both fossil-based PET and HDPE on a cradle-to-grave basis: 66% (vs. PET) and 56% (vs. HDPE), 171 and 192%, 181 and 205% reduction in GHG emissions for wastewater sludge-, food waste-, and swine manure-to-PLA pathway, respectively.</t>
  </si>
  <si>
    <t>Ecoinvent 3.8</t>
  </si>
  <si>
    <t>Ayala, Thomsen &amp; Pizzol</t>
  </si>
  <si>
    <t>ALGINATE-BASED PLASTIC</t>
  </si>
  <si>
    <t>2020-2022</t>
  </si>
  <si>
    <t>Brown seaweed Saccharina Latissima</t>
  </si>
  <si>
    <t>Seaweed biorefinery</t>
  </si>
  <si>
    <t>Mechanical/Chemical Conversion</t>
  </si>
  <si>
    <t>The results show the main hotspot at the pilot scale is the last step in the production, film fabrication, mainly due to the glycerol in this process. The results also vary significantly depending on the end-of-life of the bioplastic, composting reduces the impacts by 30 % compared to incineration.</t>
  </si>
  <si>
    <t>In this research, we assess the environmental impacts of the production of a bioplastic film at an experimental pilot scale using Life Cycle Assessment (LCA).</t>
  </si>
  <si>
    <t>Waste stream</t>
  </si>
  <si>
    <t>MYCOBAMBOO</t>
  </si>
  <si>
    <t>Carcassi et al</t>
  </si>
  <si>
    <t xml:space="preserve">This research explores the carbon removal of a novel bio-insulation composite, here called MycoBamboo, based on the combination of bamboo particles and mycelium as binder. </t>
  </si>
  <si>
    <t>EPS (polystyrene)</t>
  </si>
  <si>
    <t>Bamboo</t>
  </si>
  <si>
    <t>Mixing and inoculation</t>
  </si>
  <si>
    <t>The results demonstrate that despite the negative GWP values of the biogenic CO2, the final Net-GWP was positive. The technical replacement scenarios had an influence on the final Net-GWP values, and a longer storage period is preferred to more frequent insulation substitution.</t>
  </si>
  <si>
    <t>Alvarenga et al</t>
  </si>
  <si>
    <t>The objective of this review was to perform a cradle-to-gate attributional life cycle assessment (LCA) of bioethanol-based PVC resin. </t>
  </si>
  <si>
    <t>BIOETHANOL-BASED PVC</t>
  </si>
  <si>
    <t>2008-2010</t>
  </si>
  <si>
    <t>PVC resin production</t>
  </si>
  <si>
    <t xml:space="preserve">PVC </t>
  </si>
  <si>
    <t>Based on large scale plant data for bio-ethanol (Solvay Indupa), pvc process remains the same (large scale PVC resin production)</t>
  </si>
  <si>
    <t>At midpoint level, bioethanol-based PVC from 2010 and 2018 presented better results than fossil-based PVC for non-renewable resource use (13.8, 13.4, and 44.8 MJex/kg of PVC resin, respectively) and climate change (−0.09, –0.19, and 1.52 kg CO2eq/kg of PVC resin, respectively), but worse results for other environmental impact categories (e.g. ecotoxicity). At endpoint level, the two bioethanol-based PVC scenarios showed better results overall than fossil-based PVC (up to 66% lower). </t>
  </si>
  <si>
    <t xml:space="preserve">Not needed, i.e. process based on industrial data that would be close to the process. The Biofine process is already commercial, but the intregrated biorefinery process using crops from marginal land is new: Average industrial operational inputs from a local chemical industry, Le Calorie Srl (Caserta, Italy), according to Hayes et al. (2005) and Authors’ personal survey. </t>
  </si>
  <si>
    <t>Based on operating demonstration plant data (The is study is performed with the most recent process and design data for bio-based succinic acid production from Reverdia’s operating demonstration plant)</t>
  </si>
  <si>
    <t>CAPROIC ACID</t>
  </si>
  <si>
    <t>no upscaling</t>
  </si>
  <si>
    <t>Not needed, advanced stage (close to commercial), based on literature data</t>
  </si>
  <si>
    <t>Process desing, from literature</t>
  </si>
  <si>
    <t>Linear scaling, the primary experimental data gained in the BioPoliS Project at the laboratory scale were scaled up to an industrial level, based on the preliminary evidence that titer, yield and productivity are conserved up to the pilot scale (150 L)</t>
  </si>
  <si>
    <t xml:space="preserve">Linear scaling, Biofine is based on industrial data, core process to 2-MeTHF is based on lab data (not upscaled, linear scaling from 0.63 kg to 1 kg output). </t>
  </si>
  <si>
    <t>Based on industrial reports</t>
  </si>
  <si>
    <t>Based on industrial reports, e.g. assuming industrial efficiencies</t>
  </si>
  <si>
    <t>Unclear, data from french report [Life cycle inventory for flax fibres was performed with data from the “Institut Technique du Lin” (ITL)]</t>
  </si>
  <si>
    <t>Based on Supersap (industrial) data, combined with a natural fibre</t>
  </si>
  <si>
    <t>Upscaled data from literature &amp; communication (the PHA fermentation process (including fermentation and recovery) and specified various technologies as current and near future technologies (van Walsem 2003). The near future technology is an improved process that is achievable over a 2–3 year time horizon, extrapolating from current laboratory results --&gt; they do not state how, reference is to 'personal communication')</t>
  </si>
  <si>
    <t>Data from literature that used BIOPOL flowsheet</t>
  </si>
  <si>
    <t>Not given, worked with company specialized in upscaling</t>
  </si>
  <si>
    <t>Engineering tools</t>
  </si>
  <si>
    <t>Proof of concenpt, but based on industrial data/databases</t>
  </si>
  <si>
    <t>Relatively unclear, based on lab-data and expatrolated by linear scaling (as far as I understand the paper)</t>
  </si>
  <si>
    <t>Data from literature</t>
  </si>
  <si>
    <t>Data from literature that used ASPEN</t>
  </si>
  <si>
    <t>Unclear about upscaling their own lab-data, other relevant data from literature and communications with a company</t>
  </si>
  <si>
    <t>Linear scaling (based on mass, density and volume  to upscale from lab-scale to functional unit)</t>
  </si>
  <si>
    <t>no upscaling, pilot-scale data</t>
  </si>
  <si>
    <t>no needed, based on site-specific data from Neste</t>
  </si>
  <si>
    <t>No further upscaling applied, based on own 50L pilot</t>
  </si>
  <si>
    <t>Linear scaling to 1 kg of material, based on lab-data</t>
  </si>
  <si>
    <t>Based on data from commercial (1st generation) process</t>
  </si>
  <si>
    <t>Based on comparable industrial injection molding processes</t>
  </si>
  <si>
    <t>Close to commercial-scale</t>
  </si>
  <si>
    <t xml:space="preserve">Based on data from institute ('The inventory was established with the help ofFPInnovations, a Canadian private, nonprofit forest research institute') </t>
  </si>
  <si>
    <t>Partly based on industrial data, lab data for alkali treatment extrapolated</t>
  </si>
  <si>
    <t xml:space="preserve">Data from literature </t>
  </si>
  <si>
    <t>Based on process data of the Texchem Polymer factory</t>
  </si>
  <si>
    <t>Unclear</t>
  </si>
  <si>
    <t>Based on (large-scale/industrial) data from literature and patents</t>
  </si>
  <si>
    <t>CSFMB software</t>
  </si>
  <si>
    <t xml:space="preserve">Adapted based on Biofine process </t>
  </si>
  <si>
    <t>Based on data from literature</t>
  </si>
  <si>
    <t>Production-scale</t>
  </si>
  <si>
    <t>Based on design from Myriant Corporation</t>
  </si>
  <si>
    <t>Adapted from industrial process (Process Economics and Research Planning (PERP) report)</t>
  </si>
  <si>
    <t>Based on stoichiometry, data from patents and adapted from industrial process</t>
  </si>
  <si>
    <t>Bioreaction validation algorithm; and, calculation of mass and energy balances by simulation using input-output models</t>
  </si>
  <si>
    <t>Site specific data</t>
  </si>
  <si>
    <t>Based on data based on engineering calculations</t>
  </si>
  <si>
    <t>Scaled (linearly?): "data was based on lab- and pilot-plant test runs and was assumed to be scalable to larger operations", data from Itaconix and partners</t>
  </si>
  <si>
    <t>Adapted from benchmark processes, stoichiometry and data from literature and patents</t>
  </si>
  <si>
    <t>Based on other LCA data (for PLA), that was partly based on plant data, other data from actual sites in Thailand</t>
  </si>
  <si>
    <t>Based on data from literature, incl. theoretical large-scale production, simulation, communications with professionals</t>
  </si>
  <si>
    <t>Based on Polyol Pilot Plant</t>
  </si>
  <si>
    <t>Adapted from data of pilot plant scale and secondary data obtained by means of a stoichiometric model of the chemical processes involved</t>
  </si>
  <si>
    <t>Based on simulation and extrapolated (scaling) lab-data</t>
  </si>
  <si>
    <t>Data from literature and communication with experts and industry</t>
  </si>
  <si>
    <t>Based on data from literature (pilot/large-scale), and upscaling by extrapolation or stoichiometric, higher assumed yields</t>
  </si>
  <si>
    <t>Benchmark processes</t>
  </si>
  <si>
    <t>Extrapolation of lab and literature data</t>
  </si>
  <si>
    <t>ASPEN</t>
  </si>
  <si>
    <t xml:space="preserve">own simulation model </t>
  </si>
  <si>
    <t>own scaling method (very detailed)</t>
  </si>
  <si>
    <t>in weight (kg)</t>
  </si>
  <si>
    <t>in volume (m3)</t>
  </si>
  <si>
    <t>in area (m2)</t>
  </si>
  <si>
    <t>low_value</t>
  </si>
  <si>
    <t>upper_value</t>
  </si>
  <si>
    <t>heat_recovery</t>
  </si>
  <si>
    <t>solvent_reuse</t>
  </si>
  <si>
    <t>bio-based plastics</t>
  </si>
  <si>
    <t>traditional plastics</t>
  </si>
  <si>
    <t>susbtitution factor</t>
  </si>
  <si>
    <t>reference</t>
  </si>
  <si>
    <t>note</t>
  </si>
  <si>
    <t>PBAT</t>
  </si>
  <si>
    <t>PE: 14μm (better collection and recycling), PBAT: 10μm (soil biodegradation)</t>
  </si>
  <si>
    <t>https://doi.org/10.1016/j.rser.2023.113239</t>
  </si>
  <si>
    <t>https://pubs.rsc.org/en/content/articlehtml/2020/gc/c9gc02992c</t>
  </si>
  <si>
    <t>45%PLA+55%PBAT</t>
  </si>
  <si>
    <t>The mulch film was synthesised from bio-based polylactic acid (PLA) (45%) and a co-polymer (55%) with UV-stabilisers and carbon black which is 0.015 mm thick (to enable biodegradation) with a density of 0.8 kg L−1. The baseline competitor, LLDPE mulch film, was synthesised from fossil-derived LLDPE, containing the same additives with an average thickness of 0.025 mm (to enable removal after use) and a density of 0.925 kg L. Functional unit (1 ha of mulched agricultural land). Mass of the PLA based mulch film: 152 kg functional per unit; mass of the LLDPE film = 185 kg functional per unit.U</t>
  </si>
  <si>
    <t>70%PBAT+30%corn starch</t>
  </si>
  <si>
    <t>https://doi.org/10.1007/s11367-023-02253-y</t>
  </si>
  <si>
    <t>PE: 20μm PBAT: 15μm, blend with starch</t>
  </si>
  <si>
    <t>https://doi.org/10.1016/j.wasman.2023.12.049</t>
  </si>
  <si>
    <t>both 480kg/ha</t>
  </si>
  <si>
    <t>150kg vs 109 kg</t>
  </si>
  <si>
    <t>https://doi.org/10.1039/C4GC00830H</t>
  </si>
  <si>
    <t>The chosen functional unit of 1 kg of product can be questioned in view of the different properties of the polymers, typically leading to some differences in the quantities of materials needed to make functionally equivalent products. At the time of writing, there were no prototypes of 2G PBS trays or films that had been fully tested against the incumbents mentioned in this paper. We therefore choose one mass unit (1 kg) as a functional unit.</t>
  </si>
  <si>
    <t>https://doi.org/10.1002/bbb.1849</t>
  </si>
  <si>
    <t>20% potential material saving due to improved mechanical and barrier properties</t>
  </si>
  <si>
    <t>JRC technical report: Life Cycle Assessment (LCA) of
alternative feedstocks for plastics
production</t>
  </si>
  <si>
    <t>23.5kg PET, 22.8kg PLA</t>
  </si>
  <si>
    <t>https://doi.org/10.3390/ma14164552</t>
  </si>
  <si>
    <t>https://doi.org/10.1016/j.envres.2021.110974</t>
  </si>
  <si>
    <t>https://doi.org/10.1002/ep.10490</t>
  </si>
  <si>
    <t>https://doi.org/10.1016/j.jclepro.2013.09.030</t>
  </si>
  <si>
    <t>application</t>
  </si>
  <si>
    <t>packaging_soft_drink_containers</t>
  </si>
  <si>
    <t>packaging_milk_containers</t>
  </si>
  <si>
    <t>https://doi.org/10.1002/pts.2615</t>
  </si>
  <si>
    <t>https://doi.org/10.1007/s11356-021-17094-1</t>
  </si>
  <si>
    <t>PE: 24μm</t>
  </si>
  <si>
    <t>packaging_single_use_grocery_bags</t>
  </si>
  <si>
    <t>PBS+PBAT</t>
  </si>
  <si>
    <t>PBAT+starch</t>
  </si>
  <si>
    <t>https://doi.org/10.1007/s11367-022-02085-2</t>
  </si>
  <si>
    <t>https://doi.org/10.1007/s11367-010-0162-9</t>
  </si>
  <si>
    <t>bio-bag has lower carrying capacity</t>
  </si>
  <si>
    <t>https://doi.org/10.1016/j.jclepro.2017.05.006</t>
  </si>
  <si>
    <t>50%PBAT+50%starch</t>
  </si>
  <si>
    <t>PS</t>
  </si>
  <si>
    <t>disposable cups</t>
  </si>
  <si>
    <t>https://doi.org/10.1007/s11367-015-0914-7</t>
  </si>
  <si>
    <t>GPPS</t>
  </si>
  <si>
    <t>dinner plate</t>
  </si>
  <si>
    <t>tableware envelope</t>
  </si>
  <si>
    <t>https://doi.org/10.1016/j.wasman.2017.11.036</t>
  </si>
  <si>
    <t>food box</t>
  </si>
  <si>
    <t>https://doi.org/10.1016/j.jclepro.2016.03.029</t>
  </si>
  <si>
    <t>extruded ps foam</t>
  </si>
  <si>
    <t>meat trays</t>
  </si>
  <si>
    <t>https://doi.org/10.3390/su11195324</t>
  </si>
  <si>
    <t>https://doi.org/10.1016/j.resconrec.2021.105508</t>
  </si>
  <si>
    <t>The most common replacement of conventional plastics occurs in packaging, consumer goods, and textiles</t>
  </si>
  <si>
    <t>https://tsapps.nist.gov/publication/get_pdf.cfm?pub_id=934358</t>
  </si>
  <si>
    <t>packaging</t>
  </si>
  <si>
    <t>bottle</t>
  </si>
  <si>
    <t>UNEP review</t>
  </si>
  <si>
    <t>take-away food containers</t>
  </si>
  <si>
    <t>agriculture</t>
  </si>
  <si>
    <t>agriculture_mulch_film</t>
  </si>
  <si>
    <t>mulch film</t>
  </si>
  <si>
    <t>greenhouse</t>
  </si>
  <si>
    <t>tunnels</t>
  </si>
  <si>
    <t>plastic nets</t>
  </si>
  <si>
    <t>building and construction</t>
  </si>
  <si>
    <t>fiber reinforced plastics</t>
  </si>
  <si>
    <t>automotive</t>
  </si>
  <si>
    <t>consumer goods</t>
  </si>
  <si>
    <t>electronics</t>
  </si>
  <si>
    <t>70.4%PLA+17.6%PBS</t>
  </si>
  <si>
    <t>disposable plates</t>
  </si>
  <si>
    <t>25%PLA+45%PBS</t>
  </si>
  <si>
    <t>56%PLA+14%PBS</t>
  </si>
  <si>
    <t>disposable cutlery</t>
  </si>
  <si>
    <t>HIPS</t>
  </si>
  <si>
    <t>https://doi.org/10.1016/j.clet.2022.100419</t>
  </si>
  <si>
    <t>clamshells containers</t>
  </si>
  <si>
    <t>oriented polystyrene</t>
  </si>
  <si>
    <t>single-use food trays for fruit and vegetables</t>
  </si>
  <si>
    <t>https://www.lifecycleinitiative.org/wp-content/uploads/2020/10/Take-Away-food-containers_REPORT_LR.pdf</t>
  </si>
  <si>
    <t>UNEP meta analysis</t>
  </si>
  <si>
    <t>Open-Bio, 2018</t>
  </si>
  <si>
    <t>Aeschelmann and Carus, 2017; Bilck et al., 2010</t>
  </si>
  <si>
    <t>Aeschelmann and Carus, 2017;Succinity, 2013</t>
  </si>
  <si>
    <t>sector</t>
  </si>
  <si>
    <t>tree shelters</t>
  </si>
  <si>
    <t>Arnold and Alston, 2012</t>
  </si>
  <si>
    <t>pots</t>
  </si>
  <si>
    <t>Molenveld et al., 2015</t>
  </si>
  <si>
    <t>interior panels</t>
  </si>
  <si>
    <t>Vidal et al., 2018</t>
  </si>
  <si>
    <t>Aeschelmann and Carus, 2017; Succinity, 2013</t>
  </si>
  <si>
    <t>other automotive components</t>
  </si>
  <si>
    <t>Aeschelmann and Carus, 2017</t>
  </si>
  <si>
    <t>insulation material</t>
  </si>
  <si>
    <t>particleboards</t>
  </si>
  <si>
    <t>Ganne-Chdeville and Diederichs,
2015</t>
  </si>
  <si>
    <t>coffee capsules</t>
  </si>
  <si>
    <t>tableware</t>
  </si>
  <si>
    <t>cups</t>
  </si>
  <si>
    <t>Aeschelmann and Carus, 2017; MC PP, 2016</t>
  </si>
  <si>
    <t>foam</t>
  </si>
  <si>
    <t>injection moulding</t>
  </si>
  <si>
    <t>film</t>
  </si>
  <si>
    <t>sanitary towels</t>
  </si>
  <si>
    <t>Aeschelmann and Carus, 2017; NatureWorks, 2018; Polybioskin, 2018; Hakala et al., 1997; Vink and Davies, 2015</t>
  </si>
  <si>
    <t>Polybioskin, 2018</t>
  </si>
  <si>
    <t>BioMotive, 2018</t>
  </si>
  <si>
    <t>wipes</t>
  </si>
  <si>
    <t>Aeschelmann and Carus, 2017; Butschli, 2008; Total-Corbion, 2018; NatureWorks, 2018; Polybioskin, 2018; Vink and Davies, 2015</t>
  </si>
  <si>
    <t>Embraced, 2018</t>
  </si>
  <si>
    <t>electrodomestic parts</t>
  </si>
  <si>
    <t>electrics and electronics</t>
  </si>
  <si>
    <t>laptop covers</t>
  </si>
  <si>
    <t>printed wiring boards</t>
  </si>
  <si>
    <t>Spekreijse et al., 2018, Bio-on, 2018</t>
  </si>
  <si>
    <t>Meyer and Katz, 2016; Valpack Consulting Consortium, 2010</t>
  </si>
  <si>
    <t>Broeren et al., 2016</t>
  </si>
  <si>
    <t>PHA/PLA</t>
  </si>
  <si>
    <t>rigid packaging for food</t>
  </si>
  <si>
    <t>flexible packaging</t>
  </si>
  <si>
    <t>rigid packaging</t>
  </si>
  <si>
    <t>barrier film for food</t>
  </si>
  <si>
    <t>BioBarr, 2018</t>
  </si>
  <si>
    <t>carrier bags</t>
  </si>
  <si>
    <t>Molenveld et al., 2015; Mattila et al., 2011; Gironi and Piemonte, 2010; BASF, 2014; Mueller and Mueller, 2017; C haffee and Yaros, 2007</t>
  </si>
  <si>
    <t>Khoo et al., 2010a, 2010b</t>
  </si>
  <si>
    <t>barrier and covering film for food</t>
  </si>
  <si>
    <t>Molenveld et al., 2015; BioMotive, 2018; Open-Bio, 2018; Hermann et al., 2010; Benetto et al., 2015; Petrucci et al., 2017; Vidal et al., 2007; Deng et al., 2013; Rossi et al., 2015; Piemonte, 2011; Valpack Consulting Consortium, 2010</t>
  </si>
  <si>
    <t>food packaging</t>
  </si>
  <si>
    <t>cellulose</t>
  </si>
  <si>
    <t>Spekreijse et al., 2018; Bio-on, 2018; RefuCoat, 2018</t>
  </si>
  <si>
    <t>garbage bag</t>
  </si>
  <si>
    <t>BASF, 2014</t>
  </si>
  <si>
    <t>Valpack Consulting Consortium, 201</t>
  </si>
  <si>
    <t>PBAT/Starch</t>
  </si>
  <si>
    <t>Valpack Consulting Consortium, 2010; Estermann, 1998; Estermann and Schwarzwälder, 1998</t>
  </si>
  <si>
    <t>beverage bottles</t>
  </si>
  <si>
    <t>Molenveld et al., 2015; Gironi and Piemonte, 2010, 2011a, 2011b; Meyer and Katz, 2016; Papong et al., 2014; Shen et al., 2012</t>
  </si>
  <si>
    <t>Spekreijse et al., 2018; Bio-on, 2018</t>
  </si>
  <si>
    <t>Molenveld et al., 2015; BioSpri, 2018</t>
  </si>
  <si>
    <t>beverage bottles, non-perishable</t>
  </si>
  <si>
    <t>beverage bottles, fresh</t>
  </si>
  <si>
    <t>caps for personal care bottles</t>
  </si>
  <si>
    <t>containers for solid non-perishable food</t>
  </si>
  <si>
    <t>containers for solid fresh food</t>
  </si>
  <si>
    <t>containers for take away</t>
  </si>
  <si>
    <t>Molenveld et al., 2015; Spekreijse et al., 2018; Synbra, 2018; Leejarkpai et al., 2016; Lorite et al., 2017; Madival et al., 2009; Bohlmann, 2004; Suwanmanee et al., 2013; C heroennet et al., 2018; Kuczenski et al., 2012; Detzel et al., 2013</t>
  </si>
  <si>
    <t>containers for food</t>
  </si>
  <si>
    <t>Cheroennet et al., 2018</t>
  </si>
  <si>
    <t>containers for non-food</t>
  </si>
  <si>
    <t>cups for liquid non-perishable fod</t>
  </si>
  <si>
    <t>Molenveld et al., 2015; BioSpri, 2018; Potting and Van der Harst, 2015; Uihlein et al., 2008; Van der Harst and Potting, 2013; Van der Harst et al., 2014; Vercalsteren et al., 2010; Binder and Woods, 2009; Pladerer et al., 2008; Pro.Mo/Unionplast, 2015; Vink and Davies, 2015</t>
  </si>
  <si>
    <t>loose fill chips. BioFoam</t>
  </si>
  <si>
    <t>Spekreijse et al., 2018; Synbra, 2018</t>
  </si>
  <si>
    <t>loose fill chips. foam for packaging electric and electronic appliances</t>
  </si>
  <si>
    <t>?</t>
  </si>
  <si>
    <t>straws</t>
  </si>
  <si>
    <t>Boonniteewanich et al., 2014</t>
  </si>
  <si>
    <t>Molenveld et al., 2015; BioSpri, 2018; Fieschi and Pretato, 2017; Pro.Mo/Unionplast, 2015; Vink and Davies, 2015</t>
  </si>
  <si>
    <t>BioSpri, 2018</t>
  </si>
  <si>
    <t>CA</t>
  </si>
  <si>
    <t>trays for fresh soild food</t>
  </si>
  <si>
    <t>foamy expanded trays</t>
  </si>
  <si>
    <t>Molenveld et al., 2015; Ingrao et al., 2017</t>
  </si>
  <si>
    <t>PBSC</t>
  </si>
  <si>
    <t>Yuki, 2012</t>
  </si>
  <si>
    <t>trays for food</t>
  </si>
  <si>
    <t>trays for frozen food</t>
  </si>
  <si>
    <t>textiles</t>
  </si>
  <si>
    <t>a policy options</t>
  </si>
  <si>
    <t>b1 market size</t>
  </si>
  <si>
    <t>b3 market trend</t>
  </si>
  <si>
    <t>c promise for deployment</t>
  </si>
  <si>
    <t>d1 quality of available LCA studies</t>
  </si>
  <si>
    <t>d2 LCA scenario number</t>
  </si>
  <si>
    <t>f2 durability</t>
  </si>
  <si>
    <t>f3 recyclability</t>
  </si>
  <si>
    <t>f4 biodegrability</t>
  </si>
  <si>
    <t>g1 single vs multiple</t>
  </si>
  <si>
    <t>g2 rigid vs flexible</t>
  </si>
  <si>
    <t>short</t>
  </si>
  <si>
    <t>textile fibres</t>
  </si>
  <si>
    <t>long</t>
  </si>
  <si>
    <t>automotive and transport</t>
  </si>
  <si>
    <t>PUR</t>
  </si>
  <si>
    <t>EPS</t>
  </si>
  <si>
    <t>very long</t>
  </si>
  <si>
    <t>ABS</t>
  </si>
  <si>
    <t>printers housing panels</t>
  </si>
  <si>
    <t>electrics &amp; electronics</t>
  </si>
  <si>
    <t>loose fill chips</t>
  </si>
  <si>
    <t>other agricultural products</t>
  </si>
  <si>
    <t>foam for consumer goods</t>
  </si>
  <si>
    <t>injection moulding products</t>
  </si>
  <si>
    <t>caps for non-beverage bottles</t>
  </si>
  <si>
    <t>electro-domestic parts</t>
  </si>
  <si>
    <t>garbage bags</t>
  </si>
  <si>
    <t>PBAT/starch</t>
  </si>
  <si>
    <t>Column1</t>
  </si>
  <si>
    <t>LCA data?</t>
  </si>
  <si>
    <t>Deng et al. (2013)</t>
  </si>
  <si>
    <t>van der Harst et al.</t>
  </si>
  <si>
    <t>Comparison of clam shells made from corn-based PLA, PET, PP and oriented PS in Germany</t>
  </si>
  <si>
    <t>Müller and Müller 2015, 2017</t>
  </si>
  <si>
    <t>shrink film</t>
  </si>
  <si>
    <t>https://edepot.wur.nl/343774</t>
  </si>
  <si>
    <t>Column2</t>
  </si>
  <si>
    <t>single-use cutlery</t>
  </si>
  <si>
    <t>single-use cups for cold drinks</t>
  </si>
  <si>
    <t>food packaging film</t>
  </si>
  <si>
    <t>doi:10.2777/251887</t>
  </si>
  <si>
    <t>nonwoven</t>
  </si>
  <si>
    <t>fibres</t>
  </si>
  <si>
    <t>https://www.natureworksllc.com/~/media/Files/NatureWorks/What-is-Ingeo/Why-it-Matters/LCA/PEA_Cup_Lid_LCA_FullReport_ReviewStatement_121209_pdf.pdf?la=en</t>
  </si>
  <si>
    <t>yogurt cup</t>
  </si>
  <si>
    <t>https://doi.org/10.1002/ep.10053</t>
  </si>
  <si>
    <t>straw</t>
  </si>
  <si>
    <t>65%PBS+35%PLA</t>
  </si>
  <si>
    <t>70%PBS+30%PLA</t>
  </si>
  <si>
    <t>https://doi.org/10.1016/j.egypro.2014.07.187</t>
  </si>
  <si>
    <t>non-fire-retardant printer panel, injection moulded</t>
  </si>
  <si>
    <t>https://doi.org/10.1016/j.jclepro.2016.05.159</t>
  </si>
  <si>
    <t>https://doi.org/10.1016/j.jclepro.2016.11.152</t>
  </si>
  <si>
    <t>https://doi.org/10.1002/bbb.1406</t>
  </si>
  <si>
    <t>https://doi.org/10.1155/2015/383279</t>
  </si>
  <si>
    <t>water bottle</t>
  </si>
  <si>
    <t>https://publications.vtt.fi/pdf/tiedotteet/1997/T1876.pdf</t>
  </si>
  <si>
    <t>diaper</t>
  </si>
  <si>
    <t>Life-cycle assessment,
comparison of biopolymer and traditional diaper systems. VTT Research Notes 1876.</t>
  </si>
  <si>
    <t>https://doi.org/10.1016/j.jclepro.2017.03.007</t>
  </si>
  <si>
    <t>container for fresh food</t>
  </si>
  <si>
    <t>https://doi.org/10.1016/j.lwt.2016.09.004</t>
  </si>
  <si>
    <t>https://doi.org/10.1016/j.jclepro.2009.03.015</t>
  </si>
  <si>
    <t>assume density</t>
  </si>
  <si>
    <t>https://doi.org/10.1016/j.jclepro.2015.05.143</t>
  </si>
  <si>
    <t>single-use cups for hot drinks</t>
  </si>
  <si>
    <t>https://doi.org/10.1016/j.jclepro.2007.06.009</t>
  </si>
  <si>
    <t>aircraft panel</t>
  </si>
  <si>
    <t>https://doi.org/10.1111/jiec.12544</t>
  </si>
  <si>
    <t>subsector</t>
  </si>
  <si>
    <t>injection moulding food packaging</t>
  </si>
  <si>
    <t>https://doi.org/10.1016/j.polymertesting.2005.02.008</t>
  </si>
  <si>
    <t>toys</t>
  </si>
  <si>
    <t>https://danimerscientific.com/our-commitment-to-sustainability/</t>
  </si>
  <si>
    <t>70%PLA+30%PBAT</t>
  </si>
  <si>
    <t>JRC draft report</t>
  </si>
  <si>
    <t>material indices, based on tensile strength and density</t>
  </si>
  <si>
    <t>based on density and oxygen transmission rate</t>
  </si>
  <si>
    <t>based on density</t>
  </si>
  <si>
    <t>https://www.jseejournal.com/media/93/attachment/Environment%20impacts%20assessment%20pp.%209-17.pdf</t>
  </si>
  <si>
    <t>nonwoven carrier bag</t>
  </si>
  <si>
    <t>kg/m3</t>
  </si>
  <si>
    <t>https://doi.org/10.1179/2055035915Y.0000000002</t>
  </si>
  <si>
    <t>https://plasticseurope.org/plastics-explained/a-large-family/polyolefins/</t>
  </si>
  <si>
    <t>https://www.bpf.co.uk/plastipedia/polymers/GPPS.aspx</t>
  </si>
  <si>
    <t>https://www.bpf.co.uk/plastipedia/polymers/HIPS.aspx</t>
  </si>
  <si>
    <t>https://www.bpf.co.uk/plastipedia/polymers/ABS_and_Other_Specialist_Styrenics.aspx</t>
  </si>
  <si>
    <t>https://doi.org/10.3390%2Fpolym14040844</t>
  </si>
  <si>
    <t>https://doi.org/10.1177/0021998317713589</t>
  </si>
  <si>
    <t>https://doi.org/10.1088/2053-1591/ac55c7</t>
  </si>
  <si>
    <t>PLA_foam</t>
  </si>
  <si>
    <t>https://doi.org/10.1063/1.4965522</t>
  </si>
  <si>
    <t>https://www.bpf.co.uk/plastipedia/polymers/expanded-and-extruded-polystyrene-eps-xps.aspx</t>
  </si>
  <si>
    <t>density ratio</t>
  </si>
  <si>
    <t>PUR_rigid_foam</t>
  </si>
  <si>
    <t>https://plastics-rubber.basf.com/emea/en/performance_polymers/locations/great-britain/insulation.html</t>
  </si>
  <si>
    <t>(blank)</t>
  </si>
  <si>
    <t>Average of susbtitution factor</t>
  </si>
  <si>
    <t>data type</t>
  </si>
  <si>
    <t>density proxy</t>
  </si>
  <si>
    <t>textile mechanical test</t>
  </si>
  <si>
    <t>non-food film</t>
  </si>
  <si>
    <t>PVC</t>
  </si>
  <si>
    <t>PA</t>
  </si>
  <si>
    <t>PC</t>
  </si>
  <si>
    <t>Agricultural films - mulch</t>
  </si>
  <si>
    <t>Other agricultural products</t>
  </si>
  <si>
    <t>Percent of sector (CH)</t>
  </si>
  <si>
    <t>-</t>
  </si>
  <si>
    <t>Thermal insulation</t>
  </si>
  <si>
    <t>Medical and hygiene items</t>
  </si>
  <si>
    <t>Other products</t>
  </si>
  <si>
    <t>Non-food film</t>
  </si>
  <si>
    <t>Beverage bottles</t>
  </si>
  <si>
    <t>Containers for food</t>
  </si>
  <si>
    <t>Containers for non-food</t>
  </si>
  <si>
    <t>Trays for food</t>
  </si>
  <si>
    <t>ICT equipment and CE</t>
  </si>
  <si>
    <t>Consumer non-food bags</t>
  </si>
  <si>
    <t>Consumer non-food films</t>
  </si>
  <si>
    <t>Consumer non-food PTTs</t>
  </si>
  <si>
    <t>Food other</t>
  </si>
  <si>
    <t>Food films, Non-consumer packaging C&amp;I - hospitality - films</t>
  </si>
  <si>
    <t>Food bottles, Non-consumer packaging C&amp;I - hospitality - bottles</t>
  </si>
  <si>
    <t>Food PTTs, Non-consumer packaging C&amp;I - hospitality - PTTs</t>
  </si>
  <si>
    <t>Food other, Non-consumer packaging C&amp;I - hospitality - other</t>
  </si>
  <si>
    <t>Non-consumer packaging C&amp;I - manufacturing - rigids</t>
  </si>
  <si>
    <t>bio-based_plastics</t>
  </si>
  <si>
    <t>traditional_plastics</t>
  </si>
  <si>
    <t>data_type</t>
  </si>
  <si>
    <t>Model</t>
  </si>
  <si>
    <t>Scenario</t>
  </si>
  <si>
    <t>Region</t>
  </si>
  <si>
    <t>Variable</t>
  </si>
  <si>
    <t>Unit</t>
  </si>
  <si>
    <t>2005</t>
  </si>
  <si>
    <t>2010</t>
  </si>
  <si>
    <t>2015</t>
  </si>
  <si>
    <t>2020</t>
  </si>
  <si>
    <t>2025</t>
  </si>
  <si>
    <t>2030</t>
  </si>
  <si>
    <t>2035</t>
  </si>
  <si>
    <t>2040</t>
  </si>
  <si>
    <t>2045</t>
  </si>
  <si>
    <t>2050</t>
  </si>
  <si>
    <t>IMAGE3.2/PLAIA</t>
  </si>
  <si>
    <t>SSP2</t>
  </si>
  <si>
    <t>BRA</t>
  </si>
  <si>
    <t>Plastics|Production|Sector|Buildings &amp; Construction</t>
  </si>
  <si>
    <t>Mt/yr</t>
  </si>
  <si>
    <t>CAN</t>
  </si>
  <si>
    <t>CEU</t>
  </si>
  <si>
    <t>CHN</t>
  </si>
  <si>
    <t>EAF</t>
  </si>
  <si>
    <t>INDIA</t>
  </si>
  <si>
    <t>INDO</t>
  </si>
  <si>
    <t>JAP</t>
  </si>
  <si>
    <t>KOR</t>
  </si>
  <si>
    <t>ME</t>
  </si>
  <si>
    <t>MEX</t>
  </si>
  <si>
    <t>NAF</t>
  </si>
  <si>
    <t>OCE</t>
  </si>
  <si>
    <t>RCAM</t>
  </si>
  <si>
    <t>RSAF</t>
  </si>
  <si>
    <t>RSAM</t>
  </si>
  <si>
    <t>RSAS</t>
  </si>
  <si>
    <t>RUS</t>
  </si>
  <si>
    <t>SAF</t>
  </si>
  <si>
    <t>SEAS</t>
  </si>
  <si>
    <t>STAN</t>
  </si>
  <si>
    <t>TUR</t>
  </si>
  <si>
    <t>UKR</t>
  </si>
  <si>
    <t>WAF</t>
  </si>
  <si>
    <t>WEU</t>
  </si>
  <si>
    <t>World</t>
  </si>
  <si>
    <t>Plastics|Production|Sector|Packaging</t>
  </si>
  <si>
    <t>Plastics|Production|Sector|Consumer Products</t>
  </si>
  <si>
    <t>Plastics|Production|Sector|Electrical &amp; Electronic (products)</t>
  </si>
  <si>
    <t>Plastics|Production|Sector|Industrial Machinery</t>
  </si>
  <si>
    <t>Plastics|Production|Sector|Other</t>
  </si>
  <si>
    <t>Plastics|Production|Sector|Textiles</t>
  </si>
  <si>
    <t>Plastics|Production|Sector|Transportation</t>
  </si>
  <si>
    <t>Sector</t>
  </si>
  <si>
    <t>Other</t>
  </si>
  <si>
    <t>Packaging</t>
  </si>
  <si>
    <t>Otther</t>
  </si>
  <si>
    <t>PS_sum</t>
  </si>
  <si>
    <t>https://www.science.org/doi/10.1126/sciadv.1700782</t>
  </si>
  <si>
    <t>total non-textiles</t>
  </si>
  <si>
    <t>total</t>
  </si>
  <si>
    <t>Building and Construction</t>
  </si>
  <si>
    <t>Automotive</t>
  </si>
  <si>
    <t>Electrical and Electronic Equipment</t>
  </si>
  <si>
    <t>Agriculture</t>
  </si>
  <si>
    <t>Household items, furniture, leisure and others</t>
  </si>
  <si>
    <t>Textiles</t>
  </si>
  <si>
    <t>Assign ps to gpps, hips and eps (ratio based on MK), assign polymers to textiles</t>
  </si>
  <si>
    <t>all</t>
  </si>
  <si>
    <t>Subsector</t>
  </si>
  <si>
    <t>Sum</t>
  </si>
  <si>
    <t>rest</t>
  </si>
  <si>
    <t>Share within sector</t>
  </si>
  <si>
    <t>Mulch film</t>
  </si>
  <si>
    <t>Interior panels</t>
  </si>
  <si>
    <t>Insulation material</t>
  </si>
  <si>
    <t>Food packaging film</t>
  </si>
  <si>
    <t>Rest</t>
  </si>
  <si>
    <t>Other consumer products</t>
  </si>
  <si>
    <t>PUR_rigid</t>
  </si>
  <si>
    <t>50%PBS+50%PBAT</t>
  </si>
  <si>
    <t>36%PLA+64%PBS</t>
  </si>
  <si>
    <t>80%PLA+20%PBS</t>
  </si>
  <si>
    <t>Rest_BC</t>
  </si>
  <si>
    <t>Rest_CP</t>
  </si>
  <si>
    <t>Rest_EE</t>
  </si>
  <si>
    <t>Rest_OT</t>
  </si>
  <si>
    <t>Rest_PK</t>
  </si>
  <si>
    <t>Rest_TR</t>
  </si>
  <si>
    <t>substitution_factor</t>
  </si>
  <si>
    <t>PUR_flexible</t>
  </si>
  <si>
    <t>include</t>
  </si>
  <si>
    <t>no</t>
  </si>
  <si>
    <t>Non-consumer packaging rigids</t>
  </si>
  <si>
    <t>Food_packaging_film</t>
  </si>
  <si>
    <t>Non_food_film</t>
  </si>
  <si>
    <t>Mulch_film</t>
  </si>
  <si>
    <t>Containers_food</t>
  </si>
  <si>
    <t>Containers_non-food</t>
  </si>
  <si>
    <t>Average of substitution_factor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</si>
</sst>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000"/>
    <numFmt numFmtId="165" formatCode="0.000"/>
    <numFmt numFmtId="166" formatCode="0.00000000"/>
    <numFmt numFmtId="167" formatCode="0.000000"/>
    <numFmt numFmtId="168" formatCode="0.0000000000"/>
    <numFmt numFmtId="169" formatCode="0.0000000"/>
    <numFmt numFmtId="170" formatCode="0.00000"/>
    <numFmt numFmtId="171" formatCode="0.000000000"/>
    <numFmt numFmtId="172" formatCode="0.000000000000"/>
    <numFmt numFmtId="173" formatCode="0.00000000000"/>
    <numFmt numFmtId="182" formatCode="0.0%"/>
    <numFmt numFmtId="207" formatCode="0.0"/>
  </numFmts>
  <fonts count="18" x14ac:knownFonts="1">
    <font>
      <sz val="11"/>
      <color theme="1"/>
      <name val="Calibri"/>
      <family val="2"/>
      <charset val="1"/>
      <scheme val="minor"/>
    </font>
    <font>
      <sz val="11"/>
      <color theme="1"/>
      <name val="Calibri"/>
      <family val="2"/>
      <scheme val="minor"/>
    </font>
    <font>
      <u/>
      <sz val="11"/>
      <color theme="10"/>
      <name val="Calibri"/>
      <family val="2"/>
      <charset val="1"/>
      <scheme val="minor"/>
    </font>
    <font>
      <sz val="10"/>
      <name val="Calibri"/>
      <family val="2"/>
      <scheme val="minor"/>
    </font>
    <font>
      <sz val="10"/>
      <color rgb="FF000000"/>
      <name val="Calibri"/>
      <family val="2"/>
      <scheme val="minor"/>
    </font>
    <font>
      <sz val="10"/>
      <color theme="1"/>
      <name val="Calibri"/>
      <family val="2"/>
      <scheme val="minor"/>
    </font>
    <font>
      <u/>
      <sz val="10"/>
      <color theme="10"/>
      <name val="Calibri"/>
      <family val="2"/>
      <scheme val="minor"/>
    </font>
    <font>
      <sz val="11"/>
      <color theme="1"/>
      <name val="Calibri"/>
      <family val="2"/>
      <charset val="1"/>
      <scheme val="minor"/>
    </font>
    <font>
      <sz val="10"/>
      <color theme="1"/>
      <name val="Calibri"/>
      <family val="2"/>
      <charset val="1"/>
      <scheme val="minor"/>
    </font>
    <font>
      <u/>
      <sz val="10"/>
      <color theme="10"/>
      <name val="Calibri"/>
      <family val="2"/>
      <charset val="1"/>
      <scheme val="minor"/>
    </font>
    <font>
      <sz val="9"/>
      <color indexed="81"/>
      <name val="Tahoma"/>
      <charset val="1"/>
    </font>
    <font>
      <b/>
      <sz val="9"/>
      <color indexed="81"/>
      <name val="Tahoma"/>
      <charset val="1"/>
    </font>
    <font>
      <sz val="11"/>
      <color rgb="FFFF0000"/>
      <name val="Calibri"/>
      <family val="2"/>
      <charset val="1"/>
      <scheme val="minor"/>
    </font>
    <font>
      <sz val="11"/>
      <name val="Calibri"/>
      <family val="2"/>
      <charset val="1"/>
      <scheme val="minor"/>
    </font>
    <font>
      <b/>
      <sz val="11"/>
      <color theme="1"/>
      <name val="Arial"/>
      <family val="2"/>
    </font>
    <font>
      <sz val="11"/>
      <color theme="1"/>
      <name val="Arial"/>
      <family val="2"/>
    </font>
    <font>
      <sz val="11"/>
      <color indexed="8"/>
      <name val="Calibri"/>
      <family val="2"/>
      <scheme val="minor"/>
    </font>
    <font>
      <b/>
      <sz val="11"/>
      <color indexed="8"/>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theme="4" tint="0.79998168889431442"/>
        <bgColor indexed="64"/>
      </patternFill>
    </fill>
  </fills>
  <borders count="2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CCCCCC"/>
      </left>
      <right style="medium">
        <color rgb="FFCCCCCC"/>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1" fillId="0" borderId="0"/>
    <xf numFmtId="0" fontId="2" fillId="0" borderId="0" applyNumberFormat="0" applyFill="0" applyBorder="0" applyAlignment="0" applyProtection="0"/>
    <xf numFmtId="9" fontId="7" fillId="0" borderId="0" applyFont="0" applyFill="0" applyBorder="0" applyAlignment="0" applyProtection="0"/>
    <xf numFmtId="0" fontId="16" fillId="0" borderId="0"/>
  </cellStyleXfs>
  <cellXfs count="213">
    <xf numFmtId="0" fontId="0" fillId="0" borderId="0" xfId="0"/>
    <xf numFmtId="166" fontId="3" fillId="0" borderId="0" xfId="1" applyNumberFormat="1" applyFont="1" applyFill="1" applyBorder="1" applyAlignment="1">
      <alignment wrapText="1"/>
    </xf>
    <xf numFmtId="0" fontId="4" fillId="0" borderId="0" xfId="0" applyFont="1"/>
    <xf numFmtId="0" fontId="5" fillId="0" borderId="0" xfId="0" applyFont="1" applyFill="1"/>
    <xf numFmtId="0" fontId="6" fillId="0" borderId="0" xfId="2" applyFont="1"/>
    <xf numFmtId="0" fontId="5" fillId="0" borderId="0" xfId="0" applyFont="1"/>
    <xf numFmtId="1" fontId="5" fillId="0" borderId="0" xfId="0" applyNumberFormat="1" applyFont="1" applyAlignment="1">
      <alignment horizontal="center"/>
    </xf>
    <xf numFmtId="0" fontId="5" fillId="0" borderId="0" xfId="0" applyFont="1" applyAlignment="1">
      <alignment horizontal="right"/>
    </xf>
    <xf numFmtId="2" fontId="5" fillId="0" borderId="0" xfId="0" applyNumberFormat="1" applyFont="1" applyAlignment="1">
      <alignment horizontal="right"/>
    </xf>
    <xf numFmtId="2" fontId="5" fillId="0" borderId="0" xfId="0" applyNumberFormat="1" applyFont="1"/>
    <xf numFmtId="164" fontId="5" fillId="0" borderId="0" xfId="0" applyNumberFormat="1" applyFont="1" applyAlignment="1">
      <alignment horizontal="left" wrapText="1"/>
    </xf>
    <xf numFmtId="165" fontId="3" fillId="0" borderId="0" xfId="1" applyNumberFormat="1" applyFont="1" applyFill="1" applyBorder="1" applyAlignment="1">
      <alignment wrapText="1"/>
    </xf>
    <xf numFmtId="165" fontId="5" fillId="0" borderId="0" xfId="0" applyNumberFormat="1" applyFont="1"/>
    <xf numFmtId="165" fontId="5" fillId="0" borderId="0" xfId="0" applyNumberFormat="1" applyFont="1" applyBorder="1"/>
    <xf numFmtId="164" fontId="3" fillId="0" borderId="0" xfId="1" applyNumberFormat="1" applyFont="1" applyFill="1" applyBorder="1" applyAlignment="1">
      <alignment wrapText="1"/>
    </xf>
    <xf numFmtId="164" fontId="5" fillId="0" borderId="0" xfId="0" applyNumberFormat="1" applyFont="1" applyBorder="1"/>
    <xf numFmtId="0" fontId="5" fillId="0" borderId="0" xfId="0" applyFont="1" applyAlignment="1">
      <alignment horizontal="center"/>
    </xf>
    <xf numFmtId="164" fontId="5" fillId="0" borderId="0" xfId="0" applyNumberFormat="1" applyFont="1"/>
    <xf numFmtId="166" fontId="5" fillId="0" borderId="0" xfId="0" applyNumberFormat="1" applyFont="1"/>
    <xf numFmtId="0" fontId="5" fillId="0" borderId="0" xfId="0" applyFont="1" applyAlignment="1"/>
    <xf numFmtId="167" fontId="5" fillId="0" borderId="0" xfId="0" applyNumberFormat="1" applyFont="1"/>
    <xf numFmtId="0" fontId="3" fillId="0" borderId="0" xfId="1" applyFont="1" applyFill="1" applyBorder="1" applyAlignment="1">
      <alignment horizontal="right" vertical="center" wrapText="1"/>
    </xf>
    <xf numFmtId="0" fontId="3" fillId="0" borderId="0" xfId="1" applyFont="1" applyFill="1" applyBorder="1" applyAlignment="1">
      <alignment horizontal="right" vertical="center"/>
    </xf>
    <xf numFmtId="168" fontId="5" fillId="0" borderId="0" xfId="0" applyNumberFormat="1" applyFont="1"/>
    <xf numFmtId="169" fontId="5" fillId="0" borderId="0" xfId="0" applyNumberFormat="1" applyFont="1"/>
    <xf numFmtId="170" fontId="5" fillId="0" borderId="0" xfId="0" applyNumberFormat="1" applyFont="1"/>
    <xf numFmtId="166" fontId="5" fillId="0" borderId="0" xfId="0" applyNumberFormat="1" applyFont="1" applyBorder="1"/>
    <xf numFmtId="11" fontId="5" fillId="0" borderId="0" xfId="0" applyNumberFormat="1" applyFont="1"/>
    <xf numFmtId="0" fontId="5" fillId="0" borderId="0" xfId="0" applyNumberFormat="1" applyFont="1"/>
    <xf numFmtId="0" fontId="5" fillId="0" borderId="0" xfId="0" applyFont="1" applyFill="1" applyBorder="1"/>
    <xf numFmtId="0" fontId="5" fillId="0" borderId="0" xfId="0" applyFont="1" applyAlignment="1">
      <alignment horizontal="left"/>
    </xf>
    <xf numFmtId="0" fontId="5" fillId="4" borderId="3" xfId="0" applyFont="1" applyFill="1" applyBorder="1" applyAlignment="1">
      <alignment horizontal="left"/>
    </xf>
    <xf numFmtId="0" fontId="5" fillId="4" borderId="1" xfId="0" applyFont="1" applyFill="1" applyBorder="1" applyAlignment="1">
      <alignment horizontal="left"/>
    </xf>
    <xf numFmtId="0" fontId="5" fillId="4" borderId="2" xfId="0" applyFont="1" applyFill="1" applyBorder="1" applyAlignment="1">
      <alignment horizontal="left"/>
    </xf>
    <xf numFmtId="0" fontId="5" fillId="4" borderId="4" xfId="0" applyFont="1" applyFill="1" applyBorder="1" applyAlignment="1">
      <alignment horizontal="left"/>
    </xf>
    <xf numFmtId="0" fontId="5" fillId="2" borderId="1" xfId="0" applyFont="1" applyFill="1" applyBorder="1" applyAlignment="1">
      <alignment horizontal="left"/>
    </xf>
    <xf numFmtId="0" fontId="5" fillId="2" borderId="2" xfId="0" applyFont="1" applyFill="1" applyBorder="1" applyAlignment="1">
      <alignment horizontal="left"/>
    </xf>
    <xf numFmtId="0" fontId="5" fillId="2" borderId="4" xfId="0" applyFont="1" applyFill="1" applyBorder="1" applyAlignment="1">
      <alignment horizontal="left"/>
    </xf>
    <xf numFmtId="0" fontId="5" fillId="3" borderId="1" xfId="0" applyFont="1" applyFill="1" applyBorder="1" applyAlignment="1">
      <alignment horizontal="left"/>
    </xf>
    <xf numFmtId="0" fontId="5" fillId="3" borderId="2" xfId="0" applyFont="1" applyFill="1" applyBorder="1" applyAlignment="1">
      <alignment horizontal="left"/>
    </xf>
    <xf numFmtId="0" fontId="5" fillId="3" borderId="2" xfId="0" applyFont="1" applyFill="1" applyBorder="1"/>
    <xf numFmtId="0" fontId="5" fillId="3" borderId="4" xfId="0" applyFont="1" applyFill="1" applyBorder="1" applyAlignment="1">
      <alignment horizontal="left"/>
    </xf>
    <xf numFmtId="171" fontId="5" fillId="0" borderId="0" xfId="0" applyNumberFormat="1" applyFont="1"/>
    <xf numFmtId="172" fontId="5" fillId="0" borderId="0" xfId="0" applyNumberFormat="1" applyFont="1"/>
    <xf numFmtId="173" fontId="5" fillId="0" borderId="0" xfId="0" applyNumberFormat="1" applyFont="1"/>
    <xf numFmtId="2" fontId="5" fillId="0" borderId="0" xfId="0" applyNumberFormat="1" applyFont="1" applyBorder="1" applyAlignment="1">
      <alignment horizontal="right" vertical="center" wrapText="1"/>
    </xf>
    <xf numFmtId="2" fontId="5" fillId="0" borderId="0" xfId="0" applyNumberFormat="1" applyFont="1" applyFill="1" applyBorder="1" applyAlignment="1">
      <alignment horizontal="right" vertical="center" wrapText="1"/>
    </xf>
    <xf numFmtId="0" fontId="6" fillId="0" borderId="0" xfId="2" applyFont="1" applyBorder="1"/>
    <xf numFmtId="0" fontId="5" fillId="0" borderId="0" xfId="0" applyFont="1" applyBorder="1"/>
    <xf numFmtId="0" fontId="5" fillId="0" borderId="0" xfId="0" applyFont="1" applyBorder="1" applyAlignment="1">
      <alignment horizontal="center"/>
    </xf>
    <xf numFmtId="0" fontId="5" fillId="0" borderId="0" xfId="0" applyFont="1" applyBorder="1" applyAlignment="1">
      <alignment horizontal="right"/>
    </xf>
    <xf numFmtId="0" fontId="4" fillId="0" borderId="0" xfId="0" applyFont="1" applyBorder="1" applyAlignment="1"/>
    <xf numFmtId="0" fontId="6" fillId="0" borderId="0" xfId="2" applyFont="1" applyBorder="1" applyAlignment="1"/>
    <xf numFmtId="0" fontId="4" fillId="0" borderId="0" xfId="0" applyFont="1" applyBorder="1" applyAlignment="1">
      <alignment horizontal="right"/>
    </xf>
    <xf numFmtId="0" fontId="4" fillId="0" borderId="0" xfId="0" applyFont="1" applyBorder="1" applyAlignment="1">
      <alignment horizontal="center"/>
    </xf>
    <xf numFmtId="0" fontId="5" fillId="0" borderId="0" xfId="0" applyFont="1" applyBorder="1" applyAlignment="1"/>
    <xf numFmtId="0" fontId="4" fillId="0" borderId="0" xfId="0" applyFont="1" applyBorder="1" applyAlignment="1">
      <alignment vertical="center"/>
    </xf>
    <xf numFmtId="0" fontId="5" fillId="2" borderId="3" xfId="0" applyFont="1" applyFill="1" applyBorder="1" applyAlignment="1">
      <alignment horizontal="left"/>
    </xf>
    <xf numFmtId="164" fontId="5" fillId="0" borderId="6" xfId="0" applyNumberFormat="1" applyFont="1" applyBorder="1" applyAlignment="1">
      <alignment horizontal="left" wrapText="1"/>
    </xf>
    <xf numFmtId="0" fontId="5" fillId="0" borderId="6" xfId="0" applyFont="1" applyBorder="1"/>
    <xf numFmtId="0" fontId="5" fillId="2" borderId="1" xfId="0" applyFont="1" applyFill="1" applyBorder="1" applyAlignment="1">
      <alignment horizontal="right"/>
    </xf>
    <xf numFmtId="0" fontId="5" fillId="0" borderId="5" xfId="0" applyFont="1" applyBorder="1"/>
    <xf numFmtId="16" fontId="5" fillId="0" borderId="0" xfId="0" applyNumberFormat="1" applyFont="1" applyAlignment="1">
      <alignment horizontal="right"/>
    </xf>
    <xf numFmtId="0" fontId="4" fillId="0" borderId="0" xfId="0" applyFont="1" applyAlignment="1">
      <alignment vertical="center"/>
    </xf>
    <xf numFmtId="0" fontId="4" fillId="0" borderId="0" xfId="0" applyFont="1" applyAlignment="1">
      <alignment vertical="center" wrapText="1"/>
    </xf>
    <xf numFmtId="0" fontId="2" fillId="0" borderId="0" xfId="2"/>
    <xf numFmtId="0" fontId="5" fillId="0" borderId="0" xfId="0" applyFont="1" applyFill="1" applyAlignment="1">
      <alignment horizontal="right"/>
    </xf>
    <xf numFmtId="0" fontId="4" fillId="0" borderId="0" xfId="0" applyFont="1" applyFill="1" applyBorder="1" applyAlignment="1">
      <alignment horizontal="right"/>
    </xf>
    <xf numFmtId="9" fontId="5" fillId="0" borderId="0" xfId="3" applyFont="1"/>
    <xf numFmtId="0" fontId="6" fillId="0" borderId="0" xfId="2" applyFont="1" applyFill="1"/>
    <xf numFmtId="0" fontId="5" fillId="0" borderId="0" xfId="0" applyFont="1" applyFill="1" applyAlignment="1">
      <alignment horizontal="center"/>
    </xf>
    <xf numFmtId="16" fontId="5" fillId="0" borderId="0" xfId="0" applyNumberFormat="1" applyFont="1" applyFill="1" applyAlignment="1">
      <alignment horizontal="right"/>
    </xf>
    <xf numFmtId="0" fontId="4" fillId="0" borderId="0" xfId="0" applyFont="1" applyFill="1" applyAlignment="1">
      <alignment vertical="center"/>
    </xf>
    <xf numFmtId="164" fontId="5" fillId="0" borderId="0" xfId="0" applyNumberFormat="1" applyFont="1" applyBorder="1" applyAlignment="1">
      <alignment horizontal="left" wrapText="1"/>
    </xf>
    <xf numFmtId="0" fontId="5" fillId="4" borderId="4" xfId="0" applyFont="1" applyFill="1" applyBorder="1" applyAlignment="1">
      <alignment horizontal="center"/>
    </xf>
    <xf numFmtId="0" fontId="5" fillId="4" borderId="2" xfId="0" applyNumberFormat="1" applyFont="1" applyFill="1" applyBorder="1" applyAlignment="1">
      <alignment horizontal="left"/>
    </xf>
    <xf numFmtId="0" fontId="5" fillId="0" borderId="0" xfId="0" applyNumberFormat="1" applyFont="1" applyFill="1"/>
    <xf numFmtId="0" fontId="4" fillId="0" borderId="0" xfId="0" applyNumberFormat="1" applyFont="1" applyBorder="1" applyAlignment="1">
      <alignment horizontal="right"/>
    </xf>
    <xf numFmtId="0" fontId="5" fillId="0" borderId="0" xfId="0" applyNumberFormat="1" applyFont="1" applyBorder="1"/>
    <xf numFmtId="0" fontId="5" fillId="0" borderId="0" xfId="0" applyNumberFormat="1" applyFont="1" applyFill="1" applyBorder="1"/>
    <xf numFmtId="0" fontId="5" fillId="0" borderId="0" xfId="3" applyNumberFormat="1" applyFont="1"/>
    <xf numFmtId="0" fontId="5" fillId="4" borderId="2" xfId="0" applyFont="1" applyFill="1" applyBorder="1" applyAlignment="1">
      <alignment horizontal="center"/>
    </xf>
    <xf numFmtId="164" fontId="5" fillId="0" borderId="0" xfId="0" applyNumberFormat="1" applyFont="1" applyAlignment="1">
      <alignment horizontal="right"/>
    </xf>
    <xf numFmtId="167" fontId="5" fillId="0" borderId="0" xfId="0" applyNumberFormat="1" applyFont="1" applyAlignment="1">
      <alignment horizontal="right"/>
    </xf>
    <xf numFmtId="0" fontId="5" fillId="3" borderId="2" xfId="0" applyFont="1" applyFill="1" applyBorder="1" applyAlignment="1">
      <alignment horizontal="right"/>
    </xf>
    <xf numFmtId="165" fontId="5" fillId="0" borderId="0" xfId="0" applyNumberFormat="1" applyFont="1" applyAlignment="1">
      <alignment horizontal="right"/>
    </xf>
    <xf numFmtId="0" fontId="8" fillId="0" borderId="0" xfId="0" applyFont="1"/>
    <xf numFmtId="165" fontId="5" fillId="0" borderId="6" xfId="0" applyNumberFormat="1" applyFont="1" applyBorder="1"/>
    <xf numFmtId="0" fontId="9" fillId="0" borderId="0" xfId="2" applyFont="1"/>
    <xf numFmtId="0" fontId="3" fillId="0" borderId="0" xfId="0" applyFont="1" applyAlignment="1">
      <alignment vertical="center" wrapText="1"/>
    </xf>
    <xf numFmtId="0" fontId="3" fillId="0" borderId="0" xfId="0" applyFont="1"/>
    <xf numFmtId="165" fontId="5" fillId="2" borderId="2" xfId="0" applyNumberFormat="1" applyFont="1" applyFill="1" applyBorder="1" applyAlignment="1">
      <alignment horizontal="left"/>
    </xf>
    <xf numFmtId="165" fontId="4" fillId="0" borderId="0" xfId="0" applyNumberFormat="1" applyFont="1" applyBorder="1" applyAlignment="1">
      <alignment horizontal="right"/>
    </xf>
    <xf numFmtId="165" fontId="5" fillId="2" borderId="4" xfId="0" applyNumberFormat="1" applyFont="1" applyFill="1" applyBorder="1" applyAlignment="1">
      <alignment horizontal="left"/>
    </xf>
    <xf numFmtId="165" fontId="5" fillId="0" borderId="0" xfId="0" applyNumberFormat="1" applyFont="1" applyFill="1" applyAlignment="1">
      <alignment horizontal="right"/>
    </xf>
    <xf numFmtId="165" fontId="5" fillId="0" borderId="0" xfId="0" applyNumberFormat="1" applyFont="1" applyBorder="1" applyAlignment="1">
      <alignment horizontal="right"/>
    </xf>
    <xf numFmtId="164" fontId="5" fillId="0" borderId="7" xfId="0" applyNumberFormat="1" applyFont="1" applyBorder="1" applyAlignment="1">
      <alignment horizontal="left" wrapText="1"/>
    </xf>
    <xf numFmtId="2" fontId="5" fillId="2" borderId="2" xfId="0" applyNumberFormat="1" applyFont="1" applyFill="1" applyBorder="1" applyAlignment="1">
      <alignment horizontal="left"/>
    </xf>
    <xf numFmtId="2" fontId="5" fillId="0" borderId="0" xfId="0" applyNumberFormat="1" applyFont="1" applyFill="1"/>
    <xf numFmtId="2" fontId="3" fillId="0" borderId="0" xfId="1" applyNumberFormat="1" applyFont="1" applyFill="1" applyBorder="1" applyAlignment="1">
      <alignment wrapText="1"/>
    </xf>
    <xf numFmtId="2" fontId="4" fillId="0" borderId="0" xfId="0" applyNumberFormat="1" applyFont="1" applyBorder="1" applyAlignment="1">
      <alignment horizontal="right"/>
    </xf>
    <xf numFmtId="2" fontId="5" fillId="0" borderId="0" xfId="0" applyNumberFormat="1" applyFont="1" applyBorder="1"/>
    <xf numFmtId="2" fontId="5" fillId="0" borderId="0" xfId="0" applyNumberFormat="1" applyFont="1" applyBorder="1" applyAlignment="1"/>
    <xf numFmtId="0" fontId="5" fillId="5" borderId="0" xfId="0" applyFont="1" applyFill="1"/>
    <xf numFmtId="0" fontId="6" fillId="5" borderId="0" xfId="2" applyFont="1" applyFill="1"/>
    <xf numFmtId="0" fontId="5" fillId="5" borderId="0" xfId="0" applyNumberFormat="1" applyFont="1" applyFill="1"/>
    <xf numFmtId="0" fontId="5" fillId="5" borderId="0" xfId="0" applyFont="1" applyFill="1" applyAlignment="1">
      <alignment horizontal="center"/>
    </xf>
    <xf numFmtId="0" fontId="5" fillId="5" borderId="0" xfId="0" applyFont="1" applyFill="1" applyAlignment="1">
      <alignment horizontal="right"/>
    </xf>
    <xf numFmtId="2" fontId="5" fillId="5" borderId="0" xfId="0" applyNumberFormat="1" applyFont="1" applyFill="1"/>
    <xf numFmtId="16" fontId="5" fillId="5" borderId="0" xfId="0" applyNumberFormat="1" applyFont="1" applyFill="1" applyAlignment="1">
      <alignment horizontal="right"/>
    </xf>
    <xf numFmtId="164" fontId="5" fillId="5" borderId="0" xfId="0" applyNumberFormat="1" applyFont="1" applyFill="1"/>
    <xf numFmtId="164" fontId="5" fillId="5" borderId="6" xfId="0" applyNumberFormat="1" applyFont="1" applyFill="1" applyBorder="1" applyAlignment="1">
      <alignment horizontal="left" wrapText="1"/>
    </xf>
    <xf numFmtId="167" fontId="5" fillId="5" borderId="0" xfId="0" applyNumberFormat="1" applyFont="1" applyFill="1"/>
    <xf numFmtId="0" fontId="5" fillId="5" borderId="6" xfId="0" applyFont="1" applyFill="1" applyBorder="1"/>
    <xf numFmtId="0" fontId="5" fillId="4" borderId="0" xfId="0" applyFont="1" applyFill="1"/>
    <xf numFmtId="0" fontId="6" fillId="4" borderId="0" xfId="2" applyFont="1" applyFill="1"/>
    <xf numFmtId="0" fontId="5" fillId="4" borderId="0" xfId="0" applyNumberFormat="1" applyFont="1" applyFill="1"/>
    <xf numFmtId="0" fontId="5" fillId="4" borderId="0" xfId="0" applyFont="1" applyFill="1" applyAlignment="1">
      <alignment horizontal="center"/>
    </xf>
    <xf numFmtId="0" fontId="5" fillId="4" borderId="0" xfId="0" applyFont="1" applyFill="1" applyAlignment="1">
      <alignment horizontal="right"/>
    </xf>
    <xf numFmtId="2" fontId="5" fillId="4" borderId="0" xfId="0" applyNumberFormat="1" applyFont="1" applyFill="1"/>
    <xf numFmtId="16" fontId="5" fillId="4" borderId="0" xfId="0" applyNumberFormat="1" applyFont="1" applyFill="1" applyAlignment="1">
      <alignment horizontal="right"/>
    </xf>
    <xf numFmtId="0" fontId="5" fillId="4" borderId="0" xfId="0" applyFont="1" applyFill="1" applyAlignment="1"/>
    <xf numFmtId="164" fontId="5" fillId="4" borderId="0" xfId="0" applyNumberFormat="1" applyFont="1" applyFill="1"/>
    <xf numFmtId="164" fontId="5" fillId="4" borderId="6" xfId="0" applyNumberFormat="1" applyFont="1" applyFill="1" applyBorder="1" applyAlignment="1">
      <alignment horizontal="left" wrapText="1"/>
    </xf>
    <xf numFmtId="167" fontId="5" fillId="4" borderId="0" xfId="0" applyNumberFormat="1" applyFont="1" applyFill="1"/>
    <xf numFmtId="0" fontId="5" fillId="4" borderId="6" xfId="0" applyFont="1" applyFill="1" applyBorder="1"/>
    <xf numFmtId="170" fontId="5" fillId="4" borderId="0" xfId="0" applyNumberFormat="1" applyFont="1" applyFill="1"/>
    <xf numFmtId="9" fontId="5" fillId="5" borderId="0" xfId="3" applyFont="1" applyFill="1"/>
    <xf numFmtId="165" fontId="5" fillId="5" borderId="0" xfId="0" applyNumberFormat="1" applyFont="1" applyFill="1"/>
    <xf numFmtId="166" fontId="5" fillId="5" borderId="0" xfId="0" applyNumberFormat="1" applyFont="1" applyFill="1"/>
    <xf numFmtId="0" fontId="5" fillId="6" borderId="0" xfId="0" applyFont="1" applyFill="1"/>
    <xf numFmtId="0" fontId="6" fillId="6" borderId="0" xfId="2" applyFont="1" applyFill="1"/>
    <xf numFmtId="0" fontId="5" fillId="6" borderId="0" xfId="0" applyNumberFormat="1" applyFont="1" applyFill="1"/>
    <xf numFmtId="0" fontId="5" fillId="6" borderId="0" xfId="0" applyFont="1" applyFill="1" applyAlignment="1">
      <alignment horizontal="center"/>
    </xf>
    <xf numFmtId="0" fontId="5" fillId="6" borderId="0" xfId="0" applyFont="1" applyFill="1" applyAlignment="1">
      <alignment horizontal="right"/>
    </xf>
    <xf numFmtId="2" fontId="5" fillId="6" borderId="0" xfId="0" applyNumberFormat="1" applyFont="1" applyFill="1"/>
    <xf numFmtId="0" fontId="5" fillId="6" borderId="0" xfId="0" applyFont="1" applyFill="1" applyAlignment="1"/>
    <xf numFmtId="164" fontId="5" fillId="6" borderId="6" xfId="0" applyNumberFormat="1" applyFont="1" applyFill="1" applyBorder="1" applyAlignment="1">
      <alignment horizontal="left" wrapText="1"/>
    </xf>
    <xf numFmtId="0" fontId="5" fillId="6" borderId="6" xfId="0" applyFont="1" applyFill="1" applyBorder="1"/>
    <xf numFmtId="0" fontId="4" fillId="4" borderId="0" xfId="0" applyFont="1" applyFill="1" applyAlignment="1">
      <alignment vertical="center"/>
    </xf>
    <xf numFmtId="11" fontId="5" fillId="4" borderId="0" xfId="0" applyNumberFormat="1" applyFont="1" applyFill="1"/>
    <xf numFmtId="0" fontId="2" fillId="5" borderId="0" xfId="2" applyFill="1"/>
    <xf numFmtId="164" fontId="5" fillId="5" borderId="0" xfId="0" applyNumberFormat="1" applyFont="1" applyFill="1" applyBorder="1" applyAlignment="1">
      <alignment horizontal="left" wrapText="1"/>
    </xf>
    <xf numFmtId="164" fontId="5" fillId="6" borderId="0" xfId="0" applyNumberFormat="1" applyFont="1" applyFill="1" applyBorder="1" applyAlignment="1">
      <alignment horizontal="left" wrapText="1"/>
    </xf>
    <xf numFmtId="0" fontId="5" fillId="0" borderId="8" xfId="0" applyFont="1" applyBorder="1"/>
    <xf numFmtId="0" fontId="5" fillId="7" borderId="0" xfId="0" applyFont="1" applyFill="1"/>
    <xf numFmtId="0" fontId="2" fillId="7" borderId="0" xfId="2" applyFill="1"/>
    <xf numFmtId="0" fontId="5" fillId="7" borderId="0" xfId="0" applyNumberFormat="1" applyFont="1" applyFill="1"/>
    <xf numFmtId="0" fontId="5" fillId="7" borderId="0" xfId="0" applyFont="1" applyFill="1" applyAlignment="1">
      <alignment horizontal="center"/>
    </xf>
    <xf numFmtId="0" fontId="6" fillId="7" borderId="0" xfId="2" applyFont="1" applyFill="1"/>
    <xf numFmtId="0" fontId="5" fillId="7" borderId="0" xfId="0" applyFont="1" applyFill="1" applyAlignment="1">
      <alignment horizontal="right"/>
    </xf>
    <xf numFmtId="2" fontId="5" fillId="7" borderId="0" xfId="0" applyNumberFormat="1" applyFont="1" applyFill="1"/>
    <xf numFmtId="164" fontId="5" fillId="7" borderId="6" xfId="0" applyNumberFormat="1" applyFont="1" applyFill="1" applyBorder="1" applyAlignment="1">
      <alignment horizontal="left" wrapText="1"/>
    </xf>
    <xf numFmtId="170" fontId="5" fillId="7" borderId="0" xfId="0" applyNumberFormat="1" applyFont="1" applyFill="1"/>
    <xf numFmtId="0" fontId="5" fillId="7" borderId="6" xfId="0" applyFont="1" applyFill="1" applyBorder="1"/>
    <xf numFmtId="0" fontId="2" fillId="4" borderId="0" xfId="2" applyFill="1"/>
    <xf numFmtId="0" fontId="5" fillId="4" borderId="0" xfId="0" applyFont="1" applyFill="1" applyBorder="1"/>
    <xf numFmtId="9" fontId="0" fillId="0" borderId="0" xfId="0" applyNumberFormat="1"/>
    <xf numFmtId="0" fontId="0" fillId="9" borderId="9" xfId="0" applyFont="1" applyFill="1" applyBorder="1"/>
    <xf numFmtId="0" fontId="0" fillId="0" borderId="9" xfId="0" applyFont="1" applyBorder="1"/>
    <xf numFmtId="0" fontId="12" fillId="0" borderId="0" xfId="0" applyFont="1"/>
    <xf numFmtId="0" fontId="13" fillId="0" borderId="0" xfId="0" applyFont="1"/>
    <xf numFmtId="0" fontId="4" fillId="4" borderId="0" xfId="0" applyFont="1" applyFill="1"/>
    <xf numFmtId="164" fontId="5" fillId="4" borderId="0" xfId="0" applyNumberFormat="1" applyFont="1" applyFill="1" applyBorder="1" applyAlignment="1">
      <alignment horizontal="left" wrapText="1"/>
    </xf>
    <xf numFmtId="0" fontId="0" fillId="0" borderId="0" xfId="0" pivotButton="1"/>
    <xf numFmtId="0" fontId="0" fillId="0" borderId="0" xfId="0" applyNumberFormat="1"/>
    <xf numFmtId="0" fontId="0" fillId="4" borderId="0" xfId="0" applyFill="1"/>
    <xf numFmtId="0" fontId="0" fillId="0" borderId="0" xfId="0" applyFill="1"/>
    <xf numFmtId="0" fontId="14" fillId="0" borderId="11" xfId="0" applyFont="1" applyFill="1" applyBorder="1" applyAlignment="1">
      <alignment horizontal="left" vertical="center" wrapText="1"/>
    </xf>
    <xf numFmtId="0" fontId="14" fillId="0" borderId="12" xfId="0" applyFont="1" applyFill="1" applyBorder="1" applyAlignment="1">
      <alignment horizontal="left" vertical="center" wrapText="1"/>
    </xf>
    <xf numFmtId="0" fontId="14" fillId="0" borderId="13" xfId="0" applyFont="1" applyFill="1" applyBorder="1" applyAlignment="1">
      <alignment horizontal="left" vertical="center" wrapText="1"/>
    </xf>
    <xf numFmtId="0" fontId="15" fillId="0" borderId="0" xfId="0" applyFont="1" applyBorder="1"/>
    <xf numFmtId="9" fontId="15" fillId="0" borderId="0" xfId="3" applyFont="1" applyBorder="1"/>
    <xf numFmtId="9" fontId="0" fillId="0" borderId="0" xfId="3" applyFont="1"/>
    <xf numFmtId="9" fontId="0" fillId="0" borderId="0" xfId="0" applyNumberFormat="1" applyFill="1"/>
    <xf numFmtId="0" fontId="15" fillId="0" borderId="0" xfId="0" applyFont="1" applyFill="1" applyBorder="1"/>
    <xf numFmtId="9" fontId="0" fillId="0" borderId="0" xfId="3" applyFont="1" applyFill="1"/>
    <xf numFmtId="0" fontId="0" fillId="0" borderId="0" xfId="0" applyBorder="1"/>
    <xf numFmtId="0" fontId="0" fillId="9" borderId="10" xfId="0" applyFont="1" applyFill="1" applyBorder="1"/>
    <xf numFmtId="0" fontId="17" fillId="0" borderId="0" xfId="4" applyFont="1"/>
    <xf numFmtId="0" fontId="16" fillId="0" borderId="0" xfId="4"/>
    <xf numFmtId="1" fontId="16" fillId="0" borderId="0" xfId="4" applyNumberFormat="1"/>
    <xf numFmtId="0" fontId="16" fillId="9" borderId="9" xfId="4" applyNumberFormat="1" applyFont="1" applyFill="1" applyBorder="1" applyAlignment="1"/>
    <xf numFmtId="0" fontId="16" fillId="0" borderId="9" xfId="4" applyNumberFormat="1" applyFont="1" applyBorder="1" applyAlignment="1"/>
    <xf numFmtId="10" fontId="0" fillId="0" borderId="0" xfId="0" applyNumberFormat="1"/>
    <xf numFmtId="0" fontId="14" fillId="0" borderId="0" xfId="0" applyFont="1" applyFill="1" applyBorder="1" applyAlignment="1">
      <alignment horizontal="left" vertical="center" wrapText="1"/>
    </xf>
    <xf numFmtId="182" fontId="0" fillId="0" borderId="0" xfId="3" applyNumberFormat="1" applyFont="1"/>
    <xf numFmtId="9" fontId="0" fillId="0" borderId="18" xfId="3" applyFont="1" applyBorder="1"/>
    <xf numFmtId="0" fontId="0" fillId="0" borderId="19" xfId="0" applyBorder="1"/>
    <xf numFmtId="0" fontId="14" fillId="0" borderId="20" xfId="0" applyFont="1" applyFill="1" applyBorder="1" applyAlignment="1">
      <alignment horizontal="left" vertical="center" wrapText="1"/>
    </xf>
    <xf numFmtId="0" fontId="14" fillId="0" borderId="15" xfId="0" applyFont="1" applyFill="1" applyBorder="1" applyAlignment="1">
      <alignment horizontal="left" vertical="center" wrapText="1"/>
    </xf>
    <xf numFmtId="0" fontId="16" fillId="9" borderId="21" xfId="4" applyNumberFormat="1" applyFont="1" applyFill="1" applyBorder="1" applyAlignment="1"/>
    <xf numFmtId="9" fontId="0" fillId="0" borderId="16" xfId="3" applyFont="1" applyBorder="1"/>
    <xf numFmtId="0" fontId="16" fillId="0" borderId="21" xfId="4" applyNumberFormat="1" applyFont="1" applyBorder="1" applyAlignment="1"/>
    <xf numFmtId="0" fontId="16" fillId="0" borderId="22" xfId="4" applyNumberFormat="1" applyFont="1" applyBorder="1" applyAlignment="1"/>
    <xf numFmtId="9" fontId="0" fillId="0" borderId="23" xfId="3" applyFont="1" applyBorder="1"/>
    <xf numFmtId="9" fontId="0" fillId="0" borderId="17" xfId="3" applyFont="1" applyBorder="1"/>
    <xf numFmtId="0" fontId="14" fillId="0" borderId="14" xfId="0" applyFont="1" applyFill="1" applyBorder="1" applyAlignment="1">
      <alignment horizontal="left" vertical="center" wrapText="1"/>
    </xf>
    <xf numFmtId="182" fontId="0" fillId="0" borderId="0" xfId="0" applyNumberFormat="1"/>
    <xf numFmtId="0" fontId="0" fillId="0" borderId="0" xfId="0" applyFill="1" applyBorder="1"/>
    <xf numFmtId="0" fontId="0" fillId="10" borderId="0" xfId="0" applyFill="1"/>
    <xf numFmtId="9" fontId="0" fillId="10" borderId="0" xfId="0" applyNumberFormat="1" applyFill="1"/>
    <xf numFmtId="0" fontId="16" fillId="10" borderId="21" xfId="4" applyNumberFormat="1" applyFont="1" applyFill="1" applyBorder="1" applyAlignment="1"/>
    <xf numFmtId="0" fontId="16" fillId="10" borderId="22" xfId="4" applyNumberFormat="1" applyFont="1" applyFill="1" applyBorder="1" applyAlignment="1"/>
    <xf numFmtId="0" fontId="16" fillId="0" borderId="21" xfId="4" applyNumberFormat="1" applyFont="1" applyFill="1" applyBorder="1" applyAlignment="1"/>
    <xf numFmtId="182" fontId="0" fillId="0" borderId="18" xfId="3" applyNumberFormat="1" applyFont="1" applyBorder="1"/>
    <xf numFmtId="182" fontId="0" fillId="0" borderId="16" xfId="3" applyNumberFormat="1" applyFont="1" applyBorder="1"/>
    <xf numFmtId="182" fontId="0" fillId="0" borderId="23" xfId="3" applyNumberFormat="1" applyFont="1" applyBorder="1"/>
    <xf numFmtId="182" fontId="0" fillId="0" borderId="17" xfId="3" applyNumberFormat="1" applyFont="1" applyBorder="1"/>
    <xf numFmtId="0" fontId="16" fillId="0" borderId="0" xfId="4" applyNumberFormat="1" applyFont="1" applyFill="1" applyBorder="1" applyAlignment="1"/>
    <xf numFmtId="0" fontId="0" fillId="3" borderId="0" xfId="0" applyFill="1"/>
    <xf numFmtId="0" fontId="0" fillId="8" borderId="0" xfId="0" applyFill="1"/>
    <xf numFmtId="207" fontId="0" fillId="0" borderId="0" xfId="0" applyNumberFormat="1"/>
  </cellXfs>
  <cellStyles count="5">
    <cellStyle name="Hyperlink" xfId="2" builtinId="8"/>
    <cellStyle name="Normal" xfId="0" builtinId="0"/>
    <cellStyle name="Normal 2" xfId="4"/>
    <cellStyle name="Percent" xfId="3" builtinId="5"/>
    <cellStyle name="Κανονικό 2" xfId="1"/>
  </cellStyles>
  <dxfs count="137">
    <dxf>
      <numFmt numFmtId="207" formatCode="0.0"/>
    </dxf>
    <dxf>
      <numFmt numFmtId="2" formatCode="0.00"/>
    </dxf>
    <dxf>
      <numFmt numFmtId="165" formatCode="0.000"/>
    </dxf>
    <dxf>
      <numFmt numFmtId="164" formatCode="0.0000"/>
    </dxf>
    <dxf>
      <numFmt numFmtId="170" formatCode="0.00000"/>
    </dxf>
    <dxf>
      <numFmt numFmtId="167" formatCode="0.000000"/>
    </dxf>
    <dxf>
      <numFmt numFmtId="169" formatCode="0.0000000"/>
    </dxf>
    <dxf>
      <numFmt numFmtId="166" formatCode="0.00000000"/>
    </dxf>
    <dxf>
      <numFmt numFmtId="207" formatCode="0.0"/>
    </dxf>
    <dxf>
      <numFmt numFmtId="1" formatCode="0"/>
    </dxf>
    <dxf>
      <numFmt numFmtId="207" formatCode="0.0"/>
    </dxf>
    <dxf>
      <numFmt numFmtId="2" formatCode="0.00"/>
    </dxf>
    <dxf>
      <numFmt numFmtId="207" formatCode="0.0"/>
    </dxf>
    <dxf>
      <numFmt numFmtId="207" formatCode="0.0"/>
    </dxf>
    <dxf>
      <numFmt numFmtId="1" formatCode="0"/>
    </dxf>
    <dxf>
      <numFmt numFmtId="207" formatCode="0.0"/>
    </dxf>
    <dxf>
      <numFmt numFmtId="2" formatCode="0.00"/>
    </dxf>
    <dxf>
      <numFmt numFmtId="165" formatCode="0.000"/>
    </dxf>
    <dxf>
      <numFmt numFmtId="164" formatCode="0.0000"/>
    </dxf>
    <dxf>
      <numFmt numFmtId="170" formatCode="0.00000"/>
    </dxf>
    <dxf>
      <numFmt numFmtId="167" formatCode="0.000000"/>
    </dxf>
    <dxf>
      <numFmt numFmtId="169" formatCode="0.0000000"/>
    </dxf>
    <dxf>
      <numFmt numFmtId="166" formatCode="0.00000000"/>
    </dxf>
    <dxf>
      <numFmt numFmtId="207" formatCode="0.0"/>
    </dxf>
    <dxf>
      <numFmt numFmtId="207" formatCode="0.0"/>
    </dxf>
    <dxf>
      <numFmt numFmtId="2" formatCode="0.00"/>
    </dxf>
    <dxf>
      <numFmt numFmtId="165" formatCode="0.000"/>
    </dxf>
    <dxf>
      <numFmt numFmtId="164" formatCode="0.0000"/>
    </dxf>
    <dxf>
      <numFmt numFmtId="170" formatCode="0.00000"/>
    </dxf>
    <dxf>
      <numFmt numFmtId="167" formatCode="0.000000"/>
    </dxf>
    <dxf>
      <numFmt numFmtId="169" formatCode="0.0000000"/>
    </dxf>
    <dxf>
      <numFmt numFmtId="166" formatCode="0.00000000"/>
    </dxf>
    <dxf>
      <numFmt numFmtId="207" formatCode="0.0"/>
    </dxf>
    <dxf>
      <numFmt numFmtId="207" formatCode="0.0"/>
    </dxf>
    <dxf>
      <numFmt numFmtId="2" formatCode="0.00"/>
    </dxf>
    <dxf>
      <numFmt numFmtId="2" formatCode="0.00"/>
    </dxf>
    <dxf>
      <numFmt numFmtId="165" formatCode="0.000"/>
    </dxf>
    <dxf>
      <numFmt numFmtId="165" formatCode="0.000"/>
    </dxf>
    <dxf>
      <numFmt numFmtId="164" formatCode="0.0000"/>
    </dxf>
    <dxf>
      <numFmt numFmtId="164" formatCode="0.0000"/>
    </dxf>
    <dxf>
      <numFmt numFmtId="170" formatCode="0.00000"/>
    </dxf>
    <dxf>
      <numFmt numFmtId="170" formatCode="0.00000"/>
    </dxf>
    <dxf>
      <numFmt numFmtId="167" formatCode="0.000000"/>
    </dxf>
    <dxf>
      <numFmt numFmtId="167" formatCode="0.000000"/>
    </dxf>
    <dxf>
      <numFmt numFmtId="169" formatCode="0.0000000"/>
    </dxf>
    <dxf>
      <numFmt numFmtId="169" formatCode="0.0000000"/>
    </dxf>
    <dxf>
      <numFmt numFmtId="166" formatCode="0.00000000"/>
    </dxf>
    <dxf>
      <numFmt numFmtId="166" formatCode="0.00000000"/>
    </dxf>
    <dxf>
      <numFmt numFmtId="207" formatCode="0.0"/>
    </dxf>
    <dxf>
      <numFmt numFmtId="207" formatCode="0.0"/>
    </dxf>
    <dxf>
      <numFmt numFmtId="2" formatCode="0.00"/>
    </dxf>
    <dxf>
      <numFmt numFmtId="2" formatCode="0.00"/>
    </dxf>
    <dxf>
      <numFmt numFmtId="165" formatCode="0.000"/>
    </dxf>
    <dxf>
      <numFmt numFmtId="165" formatCode="0.000"/>
    </dxf>
    <dxf>
      <numFmt numFmtId="164" formatCode="0.0000"/>
    </dxf>
    <dxf>
      <numFmt numFmtId="164" formatCode="0.0000"/>
    </dxf>
    <dxf>
      <numFmt numFmtId="207" formatCode="0.0"/>
    </dxf>
    <dxf>
      <numFmt numFmtId="207" formatCode="0.0"/>
    </dxf>
    <dxf>
      <numFmt numFmtId="2" formatCode="0.00"/>
    </dxf>
    <dxf>
      <numFmt numFmtId="2" formatCode="0.00"/>
    </dxf>
    <dxf>
      <numFmt numFmtId="165" formatCode="0.000"/>
    </dxf>
    <dxf>
      <numFmt numFmtId="165" formatCode="0.000"/>
    </dxf>
    <dxf>
      <numFmt numFmtId="164" formatCode="0.0000"/>
    </dxf>
    <dxf>
      <numFmt numFmtId="164" formatCode="0.0000"/>
    </dxf>
    <dxf>
      <numFmt numFmtId="170" formatCode="0.00000"/>
    </dxf>
    <dxf>
      <numFmt numFmtId="170" formatCode="0.00000"/>
    </dxf>
    <dxf>
      <numFmt numFmtId="167" formatCode="0.000000"/>
    </dxf>
    <dxf>
      <numFmt numFmtId="167" formatCode="0.000000"/>
    </dxf>
    <dxf>
      <numFmt numFmtId="169" formatCode="0.0000000"/>
    </dxf>
    <dxf>
      <numFmt numFmtId="169" formatCode="0.0000000"/>
    </dxf>
    <dxf>
      <numFmt numFmtId="166" formatCode="0.00000000"/>
    </dxf>
    <dxf>
      <numFmt numFmtId="166" formatCode="0.00000000"/>
    </dxf>
    <dxf>
      <numFmt numFmtId="207" formatCode="0.0"/>
    </dxf>
    <dxf>
      <numFmt numFmtId="207" formatCode="0.0"/>
    </dxf>
    <dxf>
      <numFmt numFmtId="2" formatCode="0.00"/>
    </dxf>
    <dxf>
      <numFmt numFmtId="165" formatCode="0.000"/>
    </dxf>
    <dxf>
      <numFmt numFmtId="164" formatCode="0.0000"/>
    </dxf>
    <dxf>
      <fill>
        <patternFill patternType="solid">
          <bgColor theme="5"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7999816888943144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trike val="0"/>
        <condense val="0"/>
        <extend val="0"/>
        <outline val="0"/>
        <shadow val="0"/>
        <u val="none"/>
        <vertAlign val="baseline"/>
        <sz val="11"/>
        <color indexed="8"/>
        <name val="Calibri"/>
        <scheme val="minor"/>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219075</xdr:colOff>
      <xdr:row>1</xdr:row>
      <xdr:rowOff>152400</xdr:rowOff>
    </xdr:from>
    <xdr:to>
      <xdr:col>25</xdr:col>
      <xdr:colOff>134359</xdr:colOff>
      <xdr:row>130</xdr:row>
      <xdr:rowOff>19909</xdr:rowOff>
    </xdr:to>
    <xdr:pic>
      <xdr:nvPicPr>
        <xdr:cNvPr id="2" name="Picture 1"/>
        <xdr:cNvPicPr>
          <a:picLocks noChangeAspect="1"/>
        </xdr:cNvPicPr>
      </xdr:nvPicPr>
      <xdr:blipFill>
        <a:blip xmlns:r="http://schemas.openxmlformats.org/officeDocument/2006/relationships" r:embed="rId1"/>
        <a:stretch>
          <a:fillRect/>
        </a:stretch>
      </xdr:blipFill>
      <xdr:spPr>
        <a:xfrm>
          <a:off x="6924675" y="342900"/>
          <a:ext cx="7230484" cy="6154009"/>
        </a:xfrm>
        <a:prstGeom prst="rect">
          <a:avLst/>
        </a:prstGeom>
      </xdr:spPr>
    </xdr:pic>
    <xdr:clientData/>
  </xdr:twoCellAnchor>
  <xdr:twoCellAnchor editAs="oneCell">
    <xdr:from>
      <xdr:col>14</xdr:col>
      <xdr:colOff>0</xdr:colOff>
      <xdr:row>49</xdr:row>
      <xdr:rowOff>0</xdr:rowOff>
    </xdr:from>
    <xdr:to>
      <xdr:col>30</xdr:col>
      <xdr:colOff>106151</xdr:colOff>
      <xdr:row>134</xdr:row>
      <xdr:rowOff>67642</xdr:rowOff>
    </xdr:to>
    <xdr:pic>
      <xdr:nvPicPr>
        <xdr:cNvPr id="3" name="Picture 2"/>
        <xdr:cNvPicPr>
          <a:picLocks noChangeAspect="1"/>
        </xdr:cNvPicPr>
      </xdr:nvPicPr>
      <xdr:blipFill>
        <a:blip xmlns:r="http://schemas.openxmlformats.org/officeDocument/2006/relationships" r:embed="rId2"/>
        <a:stretch>
          <a:fillRect/>
        </a:stretch>
      </xdr:blipFill>
      <xdr:spPr>
        <a:xfrm>
          <a:off x="7315200" y="9334500"/>
          <a:ext cx="9859751" cy="69256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uo/3.%20paper/Stegman_future_plastics_deman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Data"/>
      <sheetName val="Sheet1"/>
      <sheetName val="production_sector"/>
      <sheetName val="Sheet3"/>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Jing Huo" refreshedDate="45345.502342708336" createdVersion="6" refreshedVersion="6" minRefreshableVersion="3" recordCount="102">
  <cacheSource type="worksheet">
    <worksheetSource name="Table3"/>
  </cacheSource>
  <cacheFields count="12">
    <cacheField name="bio-based plastics" numFmtId="0">
      <sharedItems count="17">
        <s v="PEF"/>
        <s v="PLA"/>
        <s v="PBAT"/>
        <s v="45%PLA+55%PBAT"/>
        <s v="70%PBAT+30%corn starch"/>
        <s v="PBS"/>
        <s v="PBS+PBAT"/>
        <s v="PBAT+starch"/>
        <s v="PHB"/>
        <s v="PLA_foam"/>
        <s v="70.4%PLA+17.6%PBS"/>
        <s v="25%PLA+45%PBS"/>
        <s v="56%PLA+14%PBS"/>
        <s v="65%PBS+35%PLA"/>
        <s v="70%PBS+30%PLA"/>
        <s v="70%PLA+30%PBAT"/>
        <s v="50%PBAT+50%starch"/>
      </sharedItems>
    </cacheField>
    <cacheField name="traditional plastics" numFmtId="0">
      <sharedItems count="15">
        <s v="PET"/>
        <s v="LDPE"/>
        <s v="LLDPE"/>
        <s v="HDPE"/>
        <s v="PP"/>
        <s v="PS"/>
        <s v="GPPS"/>
        <s v="EPS"/>
        <s v="HIPS"/>
        <s v="ABS"/>
        <s v="PC"/>
        <s v="PUR_rigid_foam"/>
        <s v="PE"/>
        <s v="71%PP+29%LDPE" u="1"/>
        <s v="75%PC+25%ABS" u="1"/>
      </sharedItems>
    </cacheField>
    <cacheField name="density ratio" numFmtId="0">
      <sharedItems containsBlank="1" containsMixedTypes="1" containsNumber="1" minValue="0.9051094890510949" maxValue="5.161290322580645"/>
    </cacheField>
    <cacheField name="susbtitution factor" numFmtId="0">
      <sharedItems containsSemiMixedTypes="0" containsString="0" containsNumber="1" minValue="0.56451124174292477" maxValue="5.161290322580645"/>
    </cacheField>
    <cacheField name="reference" numFmtId="0">
      <sharedItems containsBlank="1" count="42">
        <s v="JRC technical report: Life Cycle Assessment (LCA) of_x000a_alternative feedstocks for plastics_x000a_production"/>
        <s v="https://doi.org/10.3390/ma14164552"/>
        <s v="https://doi.org/10.1016/j.envres.2021.110974"/>
        <s v="https://doi.org/10.1002/ep.10490"/>
        <s v="https://doi.org/10.1016/j.jclepro.2013.09.030"/>
        <s v="https://doi.org/10.1016/j.rser.2023.113239"/>
        <s v="https://pubs.rsc.org/en/content/articlehtml/2020/gc/c9gc02992c"/>
        <s v="https://doi.org/10.1007/s11367-023-02253-y"/>
        <s v="https://doi.org/10.1016/j.wasman.2023.12.049"/>
        <s v="https://doi.org/10.1039/C4GC00830H"/>
        <s v="https://doi.org/10.1002/bbb.1849"/>
        <s v="https://doi.org/10.1002/pts.2615"/>
        <s v="https://doi.org/10.1007/s11356-021-17094-1"/>
        <s v="https://doi.org/10.1007/s11367-022-02085-2"/>
        <s v="https://doi.org/10.1007/s11367-010-0162-9"/>
        <s v="https://www.jseejournal.com/media/93/attachment/Environment%20impacts%20assessment%20pp.%209-17.pdf"/>
        <s v="https://doi.org/10.1007/s11367-015-0914-7"/>
        <s v="https://doi.org/10.1016/j.wasman.2017.11.036"/>
        <m/>
        <s v="https://doi.org/10.1016/j.jclepro.2016.03.029"/>
        <s v="https://doi.org/10.3390/su11195324"/>
        <s v="https://doi.org/10.1016/j.resconrec.2021.105508"/>
        <s v="https://doi.org/10.1016/j.clet.2022.100419"/>
        <s v="https://www.lifecycleinitiative.org/wp-content/uploads/2020/10/Take-Away-food-containers_REPORT_LR.pdf"/>
        <s v="doi:10.2777/251887"/>
        <s v="https://www.natureworksllc.com/~/media/Files/NatureWorks/What-is-Ingeo/Why-it-Matters/LCA/PEA_Cup_Lid_LCA_FullReport_ReviewStatement_121209_pdf.pdf?la=en"/>
        <s v="https://doi.org/10.1002/ep.10053"/>
        <s v="https://doi.org/10.1016/j.egypro.2014.07.187"/>
        <s v="https://doi.org/10.1016/j.jclepro.2016.05.159"/>
        <s v="https://doi.org/10.1016/j.jclepro.2016.11.152"/>
        <s v="https://doi.org/10.1002/bbb.1406"/>
        <s v="https://doi.org/10.1155/2015/383279"/>
        <s v="https://publications.vtt.fi/pdf/tiedotteet/1997/T1876.pdf"/>
        <s v="https://doi.org/10.1016/j.jclepro.2017.03.007"/>
        <s v="https://doi.org/10.1016/j.lwt.2016.09.004"/>
        <s v="https://doi.org/10.1016/j.jclepro.2009.03.015"/>
        <s v="https://doi.org/10.1016/j.jclepro.2015.05.143"/>
        <s v="https://doi.org/10.1016/j.jclepro.2007.06.009"/>
        <s v="https://doi.org/10.1111/jiec.12544"/>
        <s v="https://doi.org/10.1016/j.polymertesting.2005.02.008"/>
        <s v="JRC draft report"/>
        <s v="https://doi.org/10.1016/j.jclepro.2017.05.006"/>
      </sharedItems>
    </cacheField>
    <cacheField name="year" numFmtId="0">
      <sharedItems containsString="0" containsBlank="1" containsNumber="1" containsInteger="1" minValue="1997" maxValue="2024"/>
    </cacheField>
    <cacheField name="note" numFmtId="0">
      <sharedItems containsBlank="1" containsMixedTypes="1" containsNumber="1" minValue="12.58" maxValue="12.58" longText="1"/>
    </cacheField>
    <cacheField name="Column1" numFmtId="0">
      <sharedItems containsBlank="1"/>
    </cacheField>
    <cacheField name="application" numFmtId="0">
      <sharedItems containsBlank="1"/>
    </cacheField>
    <cacheField name="subsector" numFmtId="0">
      <sharedItems containsBlank="1" count="31">
        <s v="beverage bottles"/>
        <s v="mulch film"/>
        <s v="Consumer non-food bags"/>
        <s v="Food other"/>
        <s v="containers for food"/>
        <s v="trays for food"/>
        <s v="food packaging"/>
        <s v="ICT equipment and CE"/>
        <s v="Other products"/>
        <s v="Medical and hygiene items"/>
        <s v="interior panels"/>
        <s v="other agricultural products"/>
        <s v="other automotive components"/>
        <s v="insulation material"/>
        <s v="non-food film"/>
        <s v="containers for non-food"/>
        <s v="loose fill chips"/>
        <s v="textile fibres"/>
        <m u="1"/>
        <s v="pots" u="1"/>
        <s v="consumer goods" u="1"/>
        <s v="printers housing panels" u="1"/>
        <s v="wipes" u="1"/>
        <s v="sanitary towels" u="1"/>
        <s v="diaper" u="1"/>
        <s v="garbage bags" u="1"/>
        <s v="laptop covers" u="1"/>
        <s v="cups" u="1"/>
        <s v="carrier bags" u="1"/>
        <s v="straws" u="1"/>
        <s v="tableware" u="1"/>
      </sharedItems>
    </cacheField>
    <cacheField name="sector" numFmtId="0">
      <sharedItems containsBlank="1" count="9">
        <s v="rigid packaging"/>
        <s v="agriculture"/>
        <s v="flexible packaging"/>
        <s v="electrics &amp; electronics"/>
        <s v="consumer goods"/>
        <s v="automotive and transport"/>
        <s v="building and construction"/>
        <s v="textiles"/>
        <m u="1"/>
      </sharedItems>
    </cacheField>
    <cacheField name="data type" numFmtId="0">
      <sharedItems count="2">
        <s v="literature"/>
        <s v="density prox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ing Huo" refreshedDate="45348.793102430558" createdVersion="6" refreshedVersion="6" minRefreshableVersion="3" recordCount="64">
  <cacheSource type="worksheet">
    <worksheetSource name="Table5"/>
  </cacheSource>
  <cacheFields count="7">
    <cacheField name="sector" numFmtId="0">
      <sharedItems count="6">
        <s v="agriculture"/>
        <s v="automotive and transport"/>
        <s v="building and construction"/>
        <s v="consumer goods"/>
        <s v="packaging"/>
        <s v="textiles"/>
      </sharedItems>
    </cacheField>
    <cacheField name="subsector" numFmtId="0">
      <sharedItems count="15">
        <s v="Mulch_film"/>
        <s v="Interior panels"/>
        <s v="Insulation material"/>
        <s v="Other consumer products"/>
        <s v="Medical and hygiene items"/>
        <s v="Food_packaging_film"/>
        <s v="Non_food_film"/>
        <s v="Consumer non-food bags"/>
        <s v="Beverage bottles"/>
        <s v="Containers_food"/>
        <s v="Containers_non-food"/>
        <s v="Non-consumer packaging rigids"/>
        <s v="Trays for food"/>
        <s v="Food other"/>
        <s v="Textiles"/>
      </sharedItems>
    </cacheField>
    <cacheField name="bio-based_plastics" numFmtId="0">
      <sharedItems count="12">
        <s v="45%PLA+55%PBAT"/>
        <s v="PBAT"/>
        <s v="PBS"/>
        <s v="PLA"/>
        <s v="PHB"/>
        <s v="70%PLA+30%PBAT"/>
        <s v="50%PBS+50%PBAT"/>
        <s v="PEF"/>
        <s v="36%PLA+64%PBS"/>
        <s v="80%PLA+20%PBS"/>
        <s v="65%PBS+35%PLA"/>
        <s v="70%PBS+30%PLA"/>
      </sharedItems>
    </cacheField>
    <cacheField name="traditional_plastics" numFmtId="0">
      <sharedItems count="8">
        <s v="LDPE"/>
        <s v="PP"/>
        <s v="EPS"/>
        <s v="PUR_rigid"/>
        <s v="HDPE"/>
        <s v="PET"/>
        <s v="GPPS"/>
        <s v="HIPS"/>
      </sharedItems>
    </cacheField>
    <cacheField name="data_type" numFmtId="0">
      <sharedItems/>
    </cacheField>
    <cacheField name="substitution_factor" numFmtId="0">
      <sharedItems containsSemiMixedTypes="0" containsString="0" containsNumber="1" minValue="0.56451124174292477" maxValue="5.161290322580645"/>
    </cacheField>
    <cacheField name="includ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
  <r>
    <x v="0"/>
    <x v="0"/>
    <m/>
    <n v="0.79999999999999993"/>
    <x v="0"/>
    <n v="2022"/>
    <s v="20% potential material saving due to improved mechanical and barrier properties"/>
    <m/>
    <s v="packaging_soft_drink_containers"/>
    <x v="0"/>
    <x v="0"/>
    <x v="0"/>
  </r>
  <r>
    <x v="1"/>
    <x v="0"/>
    <n v="0.9051094890510949"/>
    <n v="0.97021276595744688"/>
    <x v="1"/>
    <n v="2021"/>
    <s v="23.5kg PET, 22.8kg PLA"/>
    <m/>
    <s v="packaging_soft_drink_containers"/>
    <x v="0"/>
    <x v="0"/>
    <x v="0"/>
  </r>
  <r>
    <x v="1"/>
    <x v="0"/>
    <n v="0.9051094890510949"/>
    <n v="0.59057591623036643"/>
    <x v="2"/>
    <n v="2021"/>
    <m/>
    <m/>
    <s v="packaging_soft_drink_containers"/>
    <x v="0"/>
    <x v="0"/>
    <x v="0"/>
  </r>
  <r>
    <x v="1"/>
    <x v="0"/>
    <n v="0.9051094890510949"/>
    <n v="1"/>
    <x v="3"/>
    <n v="2010"/>
    <n v="12.58"/>
    <m/>
    <s v="packaging_soft_drink_containers"/>
    <x v="0"/>
    <x v="0"/>
    <x v="0"/>
  </r>
  <r>
    <x v="1"/>
    <x v="0"/>
    <n v="0.9051094890510949"/>
    <n v="1.0055350553505535"/>
    <x v="4"/>
    <n v="2014"/>
    <m/>
    <m/>
    <s v="packaging_soft_drink_containers"/>
    <x v="0"/>
    <x v="0"/>
    <x v="0"/>
  </r>
  <r>
    <x v="2"/>
    <x v="1"/>
    <n v="1.3695652173913044"/>
    <n v="0.97826086956521729"/>
    <x v="5"/>
    <n v="2023"/>
    <s v="PE: 14μm (better collection and recycling), PBAT: 10μm (soil biodegradation)"/>
    <m/>
    <s v="agriculture_mulch_film"/>
    <x v="1"/>
    <x v="1"/>
    <x v="0"/>
  </r>
  <r>
    <x v="3"/>
    <x v="2"/>
    <e v="#N/A"/>
    <n v="0.82162162162162167"/>
    <x v="6"/>
    <n v="2020"/>
    <s v="The mulch film was synthesised from bio-based polylactic acid (PLA) (45%) and a co-polymer (55%) with UV-stabilisers and carbon black which is 0.015 mm thick (to enable biodegradation) with a density of 0.8 kg L−1. The baseline competitor, LLDPE mulch film, was synthesised from fossil-derived LLDPE, containing the same additives with an average thickness of 0.025 mm (to enable removal after use) and a density of 0.925 kg L. Functional unit (1 ha of mulched agricultural land). Mass of the PLA based mulch film: 152 kg functional per unit; mass of the LLDPE film = 185 kg functional per unit.U"/>
    <m/>
    <s v="agriculture_mulch_film"/>
    <x v="1"/>
    <x v="1"/>
    <x v="0"/>
  </r>
  <r>
    <x v="4"/>
    <x v="1"/>
    <e v="#N/A"/>
    <n v="1.0135135135135136"/>
    <x v="7"/>
    <n v="2024"/>
    <s v="PE: 20μm PBAT: 15μm, blend with starch"/>
    <m/>
    <s v="agriculture_mulch_film"/>
    <x v="1"/>
    <x v="1"/>
    <x v="0"/>
  </r>
  <r>
    <x v="1"/>
    <x v="1"/>
    <n v="1.3478260869565217"/>
    <n v="1"/>
    <x v="8"/>
    <n v="2024"/>
    <s v="both 480kg/ha"/>
    <m/>
    <s v="agriculture_mulch_film"/>
    <x v="1"/>
    <x v="1"/>
    <x v="0"/>
  </r>
  <r>
    <x v="2"/>
    <x v="1"/>
    <n v="1.3695652173913044"/>
    <n v="0.72666666666666668"/>
    <x v="9"/>
    <n v="2014"/>
    <s v="150kg vs 109 kg"/>
    <m/>
    <s v="agriculture_mulch_film"/>
    <x v="1"/>
    <x v="1"/>
    <x v="0"/>
  </r>
  <r>
    <x v="5"/>
    <x v="1"/>
    <n v="1.3586956521739131"/>
    <n v="1"/>
    <x v="10"/>
    <n v="2018"/>
    <s v="The chosen functional unit of 1 kg of product can be questioned in view of the different properties of the polymers, typically leading to some differences in the quantities of materials needed to make functionally equivalent products. At the time of writing, there were no prototypes of 2G PBS trays or films that had been fully tested against the incumbents mentioned in this paper. We therefore choose one mass unit (1 kg) as a functional unit."/>
    <m/>
    <s v="agriculture_mulch_film"/>
    <x v="1"/>
    <x v="1"/>
    <x v="0"/>
  </r>
  <r>
    <x v="1"/>
    <x v="0"/>
    <n v="0.9051094890510949"/>
    <n v="1.0837378640776698"/>
    <x v="11"/>
    <n v="2021"/>
    <m/>
    <m/>
    <s v="packaging_milk_containers"/>
    <x v="0"/>
    <x v="0"/>
    <x v="0"/>
  </r>
  <r>
    <x v="1"/>
    <x v="3"/>
    <n v="1.3011542497376705"/>
    <n v="0.79746835443037967"/>
    <x v="12"/>
    <n v="2021"/>
    <m/>
    <m/>
    <s v="packaging_milk_containers"/>
    <x v="0"/>
    <x v="0"/>
    <x v="0"/>
  </r>
  <r>
    <x v="1"/>
    <x v="0"/>
    <n v="0.9051094890510949"/>
    <n v="1"/>
    <x v="12"/>
    <n v="2021"/>
    <m/>
    <m/>
    <s v="packaging_milk_containers"/>
    <x v="0"/>
    <x v="0"/>
    <x v="0"/>
  </r>
  <r>
    <x v="6"/>
    <x v="3"/>
    <e v="#N/A"/>
    <n v="1.8597902097902097"/>
    <x v="13"/>
    <n v="2022"/>
    <s v="PE: 24μm"/>
    <m/>
    <s v="carrier bags"/>
    <x v="2"/>
    <x v="2"/>
    <x v="0"/>
  </r>
  <r>
    <x v="7"/>
    <x v="3"/>
    <e v="#N/A"/>
    <n v="0.76090909090909098"/>
    <x v="13"/>
    <n v="2022"/>
    <m/>
    <m/>
    <s v="carrier bags"/>
    <x v="2"/>
    <x v="2"/>
    <x v="0"/>
  </r>
  <r>
    <x v="8"/>
    <x v="4"/>
    <n v="1.3774104683195592"/>
    <n v="1.8428571428571425"/>
    <x v="14"/>
    <n v="2010"/>
    <s v="bio-bag has lower carrying capacity"/>
    <m/>
    <s v="carrier bags"/>
    <x v="2"/>
    <x v="2"/>
    <x v="0"/>
  </r>
  <r>
    <x v="1"/>
    <x v="3"/>
    <n v="1.3011542497376705"/>
    <n v="1.77116704805492"/>
    <x v="15"/>
    <n v="2019"/>
    <m/>
    <m/>
    <s v="carrier bags"/>
    <x v="2"/>
    <x v="2"/>
    <x v="0"/>
  </r>
  <r>
    <x v="1"/>
    <x v="5"/>
    <n v="1.1588785046728971"/>
    <n v="1"/>
    <x v="16"/>
    <n v="2015"/>
    <m/>
    <m/>
    <s v="cups"/>
    <x v="3"/>
    <x v="0"/>
    <x v="0"/>
  </r>
  <r>
    <x v="1"/>
    <x v="6"/>
    <n v="1.180952380952381"/>
    <n v="1.1834862385321101"/>
    <x v="17"/>
    <n v="2018"/>
    <m/>
    <m/>
    <s v="dinner plate"/>
    <x v="3"/>
    <x v="0"/>
    <x v="0"/>
  </r>
  <r>
    <x v="1"/>
    <x v="0"/>
    <n v="0.9051094890510949"/>
    <n v="0.9051094890510949"/>
    <x v="18"/>
    <m/>
    <m/>
    <s v="based on density"/>
    <m/>
    <x v="2"/>
    <x v="2"/>
    <x v="1"/>
  </r>
  <r>
    <x v="1"/>
    <x v="5"/>
    <n v="1.1588785046728971"/>
    <n v="1.3351206434316354"/>
    <x v="19"/>
    <n v="2016"/>
    <m/>
    <m/>
    <s v="food box"/>
    <x v="4"/>
    <x v="0"/>
    <x v="0"/>
  </r>
  <r>
    <x v="1"/>
    <x v="0"/>
    <n v="0.9051094890510949"/>
    <n v="1.0253946465339738"/>
    <x v="19"/>
    <n v="2016"/>
    <m/>
    <m/>
    <s v="food box"/>
    <x v="4"/>
    <x v="0"/>
    <x v="0"/>
  </r>
  <r>
    <x v="9"/>
    <x v="7"/>
    <n v="5.161290322580645"/>
    <n v="1.404040404040404"/>
    <x v="20"/>
    <n v="2019"/>
    <s v="extruded ps foam"/>
    <m/>
    <s v="meat trays"/>
    <x v="5"/>
    <x v="0"/>
    <x v="0"/>
  </r>
  <r>
    <x v="1"/>
    <x v="4"/>
    <n v="1.3663911845730028"/>
    <n v="1.1680672268907564"/>
    <x v="20"/>
    <n v="2019"/>
    <m/>
    <m/>
    <s v="meat trays"/>
    <x v="5"/>
    <x v="0"/>
    <x v="0"/>
  </r>
  <r>
    <x v="1"/>
    <x v="0"/>
    <n v="0.9051094890510949"/>
    <n v="0.75420510037981559"/>
    <x v="20"/>
    <n v="2019"/>
    <m/>
    <m/>
    <s v="meat trays"/>
    <x v="5"/>
    <x v="0"/>
    <x v="0"/>
  </r>
  <r>
    <x v="1"/>
    <x v="4"/>
    <n v="1.3663911845730028"/>
    <n v="1.1794871794871795"/>
    <x v="21"/>
    <n v="2021"/>
    <m/>
    <m/>
    <s v="disposable cups"/>
    <x v="3"/>
    <x v="0"/>
    <x v="0"/>
  </r>
  <r>
    <x v="1"/>
    <x v="0"/>
    <n v="0.9051094890510949"/>
    <n v="0.83636363636363631"/>
    <x v="21"/>
    <n v="2021"/>
    <m/>
    <m/>
    <s v="disposable cups"/>
    <x v="3"/>
    <x v="0"/>
    <x v="0"/>
  </r>
  <r>
    <x v="10"/>
    <x v="4"/>
    <e v="#N/A"/>
    <n v="0.86"/>
    <x v="22"/>
    <n v="2022"/>
    <m/>
    <m/>
    <s v="disposable plates"/>
    <x v="3"/>
    <x v="0"/>
    <x v="0"/>
  </r>
  <r>
    <x v="11"/>
    <x v="4"/>
    <e v="#N/A"/>
    <n v="0.73333333333333339"/>
    <x v="22"/>
    <n v="2022"/>
    <m/>
    <m/>
    <s v="disposable cups"/>
    <x v="3"/>
    <x v="0"/>
    <x v="0"/>
  </r>
  <r>
    <x v="12"/>
    <x v="4"/>
    <e v="#N/A"/>
    <n v="1"/>
    <x v="22"/>
    <n v="2022"/>
    <m/>
    <m/>
    <s v="disposable cutlery"/>
    <x v="3"/>
    <x v="0"/>
    <x v="0"/>
  </r>
  <r>
    <x v="10"/>
    <x v="8"/>
    <e v="#N/A"/>
    <n v="0.86"/>
    <x v="22"/>
    <n v="2022"/>
    <m/>
    <m/>
    <s v="disposable plates"/>
    <x v="3"/>
    <x v="0"/>
    <x v="0"/>
  </r>
  <r>
    <x v="11"/>
    <x v="6"/>
    <e v="#N/A"/>
    <n v="0.73333333333333339"/>
    <x v="22"/>
    <n v="2022"/>
    <m/>
    <m/>
    <s v="disposable cups"/>
    <x v="3"/>
    <x v="0"/>
    <x v="0"/>
  </r>
  <r>
    <x v="12"/>
    <x v="6"/>
    <e v="#N/A"/>
    <n v="1"/>
    <x v="22"/>
    <n v="2022"/>
    <m/>
    <m/>
    <s v="disposable cutlery"/>
    <x v="3"/>
    <x v="0"/>
    <x v="0"/>
  </r>
  <r>
    <x v="1"/>
    <x v="5"/>
    <n v="1.1588785046728971"/>
    <n v="1.3333333333333333"/>
    <x v="23"/>
    <n v="2020"/>
    <m/>
    <s v="UNEP meta analysis"/>
    <s v="food box"/>
    <x v="4"/>
    <x v="0"/>
    <x v="0"/>
  </r>
  <r>
    <x v="9"/>
    <x v="7"/>
    <n v="5.161290322580645"/>
    <n v="2.4114832535885169"/>
    <x v="23"/>
    <n v="2020"/>
    <m/>
    <m/>
    <s v="single-use food trays for fruit and vegetables"/>
    <x v="5"/>
    <x v="0"/>
    <x v="0"/>
  </r>
  <r>
    <x v="1"/>
    <x v="6"/>
    <n v="1.180952380952381"/>
    <n v="1.2086330935251797"/>
    <x v="23"/>
    <n v="2020"/>
    <m/>
    <s v="oriented polystyrene"/>
    <s v="single-use food trays for fruit and vegetables"/>
    <x v="5"/>
    <x v="0"/>
    <x v="0"/>
  </r>
  <r>
    <x v="1"/>
    <x v="0"/>
    <n v="0.9051094890510949"/>
    <n v="0.92817679558011057"/>
    <x v="23"/>
    <n v="2020"/>
    <m/>
    <m/>
    <s v="single-use food trays for fruit and vegetables"/>
    <x v="5"/>
    <x v="0"/>
    <x v="0"/>
  </r>
  <r>
    <x v="1"/>
    <x v="4"/>
    <n v="1.3663911845730028"/>
    <n v="1.2727272727272727"/>
    <x v="23"/>
    <n v="2020"/>
    <m/>
    <m/>
    <s v="single-use food trays for fruit and vegetables"/>
    <x v="5"/>
    <x v="0"/>
    <x v="0"/>
  </r>
  <r>
    <x v="1"/>
    <x v="5"/>
    <n v="1.1588785046728971"/>
    <n v="1.3465346534653466"/>
    <x v="24"/>
    <n v="2018"/>
    <m/>
    <m/>
    <s v="single-use cutlery"/>
    <x v="3"/>
    <x v="0"/>
    <x v="0"/>
  </r>
  <r>
    <x v="1"/>
    <x v="0"/>
    <n v="0.9051094890510949"/>
    <n v="0.83303085299455537"/>
    <x v="24"/>
    <n v="2018"/>
    <m/>
    <m/>
    <s v="single-use cups for cold drinks"/>
    <x v="3"/>
    <x v="0"/>
    <x v="0"/>
  </r>
  <r>
    <x v="1"/>
    <x v="4"/>
    <n v="1.3663911845730028"/>
    <n v="1.1829896907216495"/>
    <x v="24"/>
    <n v="2018"/>
    <m/>
    <m/>
    <s v="single-use cups for cold drinks"/>
    <x v="3"/>
    <x v="0"/>
    <x v="0"/>
  </r>
  <r>
    <x v="1"/>
    <x v="4"/>
    <n v="1.3663911845730028"/>
    <n v="1"/>
    <x v="24"/>
    <n v="2018"/>
    <m/>
    <m/>
    <s v="food packaging film"/>
    <x v="6"/>
    <x v="2"/>
    <x v="0"/>
  </r>
  <r>
    <x v="1"/>
    <x v="0"/>
    <n v="0.9051094890510949"/>
    <n v="0.90322580645161288"/>
    <x v="25"/>
    <n v="2009"/>
    <m/>
    <m/>
    <s v="single-use cups for cold drinks"/>
    <x v="3"/>
    <x v="0"/>
    <x v="0"/>
  </r>
  <r>
    <x v="1"/>
    <x v="4"/>
    <n v="1.3663911845730028"/>
    <n v="1.080663836356619"/>
    <x v="25"/>
    <n v="2009"/>
    <m/>
    <m/>
    <s v="single-use cups for cold drinks"/>
    <x v="3"/>
    <x v="0"/>
    <x v="0"/>
  </r>
  <r>
    <x v="1"/>
    <x v="4"/>
    <n v="1.3663911845730028"/>
    <n v="1.1278481012658228"/>
    <x v="26"/>
    <n v="2004"/>
    <m/>
    <m/>
    <s v="yogurt cup"/>
    <x v="3"/>
    <x v="0"/>
    <x v="0"/>
  </r>
  <r>
    <x v="13"/>
    <x v="4"/>
    <e v="#N/A"/>
    <n v="1.3666666666666665"/>
    <x v="27"/>
    <n v="2014"/>
    <m/>
    <m/>
    <s v="straw"/>
    <x v="3"/>
    <x v="0"/>
    <x v="0"/>
  </r>
  <r>
    <x v="14"/>
    <x v="4"/>
    <e v="#N/A"/>
    <n v="1.3666666666666665"/>
    <x v="27"/>
    <n v="2014"/>
    <m/>
    <m/>
    <s v="straw"/>
    <x v="3"/>
    <x v="0"/>
    <x v="0"/>
  </r>
  <r>
    <x v="1"/>
    <x v="9"/>
    <n v="1.2097560975609756"/>
    <n v="1.0909090909090908"/>
    <x v="28"/>
    <n v="2016"/>
    <m/>
    <m/>
    <s v="non-fire-retardant printer panel, injection moulded"/>
    <x v="7"/>
    <x v="3"/>
    <x v="0"/>
  </r>
  <r>
    <x v="1"/>
    <x v="5"/>
    <n v="1.1588785046728971"/>
    <n v="4.7333333333333334"/>
    <x v="29"/>
    <n v="2017"/>
    <m/>
    <m/>
    <s v="food box"/>
    <x v="4"/>
    <x v="0"/>
    <x v="0"/>
  </r>
  <r>
    <x v="5"/>
    <x v="5"/>
    <n v="1.1682242990654206"/>
    <n v="3.5777777777777779"/>
    <x v="29"/>
    <n v="2017"/>
    <m/>
    <m/>
    <s v="food box"/>
    <x v="4"/>
    <x v="0"/>
    <x v="0"/>
  </r>
  <r>
    <x v="1"/>
    <x v="1"/>
    <n v="1.3478260869565217"/>
    <n v="1.3623188405797102"/>
    <x v="30"/>
    <n v="2013"/>
    <m/>
    <m/>
    <s v="food packaging film"/>
    <x v="6"/>
    <x v="2"/>
    <x v="0"/>
  </r>
  <r>
    <x v="9"/>
    <x v="7"/>
    <n v="5.161290322580645"/>
    <n v="0.99"/>
    <x v="31"/>
    <n v="2015"/>
    <m/>
    <m/>
    <s v="foam for consumer goods"/>
    <x v="8"/>
    <x v="4"/>
    <x v="0"/>
  </r>
  <r>
    <x v="1"/>
    <x v="0"/>
    <n v="0.9051094890510949"/>
    <n v="1"/>
    <x v="3"/>
    <n v="2010"/>
    <m/>
    <m/>
    <s v="water bottle"/>
    <x v="0"/>
    <x v="0"/>
    <x v="0"/>
  </r>
  <r>
    <x v="1"/>
    <x v="4"/>
    <n v="1.3663911845730028"/>
    <n v="0.9285714285714286"/>
    <x v="32"/>
    <n v="1997"/>
    <s v="Life-cycle assessment,_x000a_comparison of biopolymer and traditional diaper systems. VTT Research Notes 1876."/>
    <m/>
    <s v="diaper"/>
    <x v="9"/>
    <x v="4"/>
    <x v="0"/>
  </r>
  <r>
    <x v="1"/>
    <x v="5"/>
    <n v="1.1588785046728971"/>
    <n v="1.265033407572383"/>
    <x v="33"/>
    <n v="2017"/>
    <m/>
    <m/>
    <s v="single-use food trays for fruit and vegetables"/>
    <x v="5"/>
    <x v="0"/>
    <x v="0"/>
  </r>
  <r>
    <x v="1"/>
    <x v="0"/>
    <n v="0.9051094890510949"/>
    <n v="0.99280575539568339"/>
    <x v="34"/>
    <n v="2017"/>
    <m/>
    <m/>
    <s v="container for fresh food"/>
    <x v="4"/>
    <x v="0"/>
    <x v="0"/>
  </r>
  <r>
    <x v="1"/>
    <x v="5"/>
    <n v="1.1588785046728971"/>
    <n v="1.2231404958677687"/>
    <x v="35"/>
    <n v="2009"/>
    <m/>
    <m/>
    <s v="clamshells containers"/>
    <x v="4"/>
    <x v="0"/>
    <x v="0"/>
  </r>
  <r>
    <x v="1"/>
    <x v="0"/>
    <n v="0.9051094890510949"/>
    <n v="0.90948905109489053"/>
    <x v="35"/>
    <n v="2009"/>
    <s v="assume density"/>
    <m/>
    <s v="clamshells containers"/>
    <x v="4"/>
    <x v="0"/>
    <x v="0"/>
  </r>
  <r>
    <x v="1"/>
    <x v="10"/>
    <e v="#N/A"/>
    <n v="0.65159574468085102"/>
    <x v="36"/>
    <n v="2016"/>
    <m/>
    <m/>
    <s v="laptop covers"/>
    <x v="7"/>
    <x v="3"/>
    <x v="0"/>
  </r>
  <r>
    <x v="1"/>
    <x v="5"/>
    <n v="1.1588785046728971"/>
    <n v="1"/>
    <x v="16"/>
    <n v="2015"/>
    <m/>
    <m/>
    <s v="single-use cups for hot drinks"/>
    <x v="3"/>
    <x v="0"/>
    <x v="0"/>
  </r>
  <r>
    <x v="1"/>
    <x v="5"/>
    <n v="1.1588785046728971"/>
    <n v="1.1904761904761905"/>
    <x v="37"/>
    <n v="2008"/>
    <m/>
    <m/>
    <s v="disposable cups"/>
    <x v="3"/>
    <x v="0"/>
    <x v="0"/>
  </r>
  <r>
    <x v="1"/>
    <x v="4"/>
    <n v="1.3663911845730028"/>
    <n v="1"/>
    <x v="38"/>
    <n v="2017"/>
    <m/>
    <m/>
    <s v="aircraft panel"/>
    <x v="10"/>
    <x v="5"/>
    <x v="0"/>
  </r>
  <r>
    <x v="8"/>
    <x v="4"/>
    <n v="1.3774104683195592"/>
    <n v="1.3885714285714283"/>
    <x v="39"/>
    <n v="2005"/>
    <m/>
    <m/>
    <s v="injection moulding food packaging"/>
    <x v="5"/>
    <x v="0"/>
    <x v="0"/>
  </r>
  <r>
    <x v="15"/>
    <x v="4"/>
    <e v="#N/A"/>
    <n v="1.5592592592592591"/>
    <x v="40"/>
    <m/>
    <m/>
    <s v="material indices, based on tensile strength and density"/>
    <m/>
    <x v="6"/>
    <x v="2"/>
    <x v="0"/>
  </r>
  <r>
    <x v="15"/>
    <x v="1"/>
    <e v="#N/A"/>
    <n v="0.79734848484848475"/>
    <x v="40"/>
    <m/>
    <m/>
    <s v="material indices, based on tensile strength and density"/>
    <m/>
    <x v="6"/>
    <x v="2"/>
    <x v="0"/>
  </r>
  <r>
    <x v="5"/>
    <x v="0"/>
    <n v="0.91240875912408759"/>
    <n v="0.56451124174292477"/>
    <x v="40"/>
    <m/>
    <m/>
    <s v="based on density and oxygen transmission rate"/>
    <m/>
    <x v="5"/>
    <x v="0"/>
    <x v="0"/>
  </r>
  <r>
    <x v="5"/>
    <x v="4"/>
    <n v="1.3774104683195592"/>
    <n v="0.8656258712015612"/>
    <x v="40"/>
    <m/>
    <m/>
    <s v="based on density and oxygen transmission rate"/>
    <m/>
    <x v="5"/>
    <x v="0"/>
    <x v="0"/>
  </r>
  <r>
    <x v="5"/>
    <x v="4"/>
    <n v="1.3774104683195592"/>
    <n v="1.375"/>
    <x v="40"/>
    <m/>
    <m/>
    <s v="based on density"/>
    <m/>
    <x v="10"/>
    <x v="5"/>
    <x v="1"/>
  </r>
  <r>
    <x v="1"/>
    <x v="0"/>
    <n v="0.9051094890510949"/>
    <n v="0.9051094890510949"/>
    <x v="18"/>
    <m/>
    <m/>
    <s v="based on density"/>
    <m/>
    <x v="6"/>
    <x v="2"/>
    <x v="1"/>
  </r>
  <r>
    <x v="1"/>
    <x v="4"/>
    <n v="1.3663911845730028"/>
    <n v="1.3663911845730028"/>
    <x v="18"/>
    <m/>
    <m/>
    <s v="based on density"/>
    <m/>
    <x v="11"/>
    <x v="1"/>
    <x v="1"/>
  </r>
  <r>
    <x v="1"/>
    <x v="3"/>
    <n v="1.3011542497376705"/>
    <n v="1.3011542497376705"/>
    <x v="18"/>
    <m/>
    <m/>
    <s v="based on density"/>
    <m/>
    <x v="11"/>
    <x v="1"/>
    <x v="1"/>
  </r>
  <r>
    <x v="1"/>
    <x v="4"/>
    <n v="1.3663911845730028"/>
    <n v="1.3663911845730028"/>
    <x v="18"/>
    <m/>
    <m/>
    <s v="based on density"/>
    <m/>
    <x v="11"/>
    <x v="1"/>
    <x v="1"/>
  </r>
  <r>
    <x v="8"/>
    <x v="4"/>
    <n v="1.3774104683195592"/>
    <n v="1.3774104683195592"/>
    <x v="18"/>
    <m/>
    <m/>
    <s v="based on density"/>
    <m/>
    <x v="12"/>
    <x v="5"/>
    <x v="1"/>
  </r>
  <r>
    <x v="9"/>
    <x v="11"/>
    <n v="2.4615384615384617"/>
    <n v="2.4615384615384617"/>
    <x v="18"/>
    <m/>
    <m/>
    <s v="based on density"/>
    <m/>
    <x v="13"/>
    <x v="6"/>
    <x v="1"/>
  </r>
  <r>
    <x v="9"/>
    <x v="7"/>
    <n v="5.161290322580645"/>
    <n v="5.161290322580645"/>
    <x v="18"/>
    <m/>
    <m/>
    <s v="based on density"/>
    <m/>
    <x v="13"/>
    <x v="6"/>
    <x v="1"/>
  </r>
  <r>
    <x v="8"/>
    <x v="3"/>
    <n v="1.3116474291710387"/>
    <n v="1.3116474291710387"/>
    <x v="18"/>
    <m/>
    <m/>
    <s v="based on density"/>
    <s v="sanitary towels"/>
    <x v="9"/>
    <x v="4"/>
    <x v="1"/>
  </r>
  <r>
    <x v="8"/>
    <x v="4"/>
    <n v="1.3774104683195592"/>
    <n v="1.3774104683195592"/>
    <x v="18"/>
    <m/>
    <m/>
    <s v="based on density"/>
    <s v="sanitary towels"/>
    <x v="9"/>
    <x v="4"/>
    <x v="1"/>
  </r>
  <r>
    <x v="1"/>
    <x v="3"/>
    <n v="1.3011542497376705"/>
    <n v="1.3011542497376705"/>
    <x v="18"/>
    <m/>
    <m/>
    <s v="based on density"/>
    <s v="sanitary towels"/>
    <x v="9"/>
    <x v="4"/>
    <x v="1"/>
  </r>
  <r>
    <x v="1"/>
    <x v="4"/>
    <n v="1.3663911845730028"/>
    <n v="1.3663911845730028"/>
    <x v="18"/>
    <m/>
    <m/>
    <s v="based on density"/>
    <s v="sanitary towels"/>
    <x v="9"/>
    <x v="4"/>
    <x v="1"/>
  </r>
  <r>
    <x v="8"/>
    <x v="3"/>
    <n v="1.3116474291710387"/>
    <n v="1.3116474291710387"/>
    <x v="18"/>
    <m/>
    <m/>
    <s v="based on density"/>
    <s v="wipes"/>
    <x v="9"/>
    <x v="4"/>
    <x v="1"/>
  </r>
  <r>
    <x v="8"/>
    <x v="4"/>
    <n v="1.3774104683195592"/>
    <n v="1.3774104683195592"/>
    <x v="18"/>
    <m/>
    <m/>
    <s v="based on density"/>
    <s v="wipes"/>
    <x v="9"/>
    <x v="4"/>
    <x v="1"/>
  </r>
  <r>
    <x v="1"/>
    <x v="3"/>
    <n v="1.3011542497376705"/>
    <n v="1.3011542497376705"/>
    <x v="18"/>
    <m/>
    <m/>
    <s v="based on density"/>
    <s v="wipes"/>
    <x v="9"/>
    <x v="4"/>
    <x v="1"/>
  </r>
  <r>
    <x v="1"/>
    <x v="4"/>
    <n v="1.3663911845730028"/>
    <n v="1.3663911845730028"/>
    <x v="18"/>
    <m/>
    <m/>
    <s v="based on density"/>
    <s v="wipes"/>
    <x v="9"/>
    <x v="4"/>
    <x v="1"/>
  </r>
  <r>
    <x v="16"/>
    <x v="12"/>
    <e v="#N/A"/>
    <n v="1.200109950522265"/>
    <x v="41"/>
    <n v="2017"/>
    <m/>
    <m/>
    <s v="garbage bags"/>
    <x v="2"/>
    <x v="2"/>
    <x v="0"/>
  </r>
  <r>
    <x v="1"/>
    <x v="1"/>
    <n v="1.3478260869565217"/>
    <n v="1.3478260869565217"/>
    <x v="18"/>
    <m/>
    <m/>
    <s v="based on density"/>
    <s v="garbage bags"/>
    <x v="2"/>
    <x v="2"/>
    <x v="1"/>
  </r>
  <r>
    <x v="1"/>
    <x v="4"/>
    <n v="1.3663911845730028"/>
    <n v="1.1666666666666667"/>
    <x v="17"/>
    <n v="2018"/>
    <m/>
    <m/>
    <s v="tableware envelope"/>
    <x v="14"/>
    <x v="2"/>
    <x v="0"/>
  </r>
  <r>
    <x v="1"/>
    <x v="4"/>
    <n v="1.3663911845730028"/>
    <n v="1.3663911845730028"/>
    <x v="18"/>
    <m/>
    <m/>
    <s v="based on density"/>
    <m/>
    <x v="4"/>
    <x v="0"/>
    <x v="1"/>
  </r>
  <r>
    <x v="1"/>
    <x v="0"/>
    <n v="0.9051094890510949"/>
    <n v="0.9051094890510949"/>
    <x v="18"/>
    <m/>
    <m/>
    <s v="based on density"/>
    <m/>
    <x v="15"/>
    <x v="0"/>
    <x v="1"/>
  </r>
  <r>
    <x v="1"/>
    <x v="5"/>
    <n v="1.1588785046728971"/>
    <n v="1.1588785046728971"/>
    <x v="18"/>
    <m/>
    <m/>
    <s v="based on density"/>
    <m/>
    <x v="15"/>
    <x v="0"/>
    <x v="1"/>
  </r>
  <r>
    <x v="9"/>
    <x v="7"/>
    <n v="5.161290322580645"/>
    <n v="5.161290322580645"/>
    <x v="18"/>
    <m/>
    <m/>
    <s v="based on density"/>
    <s v="cups"/>
    <x v="3"/>
    <x v="0"/>
    <x v="1"/>
  </r>
  <r>
    <x v="1"/>
    <x v="3"/>
    <n v="1.3011542497376705"/>
    <n v="1.3011542497376705"/>
    <x v="18"/>
    <m/>
    <m/>
    <s v="based on density"/>
    <s v="cups"/>
    <x v="3"/>
    <x v="0"/>
    <x v="1"/>
  </r>
  <r>
    <x v="9"/>
    <x v="7"/>
    <n v="5.161290322580645"/>
    <n v="5.161290322580645"/>
    <x v="18"/>
    <m/>
    <m/>
    <s v="based on density"/>
    <m/>
    <x v="16"/>
    <x v="0"/>
    <x v="1"/>
  </r>
  <r>
    <x v="8"/>
    <x v="4"/>
    <n v="1.3774104683195592"/>
    <n v="1.3774104683195592"/>
    <x v="18"/>
    <m/>
    <m/>
    <s v="based on density"/>
    <s v="tableware"/>
    <x v="3"/>
    <x v="0"/>
    <x v="1"/>
  </r>
  <r>
    <x v="8"/>
    <x v="5"/>
    <n v="1.1682242990654206"/>
    <n v="1.1682242990654206"/>
    <x v="18"/>
    <m/>
    <m/>
    <s v="based on density"/>
    <s v="tableware"/>
    <x v="3"/>
    <x v="0"/>
    <x v="1"/>
  </r>
  <r>
    <x v="8"/>
    <x v="5"/>
    <n v="1.1682242990654206"/>
    <n v="1.1682242990654206"/>
    <x v="18"/>
    <m/>
    <m/>
    <s v="based on density"/>
    <m/>
    <x v="5"/>
    <x v="0"/>
    <x v="1"/>
  </r>
  <r>
    <x v="1"/>
    <x v="0"/>
    <n v="0.9051094890510949"/>
    <n v="0.9051094890510949"/>
    <x v="18"/>
    <m/>
    <m/>
    <s v="based on density"/>
    <m/>
    <x v="17"/>
    <x v="7"/>
    <x v="1"/>
  </r>
  <r>
    <x v="1"/>
    <x v="4"/>
    <n v="1.3663911845730028"/>
    <n v="1.3663911845730028"/>
    <x v="18"/>
    <m/>
    <m/>
    <s v="based on density"/>
    <m/>
    <x v="17"/>
    <x v="7"/>
    <x v="1"/>
  </r>
  <r>
    <x v="1"/>
    <x v="3"/>
    <n v="1.3011542497376705"/>
    <n v="1.3011542497376705"/>
    <x v="18"/>
    <m/>
    <m/>
    <s v="based on density"/>
    <m/>
    <x v="17"/>
    <x v="7"/>
    <x v="1"/>
  </r>
  <r>
    <x v="1"/>
    <x v="1"/>
    <n v="1.3478260869565217"/>
    <n v="1.3478260869565217"/>
    <x v="18"/>
    <m/>
    <m/>
    <s v="based on density"/>
    <m/>
    <x v="17"/>
    <x v="7"/>
    <x v="1"/>
  </r>
  <r>
    <x v="1"/>
    <x v="9"/>
    <e v="#N/A"/>
    <n v="0.65159574468085102"/>
    <x v="36"/>
    <n v="2016"/>
    <m/>
    <m/>
    <s v="laptop covers"/>
    <x v="7"/>
    <x v="3"/>
    <x v="0"/>
  </r>
  <r>
    <x v="1"/>
    <x v="1"/>
    <n v="1.3663911845730028"/>
    <n v="0.9285714285714286"/>
    <x v="32"/>
    <n v="1997"/>
    <s v="Life-cycle assessment,_x000a_comparison of biopolymer and traditional diaper systems. VTT Research Notes 1876."/>
    <m/>
    <s v="diaper"/>
    <x v="9"/>
    <x v="4"/>
    <x v="0"/>
  </r>
</pivotCacheRecords>
</file>

<file path=xl/pivotCache/pivotCacheRecords2.xml><?xml version="1.0" encoding="utf-8"?>
<pivotCacheRecords xmlns="http://schemas.openxmlformats.org/spreadsheetml/2006/main" xmlns:r="http://schemas.openxmlformats.org/officeDocument/2006/relationships" count="64">
  <r>
    <x v="0"/>
    <x v="0"/>
    <x v="0"/>
    <x v="0"/>
    <s v="literature"/>
    <n v="0.82162162162162167"/>
    <s v="yes"/>
  </r>
  <r>
    <x v="0"/>
    <x v="0"/>
    <x v="1"/>
    <x v="0"/>
    <s v="literature"/>
    <n v="0.85246376811594193"/>
    <s v="yes"/>
  </r>
  <r>
    <x v="0"/>
    <x v="0"/>
    <x v="2"/>
    <x v="0"/>
    <s v="literature"/>
    <n v="1"/>
    <s v="yes"/>
  </r>
  <r>
    <x v="0"/>
    <x v="0"/>
    <x v="3"/>
    <x v="0"/>
    <s v="literature"/>
    <n v="1"/>
    <s v="yes"/>
  </r>
  <r>
    <x v="1"/>
    <x v="1"/>
    <x v="2"/>
    <x v="1"/>
    <s v="density proxy"/>
    <n v="1.375"/>
    <s v="yes"/>
  </r>
  <r>
    <x v="1"/>
    <x v="1"/>
    <x v="3"/>
    <x v="1"/>
    <s v="literature"/>
    <n v="1"/>
    <s v="yes"/>
  </r>
  <r>
    <x v="2"/>
    <x v="2"/>
    <x v="3"/>
    <x v="2"/>
    <s v="density proxy"/>
    <n v="5.161290322580645"/>
    <s v="yes"/>
  </r>
  <r>
    <x v="2"/>
    <x v="2"/>
    <x v="3"/>
    <x v="3"/>
    <s v="density proxy"/>
    <n v="2.4615384615384617"/>
    <s v="yes"/>
  </r>
  <r>
    <x v="3"/>
    <x v="3"/>
    <x v="3"/>
    <x v="2"/>
    <s v="literature"/>
    <n v="0.99"/>
    <s v="yes"/>
  </r>
  <r>
    <x v="3"/>
    <x v="4"/>
    <x v="4"/>
    <x v="4"/>
    <s v="density proxy"/>
    <n v="1.3116474291710387"/>
    <s v="yes"/>
  </r>
  <r>
    <x v="3"/>
    <x v="4"/>
    <x v="4"/>
    <x v="1"/>
    <s v="density proxy"/>
    <n v="1.3774104683195592"/>
    <s v="yes"/>
  </r>
  <r>
    <x v="3"/>
    <x v="4"/>
    <x v="3"/>
    <x v="4"/>
    <s v="density proxy"/>
    <n v="1.3011542497376705"/>
    <s v="yes"/>
  </r>
  <r>
    <x v="3"/>
    <x v="4"/>
    <x v="3"/>
    <x v="0"/>
    <s v="literature"/>
    <n v="0.9285714285714286"/>
    <s v="yes"/>
  </r>
  <r>
    <x v="3"/>
    <x v="4"/>
    <x v="3"/>
    <x v="1"/>
    <s v="density proxy"/>
    <n v="1.3663911845730028"/>
    <s v="no"/>
  </r>
  <r>
    <x v="3"/>
    <x v="4"/>
    <x v="3"/>
    <x v="1"/>
    <s v="literature"/>
    <n v="0.9285714285714286"/>
    <s v="yes"/>
  </r>
  <r>
    <x v="4"/>
    <x v="5"/>
    <x v="5"/>
    <x v="0"/>
    <s v="literature"/>
    <n v="0.79734848484848475"/>
    <s v="yes"/>
  </r>
  <r>
    <x v="4"/>
    <x v="5"/>
    <x v="5"/>
    <x v="1"/>
    <s v="literature"/>
    <n v="1.5592592592592591"/>
    <s v="yes"/>
  </r>
  <r>
    <x v="4"/>
    <x v="5"/>
    <x v="3"/>
    <x v="0"/>
    <s v="literature"/>
    <n v="1.3623188405797102"/>
    <s v="yes"/>
  </r>
  <r>
    <x v="4"/>
    <x v="5"/>
    <x v="3"/>
    <x v="5"/>
    <s v="density proxy"/>
    <n v="0.9051094890510949"/>
    <s v="yes"/>
  </r>
  <r>
    <x v="4"/>
    <x v="5"/>
    <x v="3"/>
    <x v="1"/>
    <s v="literature"/>
    <n v="1"/>
    <s v="yes"/>
  </r>
  <r>
    <x v="4"/>
    <x v="6"/>
    <x v="3"/>
    <x v="1"/>
    <s v="literature"/>
    <n v="1.1666666666666667"/>
    <s v="yes"/>
  </r>
  <r>
    <x v="4"/>
    <x v="7"/>
    <x v="6"/>
    <x v="4"/>
    <s v="literature"/>
    <n v="1.8597902097902097"/>
    <s v="yes"/>
  </r>
  <r>
    <x v="4"/>
    <x v="7"/>
    <x v="4"/>
    <x v="1"/>
    <s v="literature"/>
    <n v="1.8428571428571425"/>
    <s v="yes"/>
  </r>
  <r>
    <x v="4"/>
    <x v="7"/>
    <x v="3"/>
    <x v="4"/>
    <s v="literature"/>
    <n v="1.77116704805492"/>
    <s v="yes"/>
  </r>
  <r>
    <x v="4"/>
    <x v="7"/>
    <x v="3"/>
    <x v="0"/>
    <s v="density proxy"/>
    <n v="1.3478260869565217"/>
    <s v="yes"/>
  </r>
  <r>
    <x v="4"/>
    <x v="7"/>
    <x v="3"/>
    <x v="5"/>
    <s v="density proxy"/>
    <n v="0.9051094890510949"/>
    <s v="yes"/>
  </r>
  <r>
    <x v="4"/>
    <x v="8"/>
    <x v="7"/>
    <x v="5"/>
    <s v="literature"/>
    <n v="0.79999999999999993"/>
    <s v="yes"/>
  </r>
  <r>
    <x v="4"/>
    <x v="8"/>
    <x v="3"/>
    <x v="4"/>
    <s v="literature"/>
    <n v="0.79746835443037967"/>
    <s v="yes"/>
  </r>
  <r>
    <x v="4"/>
    <x v="8"/>
    <x v="3"/>
    <x v="5"/>
    <s v="literature"/>
    <n v="0.95000880023086243"/>
    <s v="yes"/>
  </r>
  <r>
    <x v="4"/>
    <x v="9"/>
    <x v="2"/>
    <x v="6"/>
    <s v="literature"/>
    <n v="3.5777777777777779"/>
    <s v="yes"/>
  </r>
  <r>
    <x v="4"/>
    <x v="9"/>
    <x v="3"/>
    <x v="5"/>
    <s v="literature"/>
    <n v="0.97589648434151588"/>
    <s v="yes"/>
  </r>
  <r>
    <x v="4"/>
    <x v="9"/>
    <x v="3"/>
    <x v="1"/>
    <s v="density proxy"/>
    <n v="1.3663911845730028"/>
    <s v="yes"/>
  </r>
  <r>
    <x v="4"/>
    <x v="9"/>
    <x v="3"/>
    <x v="6"/>
    <s v="literature"/>
    <n v="2.1562319514915176"/>
    <s v="yes"/>
  </r>
  <r>
    <x v="4"/>
    <x v="10"/>
    <x v="3"/>
    <x v="5"/>
    <s v="density proxy"/>
    <n v="0.9051094890510949"/>
    <s v="yes"/>
  </r>
  <r>
    <x v="4"/>
    <x v="10"/>
    <x v="3"/>
    <x v="6"/>
    <s v="density proxy"/>
    <n v="1.1588785046728971"/>
    <s v="yes"/>
  </r>
  <r>
    <x v="4"/>
    <x v="11"/>
    <x v="3"/>
    <x v="2"/>
    <s v="density proxy"/>
    <n v="5.161290322580645"/>
    <s v="yes"/>
  </r>
  <r>
    <x v="4"/>
    <x v="12"/>
    <x v="2"/>
    <x v="5"/>
    <s v="literature"/>
    <n v="0.56451124174292477"/>
    <s v="yes"/>
  </r>
  <r>
    <x v="4"/>
    <x v="12"/>
    <x v="2"/>
    <x v="1"/>
    <s v="literature"/>
    <n v="0.8656258712015612"/>
    <s v="yes"/>
  </r>
  <r>
    <x v="4"/>
    <x v="12"/>
    <x v="4"/>
    <x v="1"/>
    <s v="literature"/>
    <n v="1.3885714285714283"/>
    <s v="yes"/>
  </r>
  <r>
    <x v="4"/>
    <x v="12"/>
    <x v="4"/>
    <x v="6"/>
    <s v="density proxy"/>
    <n v="1.1682242990654206"/>
    <s v="yes"/>
  </r>
  <r>
    <x v="4"/>
    <x v="12"/>
    <x v="3"/>
    <x v="6"/>
    <s v="literature"/>
    <n v="1.2086330935251799"/>
    <s v="yes"/>
  </r>
  <r>
    <x v="4"/>
    <x v="12"/>
    <x v="3"/>
    <x v="5"/>
    <s v="literature"/>
    <n v="0.84119094797996308"/>
    <s v="yes"/>
  </r>
  <r>
    <x v="4"/>
    <x v="12"/>
    <x v="3"/>
    <x v="1"/>
    <s v="literature"/>
    <n v="1.2203972498090145"/>
    <s v="yes"/>
  </r>
  <r>
    <x v="4"/>
    <x v="12"/>
    <x v="3"/>
    <x v="6"/>
    <s v="literature"/>
    <n v="1.265033407572383"/>
    <s v="yes"/>
  </r>
  <r>
    <x v="4"/>
    <x v="12"/>
    <x v="3"/>
    <x v="2"/>
    <s v="literature"/>
    <n v="1.9077618288144604"/>
    <s v="yes"/>
  </r>
  <r>
    <x v="4"/>
    <x v="13"/>
    <x v="8"/>
    <x v="6"/>
    <s v="literature"/>
    <n v="0.73333333333333339"/>
    <s v="yes"/>
  </r>
  <r>
    <x v="4"/>
    <x v="13"/>
    <x v="8"/>
    <x v="1"/>
    <s v="literature"/>
    <n v="0.73333333333333339"/>
    <s v="yes"/>
  </r>
  <r>
    <x v="4"/>
    <x v="13"/>
    <x v="9"/>
    <x v="6"/>
    <s v="literature"/>
    <n v="1"/>
    <s v="yes"/>
  </r>
  <r>
    <x v="4"/>
    <x v="13"/>
    <x v="9"/>
    <x v="1"/>
    <s v="literature"/>
    <n v="0.92999999999999994"/>
    <s v="yes"/>
  </r>
  <r>
    <x v="4"/>
    <x v="13"/>
    <x v="10"/>
    <x v="1"/>
    <s v="literature"/>
    <n v="1.3666666666666665"/>
    <s v="yes"/>
  </r>
  <r>
    <x v="4"/>
    <x v="13"/>
    <x v="11"/>
    <x v="1"/>
    <s v="literature"/>
    <n v="1.3666666666666665"/>
    <s v="yes"/>
  </r>
  <r>
    <x v="4"/>
    <x v="13"/>
    <x v="9"/>
    <x v="7"/>
    <s v="literature"/>
    <n v="0.86"/>
    <s v="yes"/>
  </r>
  <r>
    <x v="4"/>
    <x v="13"/>
    <x v="4"/>
    <x v="1"/>
    <s v="density proxy"/>
    <n v="1.3774104683195592"/>
    <s v="yes"/>
  </r>
  <r>
    <x v="4"/>
    <x v="13"/>
    <x v="4"/>
    <x v="6"/>
    <s v="density proxy"/>
    <n v="1.1682242990654206"/>
    <s v="yes"/>
  </r>
  <r>
    <x v="4"/>
    <x v="13"/>
    <x v="3"/>
    <x v="6"/>
    <s v="literature"/>
    <n v="1.1834862385321101"/>
    <s v="yes"/>
  </r>
  <r>
    <x v="4"/>
    <x v="13"/>
    <x v="3"/>
    <x v="4"/>
    <s v="density proxy"/>
    <n v="1.3011542497376705"/>
    <s v="yes"/>
  </r>
  <r>
    <x v="4"/>
    <x v="13"/>
    <x v="3"/>
    <x v="5"/>
    <s v="literature"/>
    <n v="0.8575400986032683"/>
    <s v="yes"/>
  </r>
  <r>
    <x v="4"/>
    <x v="13"/>
    <x v="3"/>
    <x v="1"/>
    <s v="literature"/>
    <n v="1.1427472019578178"/>
    <s v="yes"/>
  </r>
  <r>
    <x v="4"/>
    <x v="13"/>
    <x v="3"/>
    <x v="6"/>
    <s v="literature"/>
    <n v="1.1342527109853844"/>
    <s v="yes"/>
  </r>
  <r>
    <x v="4"/>
    <x v="13"/>
    <x v="3"/>
    <x v="2"/>
    <s v="density proxy"/>
    <n v="5.161290322580645"/>
    <s v="yes"/>
  </r>
  <r>
    <x v="5"/>
    <x v="14"/>
    <x v="3"/>
    <x v="4"/>
    <s v="density proxy"/>
    <n v="1.3011542497376705"/>
    <s v="yes"/>
  </r>
  <r>
    <x v="5"/>
    <x v="14"/>
    <x v="3"/>
    <x v="0"/>
    <s v="density proxy"/>
    <n v="1.3478260869565217"/>
    <s v="yes"/>
  </r>
  <r>
    <x v="5"/>
    <x v="14"/>
    <x v="3"/>
    <x v="5"/>
    <s v="density proxy"/>
    <n v="0.9051094890510949"/>
    <s v="yes"/>
  </r>
  <r>
    <x v="5"/>
    <x v="14"/>
    <x v="3"/>
    <x v="1"/>
    <s v="density proxy"/>
    <n v="1.3663911845730028"/>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67"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K36" firstHeaderRow="1" firstDataRow="2" firstDataCol="3"/>
  <pivotFields count="7">
    <pivotField axis="axisRow" compact="0" outline="0" showAll="0" defaultSubtotal="0">
      <items count="6">
        <item x="0"/>
        <item x="1"/>
        <item x="2"/>
        <item x="3"/>
        <item x="4"/>
        <item x="5"/>
      </items>
    </pivotField>
    <pivotField axis="axisRow" compact="0" outline="0" showAll="0" defaultSubtotal="0">
      <items count="15">
        <item x="8"/>
        <item x="7"/>
        <item x="9"/>
        <item x="10"/>
        <item x="13"/>
        <item x="5"/>
        <item x="2"/>
        <item x="1"/>
        <item x="4"/>
        <item n="mulch film" x="0"/>
        <item x="6"/>
        <item x="11"/>
        <item x="3"/>
        <item x="14"/>
        <item x="12"/>
      </items>
    </pivotField>
    <pivotField axis="axisRow" compact="0" outline="0" showAll="0" defaultSubtotal="0">
      <items count="12">
        <item x="8"/>
        <item x="0"/>
        <item x="6"/>
        <item x="10"/>
        <item x="11"/>
        <item x="5"/>
        <item x="9"/>
        <item x="1"/>
        <item x="2"/>
        <item x="7"/>
        <item x="4"/>
        <item x="3"/>
      </items>
    </pivotField>
    <pivotField axis="axisCol" compact="0" outline="0" showAll="0" defaultSubtotal="0">
      <items count="8">
        <item x="2"/>
        <item x="6"/>
        <item x="4"/>
        <item x="7"/>
        <item x="0"/>
        <item x="5"/>
        <item x="1"/>
        <item x="3"/>
      </items>
    </pivotField>
    <pivotField compact="0" outline="0" showAll="0" defaultSubtotal="0"/>
    <pivotField dataField="1" compact="0" outline="0" showAll="0" defaultSubtotal="0"/>
    <pivotField compact="0" outline="0" showAll="0" defaultSubtotal="0"/>
  </pivotFields>
  <rowFields count="3">
    <field x="0"/>
    <field x="1"/>
    <field x="2"/>
  </rowFields>
  <rowItems count="32">
    <i>
      <x/>
      <x v="9"/>
      <x v="1"/>
    </i>
    <i r="2">
      <x v="7"/>
    </i>
    <i r="2">
      <x v="8"/>
    </i>
    <i r="2">
      <x v="11"/>
    </i>
    <i>
      <x v="1"/>
      <x v="7"/>
      <x v="8"/>
    </i>
    <i r="2">
      <x v="11"/>
    </i>
    <i>
      <x v="2"/>
      <x v="6"/>
      <x v="11"/>
    </i>
    <i>
      <x v="3"/>
      <x v="8"/>
      <x v="10"/>
    </i>
    <i r="2">
      <x v="11"/>
    </i>
    <i r="1">
      <x v="12"/>
      <x v="11"/>
    </i>
    <i>
      <x v="4"/>
      <x/>
      <x v="9"/>
    </i>
    <i r="2">
      <x v="11"/>
    </i>
    <i r="1">
      <x v="1"/>
      <x v="2"/>
    </i>
    <i r="2">
      <x v="10"/>
    </i>
    <i r="2">
      <x v="11"/>
    </i>
    <i r="1">
      <x v="2"/>
      <x v="8"/>
    </i>
    <i r="2">
      <x v="11"/>
    </i>
    <i r="1">
      <x v="3"/>
      <x v="11"/>
    </i>
    <i r="1">
      <x v="4"/>
      <x/>
    </i>
    <i r="2">
      <x v="3"/>
    </i>
    <i r="2">
      <x v="4"/>
    </i>
    <i r="2">
      <x v="6"/>
    </i>
    <i r="2">
      <x v="10"/>
    </i>
    <i r="2">
      <x v="11"/>
    </i>
    <i r="1">
      <x v="5"/>
      <x v="5"/>
    </i>
    <i r="2">
      <x v="11"/>
    </i>
    <i r="1">
      <x v="10"/>
      <x v="11"/>
    </i>
    <i r="1">
      <x v="11"/>
      <x v="11"/>
    </i>
    <i r="1">
      <x v="14"/>
      <x v="8"/>
    </i>
    <i r="2">
      <x v="10"/>
    </i>
    <i r="2">
      <x v="11"/>
    </i>
    <i>
      <x v="5"/>
      <x v="13"/>
      <x v="11"/>
    </i>
  </rowItems>
  <colFields count="1">
    <field x="3"/>
  </colFields>
  <colItems count="8">
    <i>
      <x/>
    </i>
    <i>
      <x v="1"/>
    </i>
    <i>
      <x v="2"/>
    </i>
    <i>
      <x v="3"/>
    </i>
    <i>
      <x v="4"/>
    </i>
    <i>
      <x v="5"/>
    </i>
    <i>
      <x v="6"/>
    </i>
    <i>
      <x v="7"/>
    </i>
  </colItems>
  <dataFields count="1">
    <dataField name="Average of substitution_factor" fld="5" subtotal="average" baseField="0" baseItem="0"/>
  </dataFields>
  <formats count="94">
    <format dxfId="93">
      <pivotArea dataOnly="0" labelOnly="1" outline="0" fieldPosition="0">
        <references count="3">
          <reference field="0" count="1" selected="0">
            <x v="0"/>
          </reference>
          <reference field="1" count="1" selected="0">
            <x v="9"/>
          </reference>
          <reference field="2" count="1">
            <x v="1"/>
          </reference>
        </references>
      </pivotArea>
    </format>
    <format dxfId="92">
      <pivotArea dataOnly="0" labelOnly="1" outline="0" fieldPosition="0">
        <references count="3">
          <reference field="0" count="1" selected="0">
            <x v="0"/>
          </reference>
          <reference field="1" count="1" selected="0">
            <x v="9"/>
          </reference>
          <reference field="2" count="1">
            <x v="11"/>
          </reference>
        </references>
      </pivotArea>
    </format>
    <format dxfId="91">
      <pivotArea dataOnly="0" labelOnly="1" outline="0" fieldPosition="0">
        <references count="3">
          <reference field="0" count="1" selected="0">
            <x v="1"/>
          </reference>
          <reference field="1" count="1" selected="0">
            <x v="7"/>
          </reference>
          <reference field="2" count="1">
            <x v="11"/>
          </reference>
        </references>
      </pivotArea>
    </format>
    <format dxfId="90">
      <pivotArea dataOnly="0" labelOnly="1" outline="0" fieldPosition="0">
        <references count="3">
          <reference field="0" count="1" selected="0">
            <x v="2"/>
          </reference>
          <reference field="1" count="1" selected="0">
            <x v="6"/>
          </reference>
          <reference field="2" count="1">
            <x v="11"/>
          </reference>
        </references>
      </pivotArea>
    </format>
    <format dxfId="89">
      <pivotArea dataOnly="0" labelOnly="1" outline="0" fieldPosition="0">
        <references count="3">
          <reference field="0" count="1" selected="0">
            <x v="3"/>
          </reference>
          <reference field="1" count="1" selected="0">
            <x v="8"/>
          </reference>
          <reference field="2" count="1">
            <x v="11"/>
          </reference>
        </references>
      </pivotArea>
    </format>
    <format dxfId="88">
      <pivotArea dataOnly="0" labelOnly="1" outline="0" fieldPosition="0">
        <references count="3">
          <reference field="0" count="1" selected="0">
            <x v="3"/>
          </reference>
          <reference field="1" count="1" selected="0">
            <x v="12"/>
          </reference>
          <reference field="2" count="1">
            <x v="11"/>
          </reference>
        </references>
      </pivotArea>
    </format>
    <format dxfId="87">
      <pivotArea dataOnly="0" labelOnly="1" outline="0" fieldPosition="0">
        <references count="3">
          <reference field="0" count="1" selected="0">
            <x v="4"/>
          </reference>
          <reference field="1" count="1" selected="0">
            <x v="0"/>
          </reference>
          <reference field="2" count="1">
            <x v="11"/>
          </reference>
        </references>
      </pivotArea>
    </format>
    <format dxfId="86">
      <pivotArea dataOnly="0" labelOnly="1" outline="0" fieldPosition="0">
        <references count="3">
          <reference field="0" count="1" selected="0">
            <x v="4"/>
          </reference>
          <reference field="1" count="1" selected="0">
            <x v="1"/>
          </reference>
          <reference field="2" count="1">
            <x v="11"/>
          </reference>
        </references>
      </pivotArea>
    </format>
    <format dxfId="85">
      <pivotArea dataOnly="0" labelOnly="1" outline="0" fieldPosition="0">
        <references count="3">
          <reference field="0" count="1" selected="0">
            <x v="4"/>
          </reference>
          <reference field="1" count="1" selected="0">
            <x v="2"/>
          </reference>
          <reference field="2" count="1">
            <x v="11"/>
          </reference>
        </references>
      </pivotArea>
    </format>
    <format dxfId="84">
      <pivotArea dataOnly="0" labelOnly="1" outline="0" fieldPosition="0">
        <references count="3">
          <reference field="0" count="1" selected="0">
            <x v="4"/>
          </reference>
          <reference field="1" count="1" selected="0">
            <x v="3"/>
          </reference>
          <reference field="2" count="1">
            <x v="11"/>
          </reference>
        </references>
      </pivotArea>
    </format>
    <format dxfId="83">
      <pivotArea dataOnly="0" labelOnly="1" outline="0" fieldPosition="0">
        <references count="3">
          <reference field="0" count="1" selected="0">
            <x v="4"/>
          </reference>
          <reference field="1" count="1" selected="0">
            <x v="4"/>
          </reference>
          <reference field="2" count="1">
            <x v="11"/>
          </reference>
        </references>
      </pivotArea>
    </format>
    <format dxfId="82">
      <pivotArea dataOnly="0" labelOnly="1" outline="0" fieldPosition="0">
        <references count="3">
          <reference field="0" count="1" selected="0">
            <x v="4"/>
          </reference>
          <reference field="1" count="1" selected="0">
            <x v="5"/>
          </reference>
          <reference field="2" count="1">
            <x v="11"/>
          </reference>
        </references>
      </pivotArea>
    </format>
    <format dxfId="81">
      <pivotArea dataOnly="0" labelOnly="1" outline="0" fieldPosition="0">
        <references count="3">
          <reference field="0" count="1" selected="0">
            <x v="4"/>
          </reference>
          <reference field="1" count="1" selected="0">
            <x v="10"/>
          </reference>
          <reference field="2" count="1">
            <x v="11"/>
          </reference>
        </references>
      </pivotArea>
    </format>
    <format dxfId="80">
      <pivotArea dataOnly="0" labelOnly="1" outline="0" fieldPosition="0">
        <references count="3">
          <reference field="0" count="1" selected="0">
            <x v="4"/>
          </reference>
          <reference field="1" count="1" selected="0">
            <x v="11"/>
          </reference>
          <reference field="2" count="1">
            <x v="11"/>
          </reference>
        </references>
      </pivotArea>
    </format>
    <format dxfId="79">
      <pivotArea dataOnly="0" labelOnly="1" outline="0" fieldPosition="0">
        <references count="3">
          <reference field="0" count="1" selected="0">
            <x v="4"/>
          </reference>
          <reference field="1" count="1" selected="0">
            <x v="14"/>
          </reference>
          <reference field="2" count="1">
            <x v="11"/>
          </reference>
        </references>
      </pivotArea>
    </format>
    <format dxfId="78">
      <pivotArea dataOnly="0" labelOnly="1" outline="0" fieldPosition="0">
        <references count="3">
          <reference field="0" count="1" selected="0">
            <x v="5"/>
          </reference>
          <reference field="1" count="1" selected="0">
            <x v="13"/>
          </reference>
          <reference field="2" count="1">
            <x v="11"/>
          </reference>
        </references>
      </pivotArea>
    </format>
    <format dxfId="77">
      <pivotArea dataOnly="0" labelOnly="1" outline="0" fieldPosition="0">
        <references count="3">
          <reference field="0" count="1" selected="0">
            <x v="4"/>
          </reference>
          <reference field="1" count="1" selected="0">
            <x v="4"/>
          </reference>
          <reference field="2" count="4">
            <x v="0"/>
            <x v="3"/>
            <x v="4"/>
            <x v="6"/>
          </reference>
        </references>
      </pivotArea>
    </format>
    <format dxfId="76">
      <pivotArea outline="0" fieldPosition="0">
        <references count="4">
          <reference field="0" count="1" selected="0">
            <x v="2"/>
          </reference>
          <reference field="1" count="1" selected="0">
            <x v="6"/>
          </reference>
          <reference field="2" count="1" selected="0">
            <x v="11"/>
          </reference>
          <reference field="3" count="1" selected="0">
            <x v="0"/>
          </reference>
        </references>
      </pivotArea>
    </format>
    <format dxfId="75">
      <pivotArea outline="0" fieldPosition="0">
        <references count="4">
          <reference field="0" count="1" selected="0">
            <x v="2"/>
          </reference>
          <reference field="1" count="1" selected="0">
            <x v="6"/>
          </reference>
          <reference field="2" count="1" selected="0">
            <x v="11"/>
          </reference>
          <reference field="3" count="1" selected="0">
            <x v="0"/>
          </reference>
        </references>
      </pivotArea>
    </format>
    <format dxfId="74">
      <pivotArea outline="0" fieldPosition="0">
        <references count="4">
          <reference field="0" count="1" selected="0">
            <x v="2"/>
          </reference>
          <reference field="1" count="1" selected="0">
            <x v="6"/>
          </reference>
          <reference field="2" count="1" selected="0">
            <x v="11"/>
          </reference>
          <reference field="3" count="1" selected="0">
            <x v="0"/>
          </reference>
        </references>
      </pivotArea>
    </format>
    <format dxfId="73">
      <pivotArea outline="0" fieldPosition="0">
        <references count="4">
          <reference field="0" count="1" selected="0">
            <x v="2"/>
          </reference>
          <reference field="1" count="1" selected="0">
            <x v="6"/>
          </reference>
          <reference field="2" count="1" selected="0">
            <x v="11"/>
          </reference>
          <reference field="3" count="1" selected="0">
            <x v="0"/>
          </reference>
        </references>
      </pivotArea>
    </format>
    <format dxfId="72">
      <pivotArea outline="0" fieldPosition="0">
        <references count="4">
          <reference field="0" count="1" selected="0">
            <x v="3"/>
          </reference>
          <reference field="1" count="1" selected="0">
            <x v="12"/>
          </reference>
          <reference field="2" count="1" selected="0">
            <x v="11"/>
          </reference>
          <reference field="3" count="1" selected="0">
            <x v="0"/>
          </reference>
        </references>
      </pivotArea>
    </format>
    <format dxfId="71">
      <pivotArea outline="0" fieldPosition="0">
        <references count="4">
          <reference field="0" count="1" selected="0">
            <x v="4"/>
          </reference>
          <reference field="1" count="2" selected="0">
            <x v="2"/>
            <x v="3"/>
          </reference>
          <reference field="2" count="2" selected="0">
            <x v="8"/>
            <x v="11"/>
          </reference>
          <reference field="3" count="1" selected="0">
            <x v="1"/>
          </reference>
        </references>
      </pivotArea>
    </format>
    <format dxfId="70">
      <pivotArea outline="0" fieldPosition="0">
        <references count="4">
          <reference field="0" count="1" selected="0">
            <x v="4"/>
          </reference>
          <reference field="1" count="1" selected="0">
            <x v="4"/>
          </reference>
          <reference field="2" count="1" selected="0">
            <x v="0"/>
          </reference>
          <reference field="3" count="1" selected="0">
            <x v="1"/>
          </reference>
        </references>
      </pivotArea>
    </format>
    <format dxfId="69">
      <pivotArea outline="0" fieldPosition="0">
        <references count="4">
          <reference field="0" count="1" selected="0">
            <x v="4"/>
          </reference>
          <reference field="1" count="2" selected="0">
            <x v="2"/>
            <x v="3"/>
          </reference>
          <reference field="2" count="2" selected="0">
            <x v="8"/>
            <x v="11"/>
          </reference>
          <reference field="3" count="1" selected="0">
            <x v="1"/>
          </reference>
        </references>
      </pivotArea>
    </format>
    <format dxfId="68">
      <pivotArea outline="0" fieldPosition="0">
        <references count="4">
          <reference field="0" count="1" selected="0">
            <x v="4"/>
          </reference>
          <reference field="1" count="1" selected="0">
            <x v="4"/>
          </reference>
          <reference field="2" count="1" selected="0">
            <x v="0"/>
          </reference>
          <reference field="3" count="1" selected="0">
            <x v="1"/>
          </reference>
        </references>
      </pivotArea>
    </format>
    <format dxfId="67">
      <pivotArea outline="0" fieldPosition="0">
        <references count="4">
          <reference field="0" count="1" selected="0">
            <x v="4"/>
          </reference>
          <reference field="1" count="2" selected="0">
            <x v="2"/>
            <x v="3"/>
          </reference>
          <reference field="2" count="2" selected="0">
            <x v="8"/>
            <x v="11"/>
          </reference>
          <reference field="3" count="1" selected="0">
            <x v="1"/>
          </reference>
        </references>
      </pivotArea>
    </format>
    <format dxfId="66">
      <pivotArea outline="0" fieldPosition="0">
        <references count="4">
          <reference field="0" count="1" selected="0">
            <x v="4"/>
          </reference>
          <reference field="1" count="1" selected="0">
            <x v="4"/>
          </reference>
          <reference field="2" count="1" selected="0">
            <x v="0"/>
          </reference>
          <reference field="3" count="1" selected="0">
            <x v="1"/>
          </reference>
        </references>
      </pivotArea>
    </format>
    <format dxfId="65">
      <pivotArea outline="0" fieldPosition="0">
        <references count="4">
          <reference field="0" count="1" selected="0">
            <x v="4"/>
          </reference>
          <reference field="1" count="2" selected="0">
            <x v="2"/>
            <x v="3"/>
          </reference>
          <reference field="2" count="2" selected="0">
            <x v="8"/>
            <x v="11"/>
          </reference>
          <reference field="3" count="1" selected="0">
            <x v="1"/>
          </reference>
        </references>
      </pivotArea>
    </format>
    <format dxfId="64">
      <pivotArea outline="0" fieldPosition="0">
        <references count="4">
          <reference field="0" count="1" selected="0">
            <x v="4"/>
          </reference>
          <reference field="1" count="1" selected="0">
            <x v="4"/>
          </reference>
          <reference field="2" count="1" selected="0">
            <x v="0"/>
          </reference>
          <reference field="3" count="1" selected="0">
            <x v="1"/>
          </reference>
        </references>
      </pivotArea>
    </format>
    <format dxfId="63">
      <pivotArea outline="0" fieldPosition="0">
        <references count="4">
          <reference field="0" count="1" selected="0">
            <x v="4"/>
          </reference>
          <reference field="1" count="2" selected="0">
            <x v="2"/>
            <x v="3"/>
          </reference>
          <reference field="2" count="2" selected="0">
            <x v="8"/>
            <x v="11"/>
          </reference>
          <reference field="3" count="1" selected="0">
            <x v="1"/>
          </reference>
        </references>
      </pivotArea>
    </format>
    <format dxfId="62">
      <pivotArea outline="0" fieldPosition="0">
        <references count="4">
          <reference field="0" count="1" selected="0">
            <x v="4"/>
          </reference>
          <reference field="1" count="1" selected="0">
            <x v="4"/>
          </reference>
          <reference field="2" count="1" selected="0">
            <x v="0"/>
          </reference>
          <reference field="3" count="1" selected="0">
            <x v="1"/>
          </reference>
        </references>
      </pivotArea>
    </format>
    <format dxfId="61">
      <pivotArea outline="0" fieldPosition="0">
        <references count="4">
          <reference field="0" count="1" selected="0">
            <x v="4"/>
          </reference>
          <reference field="1" count="2" selected="0">
            <x v="2"/>
            <x v="3"/>
          </reference>
          <reference field="2" count="2" selected="0">
            <x v="8"/>
            <x v="11"/>
          </reference>
          <reference field="3" count="1" selected="0">
            <x v="1"/>
          </reference>
        </references>
      </pivotArea>
    </format>
    <format dxfId="60">
      <pivotArea outline="0" fieldPosition="0">
        <references count="4">
          <reference field="0" count="1" selected="0">
            <x v="4"/>
          </reference>
          <reference field="1" count="1" selected="0">
            <x v="4"/>
          </reference>
          <reference field="2" count="1" selected="0">
            <x v="0"/>
          </reference>
          <reference field="3" count="1" selected="0">
            <x v="1"/>
          </reference>
        </references>
      </pivotArea>
    </format>
    <format dxfId="59">
      <pivotArea outline="0" fieldPosition="0">
        <references count="4">
          <reference field="0" count="1" selected="0">
            <x v="4"/>
          </reference>
          <reference field="1" count="2" selected="0">
            <x v="2"/>
            <x v="3"/>
          </reference>
          <reference field="2" count="2" selected="0">
            <x v="8"/>
            <x v="11"/>
          </reference>
          <reference field="3" count="1" selected="0">
            <x v="1"/>
          </reference>
        </references>
      </pivotArea>
    </format>
    <format dxfId="58">
      <pivotArea outline="0" fieldPosition="0">
        <references count="4">
          <reference field="0" count="1" selected="0">
            <x v="4"/>
          </reference>
          <reference field="1" count="1" selected="0">
            <x v="4"/>
          </reference>
          <reference field="2" count="1" selected="0">
            <x v="0"/>
          </reference>
          <reference field="3" count="1" selected="0">
            <x v="1"/>
          </reference>
        </references>
      </pivotArea>
    </format>
    <format dxfId="57">
      <pivotArea outline="0" fieldPosition="0">
        <references count="4">
          <reference field="0" count="1" selected="0">
            <x v="4"/>
          </reference>
          <reference field="1" count="2" selected="0">
            <x v="2"/>
            <x v="3"/>
          </reference>
          <reference field="2" count="2" selected="0">
            <x v="8"/>
            <x v="11"/>
          </reference>
          <reference field="3" count="1" selected="0">
            <x v="1"/>
          </reference>
        </references>
      </pivotArea>
    </format>
    <format dxfId="56">
      <pivotArea outline="0" fieldPosition="0">
        <references count="4">
          <reference field="0" count="1" selected="0">
            <x v="4"/>
          </reference>
          <reference field="1" count="1" selected="0">
            <x v="4"/>
          </reference>
          <reference field="2" count="1" selected="0">
            <x v="0"/>
          </reference>
          <reference field="3" count="1" selected="0">
            <x v="1"/>
          </reference>
        </references>
      </pivotArea>
    </format>
    <format dxfId="55">
      <pivotArea outline="0" fieldPosition="0">
        <references count="4">
          <reference field="0" count="1" selected="0">
            <x v="4"/>
          </reference>
          <reference field="1" count="1" selected="0">
            <x v="4"/>
          </reference>
          <reference field="2" count="1" selected="0">
            <x v="11"/>
          </reference>
          <reference field="3" count="1" selected="0">
            <x v="0"/>
          </reference>
        </references>
      </pivotArea>
    </format>
    <format dxfId="54">
      <pivotArea outline="0" fieldPosition="0">
        <references count="4">
          <reference field="0" count="1" selected="0">
            <x v="4"/>
          </reference>
          <reference field="1" count="4" selected="0">
            <x v="5"/>
            <x v="10"/>
            <x v="11"/>
            <x v="14"/>
          </reference>
          <reference field="2" count="4" selected="0">
            <x v="5"/>
            <x v="8"/>
            <x v="10"/>
            <x v="11"/>
          </reference>
          <reference field="3" count="1" selected="0">
            <x v="0"/>
          </reference>
        </references>
      </pivotArea>
    </format>
    <format dxfId="53">
      <pivotArea outline="0" fieldPosition="0">
        <references count="4">
          <reference field="0" count="1" selected="0">
            <x v="4"/>
          </reference>
          <reference field="1" count="1" selected="0">
            <x v="4"/>
          </reference>
          <reference field="2" count="1" selected="0">
            <x v="11"/>
          </reference>
          <reference field="3" count="1" selected="0">
            <x v="0"/>
          </reference>
        </references>
      </pivotArea>
    </format>
    <format dxfId="52">
      <pivotArea outline="0" fieldPosition="0">
        <references count="4">
          <reference field="0" count="1" selected="0">
            <x v="4"/>
          </reference>
          <reference field="1" count="4" selected="0">
            <x v="5"/>
            <x v="10"/>
            <x v="11"/>
            <x v="14"/>
          </reference>
          <reference field="2" count="4" selected="0">
            <x v="5"/>
            <x v="8"/>
            <x v="10"/>
            <x v="11"/>
          </reference>
          <reference field="3" count="1" selected="0">
            <x v="0"/>
          </reference>
        </references>
      </pivotArea>
    </format>
    <format dxfId="51">
      <pivotArea outline="0" fieldPosition="0">
        <references count="4">
          <reference field="0" count="1" selected="0">
            <x v="4"/>
          </reference>
          <reference field="1" count="1" selected="0">
            <x v="4"/>
          </reference>
          <reference field="2" count="1" selected="0">
            <x v="11"/>
          </reference>
          <reference field="3" count="1" selected="0">
            <x v="0"/>
          </reference>
        </references>
      </pivotArea>
    </format>
    <format dxfId="50">
      <pivotArea outline="0" fieldPosition="0">
        <references count="4">
          <reference field="0" count="1" selected="0">
            <x v="4"/>
          </reference>
          <reference field="1" count="4" selected="0">
            <x v="5"/>
            <x v="10"/>
            <x v="11"/>
            <x v="14"/>
          </reference>
          <reference field="2" count="4" selected="0">
            <x v="5"/>
            <x v="8"/>
            <x v="10"/>
            <x v="11"/>
          </reference>
          <reference field="3" count="1" selected="0">
            <x v="0"/>
          </reference>
        </references>
      </pivotArea>
    </format>
    <format dxfId="49">
      <pivotArea outline="0" fieldPosition="0">
        <references count="4">
          <reference field="0" count="1" selected="0">
            <x v="4"/>
          </reference>
          <reference field="1" count="1" selected="0">
            <x v="4"/>
          </reference>
          <reference field="2" count="1" selected="0">
            <x v="11"/>
          </reference>
          <reference field="3" count="1" selected="0">
            <x v="0"/>
          </reference>
        </references>
      </pivotArea>
    </format>
    <format dxfId="48">
      <pivotArea outline="0" fieldPosition="0">
        <references count="4">
          <reference field="0" count="1" selected="0">
            <x v="4"/>
          </reference>
          <reference field="1" count="4" selected="0">
            <x v="5"/>
            <x v="10"/>
            <x v="11"/>
            <x v="14"/>
          </reference>
          <reference field="2" count="4" selected="0">
            <x v="5"/>
            <x v="8"/>
            <x v="10"/>
            <x v="11"/>
          </reference>
          <reference field="3" count="1" selected="0">
            <x v="0"/>
          </reference>
        </references>
      </pivotArea>
    </format>
    <format dxfId="47">
      <pivotArea outline="0" fieldPosition="0">
        <references count="4">
          <reference field="0" count="1" selected="0">
            <x v="4"/>
          </reference>
          <reference field="1" count="1" selected="0">
            <x v="4"/>
          </reference>
          <reference field="2" count="2" selected="0">
            <x v="10"/>
            <x v="11"/>
          </reference>
          <reference field="3" count="1" selected="0">
            <x v="1"/>
          </reference>
        </references>
      </pivotArea>
    </format>
    <format dxfId="46">
      <pivotArea outline="0" fieldPosition="0">
        <references count="4">
          <reference field="0" count="1" selected="0">
            <x v="4"/>
          </reference>
          <reference field="1" count="4" selected="0">
            <x v="5"/>
            <x v="10"/>
            <x v="11"/>
            <x v="14"/>
          </reference>
          <reference field="2" count="4" selected="0">
            <x v="5"/>
            <x v="8"/>
            <x v="10"/>
            <x v="11"/>
          </reference>
          <reference field="3" count="1" selected="0">
            <x v="1"/>
          </reference>
        </references>
      </pivotArea>
    </format>
    <format dxfId="45">
      <pivotArea outline="0" fieldPosition="0">
        <references count="4">
          <reference field="0" count="1" selected="0">
            <x v="4"/>
          </reference>
          <reference field="1" count="1" selected="0">
            <x v="4"/>
          </reference>
          <reference field="2" count="2" selected="0">
            <x v="10"/>
            <x v="11"/>
          </reference>
          <reference field="3" count="1" selected="0">
            <x v="1"/>
          </reference>
        </references>
      </pivotArea>
    </format>
    <format dxfId="44">
      <pivotArea outline="0" fieldPosition="0">
        <references count="4">
          <reference field="0" count="1" selected="0">
            <x v="4"/>
          </reference>
          <reference field="1" count="4" selected="0">
            <x v="5"/>
            <x v="10"/>
            <x v="11"/>
            <x v="14"/>
          </reference>
          <reference field="2" count="4" selected="0">
            <x v="5"/>
            <x v="8"/>
            <x v="10"/>
            <x v="11"/>
          </reference>
          <reference field="3" count="1" selected="0">
            <x v="1"/>
          </reference>
        </references>
      </pivotArea>
    </format>
    <format dxfId="43">
      <pivotArea outline="0" fieldPosition="0">
        <references count="4">
          <reference field="0" count="1" selected="0">
            <x v="4"/>
          </reference>
          <reference field="1" count="1" selected="0">
            <x v="4"/>
          </reference>
          <reference field="2" count="2" selected="0">
            <x v="10"/>
            <x v="11"/>
          </reference>
          <reference field="3" count="1" selected="0">
            <x v="1"/>
          </reference>
        </references>
      </pivotArea>
    </format>
    <format dxfId="42">
      <pivotArea outline="0" fieldPosition="0">
        <references count="4">
          <reference field="0" count="1" selected="0">
            <x v="4"/>
          </reference>
          <reference field="1" count="4" selected="0">
            <x v="5"/>
            <x v="10"/>
            <x v="11"/>
            <x v="14"/>
          </reference>
          <reference field="2" count="4" selected="0">
            <x v="5"/>
            <x v="8"/>
            <x v="10"/>
            <x v="11"/>
          </reference>
          <reference field="3" count="1" selected="0">
            <x v="1"/>
          </reference>
        </references>
      </pivotArea>
    </format>
    <format dxfId="41">
      <pivotArea outline="0" fieldPosition="0">
        <references count="4">
          <reference field="0" count="1" selected="0">
            <x v="4"/>
          </reference>
          <reference field="1" count="1" selected="0">
            <x v="4"/>
          </reference>
          <reference field="2" count="2" selected="0">
            <x v="10"/>
            <x v="11"/>
          </reference>
          <reference field="3" count="1" selected="0">
            <x v="1"/>
          </reference>
        </references>
      </pivotArea>
    </format>
    <format dxfId="40">
      <pivotArea outline="0" fieldPosition="0">
        <references count="4">
          <reference field="0" count="1" selected="0">
            <x v="4"/>
          </reference>
          <reference field="1" count="4" selected="0">
            <x v="5"/>
            <x v="10"/>
            <x v="11"/>
            <x v="14"/>
          </reference>
          <reference field="2" count="4" selected="0">
            <x v="5"/>
            <x v="8"/>
            <x v="10"/>
            <x v="11"/>
          </reference>
          <reference field="3" count="1" selected="0">
            <x v="1"/>
          </reference>
        </references>
      </pivotArea>
    </format>
    <format dxfId="39">
      <pivotArea outline="0" fieldPosition="0">
        <references count="4">
          <reference field="0" count="1" selected="0">
            <x v="4"/>
          </reference>
          <reference field="1" count="1" selected="0">
            <x v="4"/>
          </reference>
          <reference field="2" count="2" selected="0">
            <x v="10"/>
            <x v="11"/>
          </reference>
          <reference field="3" count="1" selected="0">
            <x v="1"/>
          </reference>
        </references>
      </pivotArea>
    </format>
    <format dxfId="38">
      <pivotArea outline="0" fieldPosition="0">
        <references count="4">
          <reference field="0" count="1" selected="0">
            <x v="4"/>
          </reference>
          <reference field="1" count="4" selected="0">
            <x v="5"/>
            <x v="10"/>
            <x v="11"/>
            <x v="14"/>
          </reference>
          <reference field="2" count="4" selected="0">
            <x v="5"/>
            <x v="8"/>
            <x v="10"/>
            <x v="11"/>
          </reference>
          <reference field="3" count="1" selected="0">
            <x v="1"/>
          </reference>
        </references>
      </pivotArea>
    </format>
    <format dxfId="37">
      <pivotArea outline="0" fieldPosition="0">
        <references count="4">
          <reference field="0" count="1" selected="0">
            <x v="4"/>
          </reference>
          <reference field="1" count="1" selected="0">
            <x v="4"/>
          </reference>
          <reference field="2" count="2" selected="0">
            <x v="10"/>
            <x v="11"/>
          </reference>
          <reference field="3" count="1" selected="0">
            <x v="1"/>
          </reference>
        </references>
      </pivotArea>
    </format>
    <format dxfId="36">
      <pivotArea outline="0" fieldPosition="0">
        <references count="4">
          <reference field="0" count="1" selected="0">
            <x v="4"/>
          </reference>
          <reference field="1" count="4" selected="0">
            <x v="5"/>
            <x v="10"/>
            <x v="11"/>
            <x v="14"/>
          </reference>
          <reference field="2" count="4" selected="0">
            <x v="5"/>
            <x v="8"/>
            <x v="10"/>
            <x v="11"/>
          </reference>
          <reference field="3" count="1" selected="0">
            <x v="1"/>
          </reference>
        </references>
      </pivotArea>
    </format>
    <format dxfId="35">
      <pivotArea outline="0" fieldPosition="0">
        <references count="4">
          <reference field="0" count="1" selected="0">
            <x v="4"/>
          </reference>
          <reference field="1" count="1" selected="0">
            <x v="4"/>
          </reference>
          <reference field="2" count="2" selected="0">
            <x v="10"/>
            <x v="11"/>
          </reference>
          <reference field="3" count="1" selected="0">
            <x v="1"/>
          </reference>
        </references>
      </pivotArea>
    </format>
    <format dxfId="34">
      <pivotArea outline="0" fieldPosition="0">
        <references count="4">
          <reference field="0" count="1" selected="0">
            <x v="4"/>
          </reference>
          <reference field="1" count="4" selected="0">
            <x v="5"/>
            <x v="10"/>
            <x v="11"/>
            <x v="14"/>
          </reference>
          <reference field="2" count="4" selected="0">
            <x v="5"/>
            <x v="8"/>
            <x v="10"/>
            <x v="11"/>
          </reference>
          <reference field="3" count="1" selected="0">
            <x v="1"/>
          </reference>
        </references>
      </pivotArea>
    </format>
    <format dxfId="33">
      <pivotArea outline="0" fieldPosition="0">
        <references count="4">
          <reference field="0" count="1" selected="0">
            <x v="4"/>
          </reference>
          <reference field="1" count="1" selected="0">
            <x v="4"/>
          </reference>
          <reference field="2" count="2" selected="0">
            <x v="10"/>
            <x v="11"/>
          </reference>
          <reference field="3" count="1" selected="0">
            <x v="1"/>
          </reference>
        </references>
      </pivotArea>
    </format>
    <format dxfId="32">
      <pivotArea outline="0" fieldPosition="0">
        <references count="4">
          <reference field="0" count="1" selected="0">
            <x v="4"/>
          </reference>
          <reference field="1" count="4" selected="0">
            <x v="5"/>
            <x v="10"/>
            <x v="11"/>
            <x v="14"/>
          </reference>
          <reference field="2" count="4" selected="0">
            <x v="5"/>
            <x v="8"/>
            <x v="10"/>
            <x v="11"/>
          </reference>
          <reference field="3" count="1" selected="0">
            <x v="1"/>
          </reference>
        </references>
      </pivotArea>
    </format>
    <format dxfId="31">
      <pivotArea outline="0" fieldPosition="0">
        <references count="2">
          <reference field="0" count="3" selected="0">
            <x v="3"/>
            <x v="4"/>
            <x v="5"/>
          </reference>
          <reference field="3" count="1" selected="0">
            <x v="2"/>
          </reference>
        </references>
      </pivotArea>
    </format>
    <format dxfId="30">
      <pivotArea outline="0" fieldPosition="0">
        <references count="2">
          <reference field="0" count="3" selected="0">
            <x v="3"/>
            <x v="4"/>
            <x v="5"/>
          </reference>
          <reference field="3" count="1" selected="0">
            <x v="2"/>
          </reference>
        </references>
      </pivotArea>
    </format>
    <format dxfId="29">
      <pivotArea outline="0" fieldPosition="0">
        <references count="2">
          <reference field="0" count="3" selected="0">
            <x v="3"/>
            <x v="4"/>
            <x v="5"/>
          </reference>
          <reference field="3" count="1" selected="0">
            <x v="2"/>
          </reference>
        </references>
      </pivotArea>
    </format>
    <format dxfId="28">
      <pivotArea outline="0" fieldPosition="0">
        <references count="2">
          <reference field="0" count="3" selected="0">
            <x v="3"/>
            <x v="4"/>
            <x v="5"/>
          </reference>
          <reference field="3" count="1" selected="0">
            <x v="2"/>
          </reference>
        </references>
      </pivotArea>
    </format>
    <format dxfId="27">
      <pivotArea outline="0" fieldPosition="0">
        <references count="2">
          <reference field="0" count="3" selected="0">
            <x v="3"/>
            <x v="4"/>
            <x v="5"/>
          </reference>
          <reference field="3" count="1" selected="0">
            <x v="2"/>
          </reference>
        </references>
      </pivotArea>
    </format>
    <format dxfId="26">
      <pivotArea outline="0" fieldPosition="0">
        <references count="2">
          <reference field="0" count="3" selected="0">
            <x v="3"/>
            <x v="4"/>
            <x v="5"/>
          </reference>
          <reference field="3" count="1" selected="0">
            <x v="2"/>
          </reference>
        </references>
      </pivotArea>
    </format>
    <format dxfId="25">
      <pivotArea outline="0" fieldPosition="0">
        <references count="2">
          <reference field="0" count="3" selected="0">
            <x v="3"/>
            <x v="4"/>
            <x v="5"/>
          </reference>
          <reference field="3" count="1" selected="0">
            <x v="2"/>
          </reference>
        </references>
      </pivotArea>
    </format>
    <format dxfId="24">
      <pivotArea outline="0" fieldPosition="0">
        <references count="2">
          <reference field="0" count="3" selected="0">
            <x v="3"/>
            <x v="4"/>
            <x v="5"/>
          </reference>
          <reference field="3" count="1" selected="0">
            <x v="2"/>
          </reference>
        </references>
      </pivotArea>
    </format>
    <format dxfId="23">
      <pivotArea outline="0" fieldPosition="0">
        <references count="4">
          <reference field="0" count="1" selected="0">
            <x v="4"/>
          </reference>
          <reference field="1" count="1" selected="0">
            <x v="4"/>
          </reference>
          <reference field="2" count="1" selected="0">
            <x v="6"/>
          </reference>
          <reference field="3" count="1" selected="0">
            <x v="3"/>
          </reference>
        </references>
      </pivotArea>
    </format>
    <format dxfId="22">
      <pivotArea outline="0" fieldPosition="0">
        <references count="1">
          <reference field="3" count="1" selected="0">
            <x v="4"/>
          </reference>
        </references>
      </pivotArea>
    </format>
    <format dxfId="21">
      <pivotArea outline="0" fieldPosition="0">
        <references count="1">
          <reference field="3" count="1" selected="0">
            <x v="4"/>
          </reference>
        </references>
      </pivotArea>
    </format>
    <format dxfId="20">
      <pivotArea outline="0" fieldPosition="0">
        <references count="1">
          <reference field="3" count="1" selected="0">
            <x v="4"/>
          </reference>
        </references>
      </pivotArea>
    </format>
    <format dxfId="19">
      <pivotArea outline="0" fieldPosition="0">
        <references count="1">
          <reference field="3" count="1" selected="0">
            <x v="4"/>
          </reference>
        </references>
      </pivotArea>
    </format>
    <format dxfId="18">
      <pivotArea outline="0" fieldPosition="0">
        <references count="1">
          <reference field="3" count="1" selected="0">
            <x v="4"/>
          </reference>
        </references>
      </pivotArea>
    </format>
    <format dxfId="17">
      <pivotArea outline="0" fieldPosition="0">
        <references count="1">
          <reference field="3" count="1" selected="0">
            <x v="4"/>
          </reference>
        </references>
      </pivotArea>
    </format>
    <format dxfId="16">
      <pivotArea outline="0" fieldPosition="0">
        <references count="1">
          <reference field="3" count="1" selected="0">
            <x v="4"/>
          </reference>
        </references>
      </pivotArea>
    </format>
    <format dxfId="15">
      <pivotArea outline="0" fieldPosition="0">
        <references count="1">
          <reference field="3" count="1" selected="0">
            <x v="4"/>
          </reference>
        </references>
      </pivotArea>
    </format>
    <format dxfId="14">
      <pivotArea outline="0" fieldPosition="0">
        <references count="2">
          <reference field="0" count="2" selected="0">
            <x v="4"/>
            <x v="5"/>
          </reference>
          <reference field="3" count="1" selected="0">
            <x v="5"/>
          </reference>
        </references>
      </pivotArea>
    </format>
    <format dxfId="13">
      <pivotArea outline="0" fieldPosition="0">
        <references count="2">
          <reference field="0" count="2" selected="0">
            <x v="4"/>
            <x v="5"/>
          </reference>
          <reference field="3" count="1" selected="0">
            <x v="5"/>
          </reference>
        </references>
      </pivotArea>
    </format>
    <format dxfId="12">
      <pivotArea outline="0" fieldPosition="0">
        <references count="4">
          <reference field="0" count="1" selected="0">
            <x v="4"/>
          </reference>
          <reference field="1" count="1" selected="0">
            <x v="4"/>
          </reference>
          <reference field="2" count="1" selected="0">
            <x v="6"/>
          </reference>
          <reference field="3" count="1" selected="0">
            <x v="1"/>
          </reference>
        </references>
      </pivotArea>
    </format>
    <format dxfId="11">
      <pivotArea outline="0" fieldPosition="0">
        <references count="2">
          <reference field="0" count="5" selected="0">
            <x v="1"/>
            <x v="2"/>
            <x v="3"/>
            <x v="4"/>
            <x v="5"/>
          </reference>
          <reference field="3" count="1" selected="0">
            <x v="6"/>
          </reference>
        </references>
      </pivotArea>
    </format>
    <format dxfId="10">
      <pivotArea outline="0" fieldPosition="0">
        <references count="2">
          <reference field="0" count="5" selected="0">
            <x v="1"/>
            <x v="2"/>
            <x v="3"/>
            <x v="4"/>
            <x v="5"/>
          </reference>
          <reference field="3" count="1" selected="0">
            <x v="6"/>
          </reference>
        </references>
      </pivotArea>
    </format>
    <format dxfId="9">
      <pivotArea outline="0" fieldPosition="0">
        <references count="2">
          <reference field="0" count="5" selected="0">
            <x v="1"/>
            <x v="2"/>
            <x v="3"/>
            <x v="4"/>
            <x v="5"/>
          </reference>
          <reference field="3" count="1" selected="0">
            <x v="6"/>
          </reference>
        </references>
      </pivotArea>
    </format>
    <format dxfId="8">
      <pivotArea outline="0" fieldPosition="0">
        <references count="2">
          <reference field="0" count="5" selected="0">
            <x v="1"/>
            <x v="2"/>
            <x v="3"/>
            <x v="4"/>
            <x v="5"/>
          </reference>
          <reference field="3" count="1" selected="0">
            <x v="6"/>
          </reference>
        </references>
      </pivotArea>
    </format>
    <format dxfId="7">
      <pivotArea outline="0" fieldPosition="0">
        <references count="4">
          <reference field="0" count="1" selected="0">
            <x v="2"/>
          </reference>
          <reference field="1" count="1" selected="0">
            <x v="6"/>
          </reference>
          <reference field="2" count="1" selected="0">
            <x v="11"/>
          </reference>
          <reference field="3" count="1" selected="0">
            <x v="7"/>
          </reference>
        </references>
      </pivotArea>
    </format>
    <format dxfId="6">
      <pivotArea outline="0" fieldPosition="0">
        <references count="4">
          <reference field="0" count="1" selected="0">
            <x v="2"/>
          </reference>
          <reference field="1" count="1" selected="0">
            <x v="6"/>
          </reference>
          <reference field="2" count="1" selected="0">
            <x v="11"/>
          </reference>
          <reference field="3" count="1" selected="0">
            <x v="7"/>
          </reference>
        </references>
      </pivotArea>
    </format>
    <format dxfId="5">
      <pivotArea outline="0" fieldPosition="0">
        <references count="4">
          <reference field="0" count="1" selected="0">
            <x v="2"/>
          </reference>
          <reference field="1" count="1" selected="0">
            <x v="6"/>
          </reference>
          <reference field="2" count="1" selected="0">
            <x v="11"/>
          </reference>
          <reference field="3" count="1" selected="0">
            <x v="7"/>
          </reference>
        </references>
      </pivotArea>
    </format>
    <format dxfId="4">
      <pivotArea outline="0" fieldPosition="0">
        <references count="4">
          <reference field="0" count="1" selected="0">
            <x v="2"/>
          </reference>
          <reference field="1" count="1" selected="0">
            <x v="6"/>
          </reference>
          <reference field="2" count="1" selected="0">
            <x v="11"/>
          </reference>
          <reference field="3" count="1" selected="0">
            <x v="7"/>
          </reference>
        </references>
      </pivotArea>
    </format>
    <format dxfId="3">
      <pivotArea outline="0" fieldPosition="0">
        <references count="4">
          <reference field="0" count="1" selected="0">
            <x v="2"/>
          </reference>
          <reference field="1" count="1" selected="0">
            <x v="6"/>
          </reference>
          <reference field="2" count="1" selected="0">
            <x v="11"/>
          </reference>
          <reference field="3" count="1" selected="0">
            <x v="7"/>
          </reference>
        </references>
      </pivotArea>
    </format>
    <format dxfId="2">
      <pivotArea outline="0" fieldPosition="0">
        <references count="4">
          <reference field="0" count="1" selected="0">
            <x v="2"/>
          </reference>
          <reference field="1" count="1" selected="0">
            <x v="6"/>
          </reference>
          <reference field="2" count="1" selected="0">
            <x v="11"/>
          </reference>
          <reference field="3" count="1" selected="0">
            <x v="7"/>
          </reference>
        </references>
      </pivotArea>
    </format>
    <format dxfId="1">
      <pivotArea outline="0" fieldPosition="0">
        <references count="4">
          <reference field="0" count="1" selected="0">
            <x v="2"/>
          </reference>
          <reference field="1" count="1" selected="0">
            <x v="6"/>
          </reference>
          <reference field="2" count="1" selected="0">
            <x v="11"/>
          </reference>
          <reference field="3" count="1" selected="0">
            <x v="7"/>
          </reference>
        </references>
      </pivotArea>
    </format>
    <format dxfId="0">
      <pivotArea outline="0" fieldPosition="0">
        <references count="4">
          <reference field="0" count="1" selected="0">
            <x v="2"/>
          </reference>
          <reference field="1" count="1" selected="0">
            <x v="6"/>
          </reference>
          <reference field="2" count="1" selected="0">
            <x v="11"/>
          </reference>
          <reference field="3" count="1" selected="0">
            <x v="7"/>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6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79:B97" firstHeaderRow="1" firstDataRow="1" firstDataCol="2"/>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1">
        <item x="0"/>
        <item m="1" x="28"/>
        <item m="1" x="20"/>
        <item x="4"/>
        <item x="15"/>
        <item m="1" x="27"/>
        <item x="6"/>
        <item m="1" x="25"/>
        <item x="13"/>
        <item x="10"/>
        <item m="1" x="26"/>
        <item x="16"/>
        <item x="1"/>
        <item x="11"/>
        <item x="12"/>
        <item m="1" x="19"/>
        <item m="1" x="21"/>
        <item m="1" x="23"/>
        <item m="1" x="29"/>
        <item m="1" x="30"/>
        <item x="17"/>
        <item x="5"/>
        <item m="1" x="22"/>
        <item m="1" x="18"/>
        <item x="14"/>
        <item x="8"/>
        <item m="1" x="24"/>
        <item x="2"/>
        <item x="3"/>
        <item x="7"/>
        <item x="9"/>
      </items>
      <extLst>
        <ext xmlns:x14="http://schemas.microsoft.com/office/spreadsheetml/2009/9/main" uri="{2946ED86-A175-432a-8AC1-64E0C546D7DE}">
          <x14:pivotField fillDownLabels="1"/>
        </ext>
      </extLst>
    </pivotField>
    <pivotField axis="axisRow" compact="0" outline="0" showAll="0" defaultSubtotal="0">
      <items count="9">
        <item x="1"/>
        <item x="5"/>
        <item x="6"/>
        <item x="4"/>
        <item x="3"/>
        <item x="2"/>
        <item x="0"/>
        <item x="7"/>
        <item m="1"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0"/>
    <field x="9"/>
  </rowFields>
  <rowItems count="18">
    <i>
      <x/>
      <x v="12"/>
    </i>
    <i r="1">
      <x v="13"/>
    </i>
    <i>
      <x v="1"/>
      <x v="9"/>
    </i>
    <i r="1">
      <x v="14"/>
    </i>
    <i>
      <x v="2"/>
      <x v="8"/>
    </i>
    <i>
      <x v="3"/>
      <x v="25"/>
    </i>
    <i r="1">
      <x v="30"/>
    </i>
    <i>
      <x v="4"/>
      <x v="29"/>
    </i>
    <i>
      <x v="5"/>
      <x v="6"/>
    </i>
    <i r="1">
      <x v="24"/>
    </i>
    <i r="1">
      <x v="27"/>
    </i>
    <i>
      <x v="6"/>
      <x/>
    </i>
    <i r="1">
      <x v="3"/>
    </i>
    <i r="1">
      <x v="4"/>
    </i>
    <i r="1">
      <x v="11"/>
    </i>
    <i r="1">
      <x v="21"/>
    </i>
    <i r="1">
      <x v="28"/>
    </i>
    <i>
      <x v="7"/>
      <x v="20"/>
    </i>
  </rowItems>
  <colItems count="1">
    <i/>
  </colItems>
  <formats count="14">
    <format dxfId="94">
      <pivotArea dataOnly="0" labelOnly="1" outline="0" offset="IV6:IV256" fieldPosition="0">
        <references count="1">
          <reference field="10" count="1">
            <x v="0"/>
          </reference>
        </references>
      </pivotArea>
    </format>
    <format dxfId="95">
      <pivotArea dataOnly="0" labelOnly="1" outline="0" fieldPosition="0">
        <references count="2">
          <reference field="9" count="2">
            <x v="13"/>
            <x v="15"/>
          </reference>
          <reference field="10" count="1" selected="0">
            <x v="0"/>
          </reference>
        </references>
      </pivotArea>
    </format>
    <format dxfId="96">
      <pivotArea dataOnly="0" labelOnly="1" outline="0" offset="IV256" fieldPosition="0">
        <references count="1">
          <reference field="10" count="1">
            <x v="1"/>
          </reference>
        </references>
      </pivotArea>
    </format>
    <format dxfId="97">
      <pivotArea dataOnly="0" labelOnly="1" outline="0" fieldPosition="0">
        <references count="2">
          <reference field="9" count="1">
            <x v="14"/>
          </reference>
          <reference field="10" count="1" selected="0">
            <x v="1"/>
          </reference>
        </references>
      </pivotArea>
    </format>
    <format dxfId="98">
      <pivotArea dataOnly="0" labelOnly="1" outline="0" fieldPosition="0">
        <references count="1">
          <reference field="10" count="0"/>
        </references>
      </pivotArea>
    </format>
    <format dxfId="99">
      <pivotArea dataOnly="0" labelOnly="1" outline="0" fieldPosition="0">
        <references count="2">
          <reference field="9" count="3">
            <x v="12"/>
            <x v="13"/>
            <x v="15"/>
          </reference>
          <reference field="10" count="1" selected="0">
            <x v="0"/>
          </reference>
        </references>
      </pivotArea>
    </format>
    <format dxfId="100">
      <pivotArea dataOnly="0" labelOnly="1" outline="0" fieldPosition="0">
        <references count="2">
          <reference field="9" count="2">
            <x v="9"/>
            <x v="14"/>
          </reference>
          <reference field="10" count="1" selected="0">
            <x v="1"/>
          </reference>
        </references>
      </pivotArea>
    </format>
    <format dxfId="101">
      <pivotArea dataOnly="0" labelOnly="1" outline="0" fieldPosition="0">
        <references count="2">
          <reference field="9" count="1">
            <x v="8"/>
          </reference>
          <reference field="10" count="1" selected="0">
            <x v="2"/>
          </reference>
        </references>
      </pivotArea>
    </format>
    <format dxfId="102">
      <pivotArea dataOnly="0" labelOnly="1" outline="0" fieldPosition="0">
        <references count="2">
          <reference field="9" count="2">
            <x v="17"/>
            <x v="22"/>
          </reference>
          <reference field="10" count="1" selected="0">
            <x v="3"/>
          </reference>
        </references>
      </pivotArea>
    </format>
    <format dxfId="103">
      <pivotArea dataOnly="0" labelOnly="1" outline="0" fieldPosition="0">
        <references count="2">
          <reference field="9" count="2">
            <x v="10"/>
            <x v="16"/>
          </reference>
          <reference field="10" count="1" selected="0">
            <x v="4"/>
          </reference>
        </references>
      </pivotArea>
    </format>
    <format dxfId="104">
      <pivotArea dataOnly="0" labelOnly="1" outline="0" fieldPosition="0">
        <references count="2">
          <reference field="9" count="4">
            <x v="1"/>
            <x v="6"/>
            <x v="7"/>
            <x v="23"/>
          </reference>
          <reference field="10" count="1" selected="0">
            <x v="5"/>
          </reference>
        </references>
      </pivotArea>
    </format>
    <format dxfId="105">
      <pivotArea dataOnly="0" labelOnly="1" outline="0" fieldPosition="0">
        <references count="2">
          <reference field="9" count="8">
            <x v="0"/>
            <x v="3"/>
            <x v="4"/>
            <x v="5"/>
            <x v="11"/>
            <x v="18"/>
            <x v="19"/>
            <x v="21"/>
          </reference>
          <reference field="10" count="1" selected="0">
            <x v="6"/>
          </reference>
        </references>
      </pivotArea>
    </format>
    <format dxfId="106">
      <pivotArea dataOnly="0" labelOnly="1" outline="0" fieldPosition="0">
        <references count="2">
          <reference field="9" count="1">
            <x v="20"/>
          </reference>
          <reference field="10" count="1" selected="0">
            <x v="7"/>
          </reference>
        </references>
      </pivotArea>
    </format>
    <format dxfId="107">
      <pivotArea dataOnly="0" labelOnly="1" outline="0" fieldPosition="0">
        <references count="2">
          <reference field="9" count="1">
            <x v="2"/>
          </reference>
          <reference field="10" count="1" selected="0">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PivotTable4" cacheId="6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2:A74" firstHeaderRow="1" firstDataRow="1" firstDataCol="1"/>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2">
        <item x="24"/>
        <item x="30"/>
        <item x="10"/>
        <item x="26"/>
        <item x="3"/>
        <item x="11"/>
        <item x="12"/>
        <item x="14"/>
        <item x="16"/>
        <item x="13"/>
        <item x="7"/>
        <item x="22"/>
        <item x="27"/>
        <item x="2"/>
        <item x="37"/>
        <item x="35"/>
        <item x="4"/>
        <item x="36"/>
        <item x="19"/>
        <item x="28"/>
        <item x="29"/>
        <item x="33"/>
        <item x="41"/>
        <item x="34"/>
        <item x="39"/>
        <item x="21"/>
        <item x="5"/>
        <item x="17"/>
        <item x="8"/>
        <item x="9"/>
        <item x="38"/>
        <item x="31"/>
        <item x="1"/>
        <item x="20"/>
        <item x="32"/>
        <item x="6"/>
        <item x="15"/>
        <item x="23"/>
        <item x="25"/>
        <item x="40"/>
        <item x="0"/>
        <item x="1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1">
        <item x="0"/>
        <item m="1" x="28"/>
        <item m="1" x="20"/>
        <item x="4"/>
        <item x="15"/>
        <item m="1" x="27"/>
        <item x="6"/>
        <item m="1" x="25"/>
        <item x="13"/>
        <item x="10"/>
        <item m="1" x="26"/>
        <item x="16"/>
        <item x="1"/>
        <item x="11"/>
        <item x="12"/>
        <item m="1" x="19"/>
        <item m="1" x="21"/>
        <item m="1" x="23"/>
        <item m="1" x="29"/>
        <item m="1" x="30"/>
        <item x="17"/>
        <item x="5"/>
        <item m="1" x="22"/>
        <item m="1" x="18"/>
        <item x="14"/>
        <item x="8"/>
        <item m="1" x="24"/>
        <item x="2"/>
        <item x="3"/>
        <item x="7"/>
        <item x="9"/>
      </items>
      <extLst>
        <ext xmlns:x14="http://schemas.microsoft.com/office/spreadsheetml/2009/9/main" uri="{2946ED86-A175-432a-8AC1-64E0C546D7DE}">
          <x14:pivotField fillDownLabels="1"/>
        </ext>
      </extLst>
    </pivotField>
    <pivotField compact="0" outline="0" showAll="0" defaultSubtotal="0">
      <items count="9">
        <item x="1"/>
        <item x="5"/>
        <item x="6"/>
        <item x="4"/>
        <item x="3"/>
        <item x="2"/>
        <item x="0"/>
        <item x="7"/>
        <item m="1"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4.xml><?xml version="1.0" encoding="utf-8"?>
<pivotTableDefinition xmlns="http://schemas.openxmlformats.org/spreadsheetml/2006/main" name="PivotTable1" cacheId="6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B21" firstHeaderRow="1" firstDataRow="1" firstDataCol="2"/>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1">
        <item x="0"/>
        <item m="1" x="28"/>
        <item m="1" x="20"/>
        <item x="4"/>
        <item x="15"/>
        <item m="1" x="27"/>
        <item x="6"/>
        <item m="1" x="25"/>
        <item x="13"/>
        <item x="10"/>
        <item m="1" x="26"/>
        <item x="16"/>
        <item x="1"/>
        <item x="11"/>
        <item x="12"/>
        <item m="1" x="19"/>
        <item m="1" x="21"/>
        <item m="1" x="23"/>
        <item m="1" x="29"/>
        <item m="1" x="30"/>
        <item x="17"/>
        <item x="5"/>
        <item m="1" x="22"/>
        <item m="1" x="18"/>
        <item x="14"/>
        <item x="8"/>
        <item m="1" x="24"/>
        <item x="2"/>
        <item x="3"/>
        <item x="7"/>
        <item x="9"/>
      </items>
      <extLst>
        <ext xmlns:x14="http://schemas.microsoft.com/office/spreadsheetml/2009/9/main" uri="{2946ED86-A175-432a-8AC1-64E0C546D7DE}">
          <x14:pivotField fillDownLabels="1"/>
        </ext>
      </extLst>
    </pivotField>
    <pivotField axis="axisRow" compact="0" outline="0" showAll="0" defaultSubtotal="0">
      <items count="9">
        <item x="1"/>
        <item x="5"/>
        <item x="6"/>
        <item x="4"/>
        <item x="3"/>
        <item x="2"/>
        <item x="0"/>
        <item x="7"/>
        <item m="1"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0"/>
    <field x="9"/>
  </rowFields>
  <rowItems count="18">
    <i>
      <x/>
      <x v="12"/>
    </i>
    <i r="1">
      <x v="13"/>
    </i>
    <i>
      <x v="1"/>
      <x v="9"/>
    </i>
    <i r="1">
      <x v="14"/>
    </i>
    <i>
      <x v="2"/>
      <x v="8"/>
    </i>
    <i>
      <x v="3"/>
      <x v="25"/>
    </i>
    <i r="1">
      <x v="30"/>
    </i>
    <i>
      <x v="4"/>
      <x v="29"/>
    </i>
    <i>
      <x v="5"/>
      <x v="6"/>
    </i>
    <i r="1">
      <x v="24"/>
    </i>
    <i r="1">
      <x v="27"/>
    </i>
    <i>
      <x v="6"/>
      <x/>
    </i>
    <i r="1">
      <x v="3"/>
    </i>
    <i r="1">
      <x v="4"/>
    </i>
    <i r="1">
      <x v="11"/>
    </i>
    <i r="1">
      <x v="21"/>
    </i>
    <i r="1">
      <x v="28"/>
    </i>
    <i>
      <x v="7"/>
      <x v="20"/>
    </i>
  </rowItems>
  <colItems count="1">
    <i/>
  </colItems>
  <formats count="14">
    <format dxfId="133">
      <pivotArea dataOnly="0" labelOnly="1" outline="0" offset="IV6:IV256" fieldPosition="0">
        <references count="1">
          <reference field="10" count="1">
            <x v="0"/>
          </reference>
        </references>
      </pivotArea>
    </format>
    <format dxfId="134">
      <pivotArea dataOnly="0" labelOnly="1" outline="0" fieldPosition="0">
        <references count="2">
          <reference field="9" count="2">
            <x v="13"/>
            <x v="15"/>
          </reference>
          <reference field="10" count="1" selected="0">
            <x v="0"/>
          </reference>
        </references>
      </pivotArea>
    </format>
    <format dxfId="135">
      <pivotArea dataOnly="0" labelOnly="1" outline="0" offset="IV256" fieldPosition="0">
        <references count="1">
          <reference field="10" count="1">
            <x v="1"/>
          </reference>
        </references>
      </pivotArea>
    </format>
    <format dxfId="136">
      <pivotArea dataOnly="0" labelOnly="1" outline="0" fieldPosition="0">
        <references count="2">
          <reference field="9" count="1">
            <x v="14"/>
          </reference>
          <reference field="10" count="1" selected="0">
            <x v="1"/>
          </reference>
        </references>
      </pivotArea>
    </format>
    <format dxfId="132">
      <pivotArea dataOnly="0" labelOnly="1" outline="0" fieldPosition="0">
        <references count="1">
          <reference field="10" count="0"/>
        </references>
      </pivotArea>
    </format>
    <format dxfId="131">
      <pivotArea dataOnly="0" labelOnly="1" outline="0" fieldPosition="0">
        <references count="2">
          <reference field="9" count="3">
            <x v="12"/>
            <x v="13"/>
            <x v="15"/>
          </reference>
          <reference field="10" count="1" selected="0">
            <x v="0"/>
          </reference>
        </references>
      </pivotArea>
    </format>
    <format dxfId="130">
      <pivotArea dataOnly="0" labelOnly="1" outline="0" fieldPosition="0">
        <references count="2">
          <reference field="9" count="2">
            <x v="9"/>
            <x v="14"/>
          </reference>
          <reference field="10" count="1" selected="0">
            <x v="1"/>
          </reference>
        </references>
      </pivotArea>
    </format>
    <format dxfId="129">
      <pivotArea dataOnly="0" labelOnly="1" outline="0" fieldPosition="0">
        <references count="2">
          <reference field="9" count="1">
            <x v="8"/>
          </reference>
          <reference field="10" count="1" selected="0">
            <x v="2"/>
          </reference>
        </references>
      </pivotArea>
    </format>
    <format dxfId="128">
      <pivotArea dataOnly="0" labelOnly="1" outline="0" fieldPosition="0">
        <references count="2">
          <reference field="9" count="2">
            <x v="17"/>
            <x v="22"/>
          </reference>
          <reference field="10" count="1" selected="0">
            <x v="3"/>
          </reference>
        </references>
      </pivotArea>
    </format>
    <format dxfId="127">
      <pivotArea dataOnly="0" labelOnly="1" outline="0" fieldPosition="0">
        <references count="2">
          <reference field="9" count="2">
            <x v="10"/>
            <x v="16"/>
          </reference>
          <reference field="10" count="1" selected="0">
            <x v="4"/>
          </reference>
        </references>
      </pivotArea>
    </format>
    <format dxfId="126">
      <pivotArea dataOnly="0" labelOnly="1" outline="0" fieldPosition="0">
        <references count="2">
          <reference field="9" count="4">
            <x v="1"/>
            <x v="6"/>
            <x v="7"/>
            <x v="23"/>
          </reference>
          <reference field="10" count="1" selected="0">
            <x v="5"/>
          </reference>
        </references>
      </pivotArea>
    </format>
    <format dxfId="125">
      <pivotArea dataOnly="0" labelOnly="1" outline="0" fieldPosition="0">
        <references count="2">
          <reference field="9" count="8">
            <x v="0"/>
            <x v="3"/>
            <x v="4"/>
            <x v="5"/>
            <x v="11"/>
            <x v="18"/>
            <x v="19"/>
            <x v="21"/>
          </reference>
          <reference field="10" count="1" selected="0">
            <x v="6"/>
          </reference>
        </references>
      </pivotArea>
    </format>
    <format dxfId="124">
      <pivotArea dataOnly="0" labelOnly="1" outline="0" fieldPosition="0">
        <references count="2">
          <reference field="9" count="1">
            <x v="20"/>
          </reference>
          <reference field="10" count="1" selected="0">
            <x v="7"/>
          </reference>
        </references>
      </pivotArea>
    </format>
    <format dxfId="123">
      <pivotArea dataOnly="0" labelOnly="1" outline="0" fieldPosition="0">
        <references count="2">
          <reference field="9" count="1">
            <x v="2"/>
          </reference>
          <reference field="10" count="1" selected="0">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5.xml><?xml version="1.0" encoding="utf-8"?>
<pivotTableDefinition xmlns="http://schemas.openxmlformats.org/spreadsheetml/2006/main" name="PivotTable1" cacheId="6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F76" firstHeaderRow="1" firstDataRow="1" firstDataCol="5"/>
  <pivotFields count="12">
    <pivotField axis="axisRow" compact="0" outline="0" showAll="0" defaultSubtotal="0">
      <items count="17">
        <item x="11"/>
        <item x="3"/>
        <item x="16"/>
        <item x="12"/>
        <item x="13"/>
        <item x="4"/>
        <item x="14"/>
        <item x="15"/>
        <item x="10"/>
        <item x="2"/>
        <item x="7"/>
        <item x="5"/>
        <item x="6"/>
        <item x="0"/>
        <item x="8"/>
        <item x="1"/>
        <item x="9"/>
      </items>
      <extLst>
        <ext xmlns:x14="http://schemas.microsoft.com/office/spreadsheetml/2009/9/main" uri="{2946ED86-A175-432a-8AC1-64E0C546D7DE}">
          <x14:pivotField fillDownLabels="1"/>
        </ext>
      </extLst>
    </pivotField>
    <pivotField axis="axisRow" compact="0" outline="0" showAll="0" defaultSubtotal="0">
      <items count="15">
        <item m="1" x="13"/>
        <item m="1" x="14"/>
        <item x="9"/>
        <item x="7"/>
        <item x="6"/>
        <item x="3"/>
        <item x="8"/>
        <item x="1"/>
        <item x="2"/>
        <item x="12"/>
        <item x="0"/>
        <item x="4"/>
        <item x="5"/>
        <item x="11"/>
        <item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1">
        <item x="0"/>
        <item m="1" x="28"/>
        <item m="1" x="20"/>
        <item x="4"/>
        <item x="15"/>
        <item m="1" x="27"/>
        <item x="6"/>
        <item m="1" x="25"/>
        <item x="13"/>
        <item x="10"/>
        <item m="1" x="26"/>
        <item x="16"/>
        <item x="1"/>
        <item x="11"/>
        <item x="12"/>
        <item m="1" x="19"/>
        <item m="1" x="21"/>
        <item m="1" x="23"/>
        <item m="1" x="29"/>
        <item m="1" x="30"/>
        <item x="17"/>
        <item x="5"/>
        <item m="1" x="22"/>
        <item m="1" x="18"/>
        <item x="14"/>
        <item x="8"/>
        <item m="1" x="24"/>
        <item x="2"/>
        <item x="3"/>
        <item x="7"/>
        <item x="9"/>
      </items>
      <extLst>
        <ext xmlns:x14="http://schemas.microsoft.com/office/spreadsheetml/2009/9/main" uri="{2946ED86-A175-432a-8AC1-64E0C546D7DE}">
          <x14:pivotField fillDownLabels="1"/>
        </ext>
      </extLst>
    </pivotField>
    <pivotField axis="axisRow" compact="0" outline="0" showAll="0" defaultSubtotal="0">
      <items count="9">
        <item x="1"/>
        <item x="5"/>
        <item x="6"/>
        <item x="4"/>
        <item x="3"/>
        <item x="2"/>
        <item x="0"/>
        <item x="7"/>
        <item m="1" x="8"/>
      </items>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s>
  <rowFields count="5">
    <field x="10"/>
    <field x="9"/>
    <field x="0"/>
    <field x="1"/>
    <field x="11"/>
  </rowFields>
  <rowItems count="73">
    <i>
      <x/>
      <x v="12"/>
      <x v="1"/>
      <x v="8"/>
      <x v="1"/>
    </i>
    <i r="2">
      <x v="5"/>
      <x v="7"/>
      <x v="1"/>
    </i>
    <i r="2">
      <x v="9"/>
      <x v="7"/>
      <x v="1"/>
    </i>
    <i r="2">
      <x v="11"/>
      <x v="7"/>
      <x v="1"/>
    </i>
    <i r="2">
      <x v="15"/>
      <x v="7"/>
      <x v="1"/>
    </i>
    <i r="1">
      <x v="13"/>
      <x v="15"/>
      <x v="5"/>
      <x/>
    </i>
    <i r="3">
      <x v="11"/>
      <x/>
    </i>
    <i>
      <x v="1"/>
      <x v="9"/>
      <x v="11"/>
      <x v="11"/>
      <x/>
    </i>
    <i r="2">
      <x v="15"/>
      <x v="11"/>
      <x v="1"/>
    </i>
    <i r="1">
      <x v="14"/>
      <x v="14"/>
      <x v="11"/>
      <x/>
    </i>
    <i>
      <x v="2"/>
      <x v="8"/>
      <x v="16"/>
      <x v="3"/>
      <x/>
    </i>
    <i r="3">
      <x v="13"/>
      <x/>
    </i>
    <i>
      <x v="3"/>
      <x v="25"/>
      <x v="16"/>
      <x v="3"/>
      <x v="1"/>
    </i>
    <i r="1">
      <x v="30"/>
      <x v="14"/>
      <x v="5"/>
      <x/>
    </i>
    <i r="3">
      <x v="11"/>
      <x/>
    </i>
    <i r="2">
      <x v="15"/>
      <x v="5"/>
      <x/>
    </i>
    <i r="3">
      <x v="7"/>
      <x v="1"/>
    </i>
    <i r="3">
      <x v="11"/>
      <x/>
    </i>
    <i r="4">
      <x v="1"/>
    </i>
    <i>
      <x v="4"/>
      <x v="29"/>
      <x v="15"/>
      <x v="2"/>
      <x v="1"/>
    </i>
    <i r="3">
      <x v="14"/>
      <x v="1"/>
    </i>
    <i>
      <x v="5"/>
      <x v="6"/>
      <x v="7"/>
      <x v="7"/>
      <x v="1"/>
    </i>
    <i r="3">
      <x v="11"/>
      <x v="1"/>
    </i>
    <i r="2">
      <x v="15"/>
      <x v="7"/>
      <x v="1"/>
    </i>
    <i r="3">
      <x v="10"/>
      <x/>
    </i>
    <i r="3">
      <x v="11"/>
      <x v="1"/>
    </i>
    <i r="1">
      <x v="24"/>
      <x v="15"/>
      <x v="11"/>
      <x v="1"/>
    </i>
    <i r="1">
      <x v="27"/>
      <x v="2"/>
      <x v="9"/>
      <x v="1"/>
    </i>
    <i r="2">
      <x v="10"/>
      <x v="5"/>
      <x v="1"/>
    </i>
    <i r="2">
      <x v="12"/>
      <x v="5"/>
      <x v="1"/>
    </i>
    <i r="2">
      <x v="14"/>
      <x v="11"/>
      <x v="1"/>
    </i>
    <i r="2">
      <x v="15"/>
      <x v="5"/>
      <x v="1"/>
    </i>
    <i r="3">
      <x v="7"/>
      <x/>
    </i>
    <i r="3">
      <x v="10"/>
      <x/>
    </i>
    <i>
      <x v="6"/>
      <x/>
      <x v="13"/>
      <x v="10"/>
      <x v="1"/>
    </i>
    <i r="2">
      <x v="15"/>
      <x v="5"/>
      <x v="1"/>
    </i>
    <i r="3">
      <x v="10"/>
      <x v="1"/>
    </i>
    <i r="1">
      <x v="3"/>
      <x v="11"/>
      <x v="12"/>
      <x v="1"/>
    </i>
    <i r="2">
      <x v="15"/>
      <x v="10"/>
      <x v="1"/>
    </i>
    <i r="3">
      <x v="11"/>
      <x/>
    </i>
    <i r="3">
      <x v="12"/>
      <x v="1"/>
    </i>
    <i r="1">
      <x v="4"/>
      <x v="15"/>
      <x v="10"/>
      <x/>
    </i>
    <i r="3">
      <x v="12"/>
      <x/>
    </i>
    <i r="1">
      <x v="11"/>
      <x v="16"/>
      <x v="3"/>
      <x/>
    </i>
    <i r="1">
      <x v="21"/>
      <x v="11"/>
      <x v="10"/>
      <x v="1"/>
    </i>
    <i r="3">
      <x v="11"/>
      <x v="1"/>
    </i>
    <i r="2">
      <x v="14"/>
      <x v="11"/>
      <x v="1"/>
    </i>
    <i r="3">
      <x v="12"/>
      <x/>
    </i>
    <i r="2">
      <x v="15"/>
      <x v="4"/>
      <x v="1"/>
    </i>
    <i r="3">
      <x v="10"/>
      <x v="1"/>
    </i>
    <i r="3">
      <x v="11"/>
      <x v="1"/>
    </i>
    <i r="3">
      <x v="12"/>
      <x v="1"/>
    </i>
    <i r="2">
      <x v="16"/>
      <x v="3"/>
      <x v="1"/>
    </i>
    <i r="1">
      <x v="28"/>
      <x/>
      <x v="4"/>
      <x v="1"/>
    </i>
    <i r="3">
      <x v="11"/>
      <x v="1"/>
    </i>
    <i r="2">
      <x v="3"/>
      <x v="4"/>
      <x v="1"/>
    </i>
    <i r="3">
      <x v="11"/>
      <x v="1"/>
    </i>
    <i r="2">
      <x v="4"/>
      <x v="11"/>
      <x v="1"/>
    </i>
    <i r="2">
      <x v="6"/>
      <x v="11"/>
      <x v="1"/>
    </i>
    <i r="2">
      <x v="8"/>
      <x v="6"/>
      <x v="1"/>
    </i>
    <i r="3">
      <x v="11"/>
      <x v="1"/>
    </i>
    <i r="2">
      <x v="14"/>
      <x v="11"/>
      <x/>
    </i>
    <i r="3">
      <x v="12"/>
      <x/>
    </i>
    <i r="2">
      <x v="15"/>
      <x v="4"/>
      <x v="1"/>
    </i>
    <i r="3">
      <x v="5"/>
      <x/>
    </i>
    <i r="3">
      <x v="10"/>
      <x v="1"/>
    </i>
    <i r="3">
      <x v="11"/>
      <x v="1"/>
    </i>
    <i r="3">
      <x v="12"/>
      <x v="1"/>
    </i>
    <i r="2">
      <x v="16"/>
      <x v="3"/>
      <x/>
    </i>
    <i>
      <x v="7"/>
      <x v="20"/>
      <x v="15"/>
      <x v="5"/>
      <x/>
    </i>
    <i r="3">
      <x v="7"/>
      <x/>
    </i>
    <i r="3">
      <x v="10"/>
      <x/>
    </i>
    <i r="3">
      <x v="11"/>
      <x/>
    </i>
  </rowItems>
  <colItems count="1">
    <i/>
  </colItems>
  <dataFields count="1">
    <dataField name="Average of susbtitution factor" fld="3" subtotal="average" baseField="1" baseItem="11"/>
  </dataFields>
  <formats count="4">
    <format dxfId="119">
      <pivotArea dataOnly="0" labelOnly="1" outline="0" offset="IV6:IV256" fieldPosition="0">
        <references count="1">
          <reference field="10" count="1">
            <x v="0"/>
          </reference>
        </references>
      </pivotArea>
    </format>
    <format dxfId="120">
      <pivotArea dataOnly="0" labelOnly="1" outline="0" fieldPosition="0">
        <references count="2">
          <reference field="9" count="2">
            <x v="13"/>
            <x v="15"/>
          </reference>
          <reference field="10" count="1" selected="0">
            <x v="0"/>
          </reference>
        </references>
      </pivotArea>
    </format>
    <format dxfId="121">
      <pivotArea dataOnly="0" labelOnly="1" outline="0" offset="IV256" fieldPosition="0">
        <references count="1">
          <reference field="10" count="1">
            <x v="1"/>
          </reference>
        </references>
      </pivotArea>
    </format>
    <format dxfId="122">
      <pivotArea dataOnly="0" labelOnly="1" outline="0" fieldPosition="0">
        <references count="2">
          <reference field="9" count="1">
            <x v="14"/>
          </reference>
          <reference field="10"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ables/table1.xml><?xml version="1.0" encoding="utf-8"?>
<table xmlns="http://schemas.openxmlformats.org/spreadsheetml/2006/main" id="4" name="Table15" displayName="Table15" ref="A1:O217" totalsRowShown="0" headerRowDxfId="118">
  <autoFilter ref="A1:O217">
    <filterColumn colId="2">
      <filters>
        <filter val="World"/>
      </filters>
    </filterColumn>
  </autoFilter>
  <tableColumns count="15">
    <tableColumn id="1" name="Model"/>
    <tableColumn id="2" name="Scenario"/>
    <tableColumn id="3" name="Region"/>
    <tableColumn id="4" name="Variable"/>
    <tableColumn id="5" name="Unit"/>
    <tableColumn id="6" name="2005" dataDxfId="117"/>
    <tableColumn id="7" name="2010" dataDxfId="116"/>
    <tableColumn id="8" name="2015" dataDxfId="115"/>
    <tableColumn id="9" name="2020" dataDxfId="114"/>
    <tableColumn id="10" name="2025" dataDxfId="113"/>
    <tableColumn id="11" name="2030" dataDxfId="112"/>
    <tableColumn id="12" name="2035" dataDxfId="111"/>
    <tableColumn id="13" name="2040" dataDxfId="110"/>
    <tableColumn id="14" name="2045" dataDxfId="109"/>
    <tableColumn id="15" name="2050" dataDxfId="108"/>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1:G65" totalsRowShown="0">
  <autoFilter ref="A1:G65"/>
  <tableColumns count="7">
    <tableColumn id="1" name="sector"/>
    <tableColumn id="2" name="subsector"/>
    <tableColumn id="3" name="bio-based_plastics"/>
    <tableColumn id="4" name="traditional_plastics"/>
    <tableColumn id="5" name="data_type"/>
    <tableColumn id="6" name="substitution_factor"/>
    <tableColumn id="7" name="include"/>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L103" totalsRowShown="0">
  <autoFilter ref="A1:L103">
    <filterColumn colId="4">
      <filters>
        <filter val="JRC draft report"/>
        <filter val="JRC technical report: Life Cycle Assessment (LCA) of_x000a_alternative feedstocks for plastics_x000a_production"/>
      </filters>
    </filterColumn>
  </autoFilter>
  <sortState ref="A16:L88">
    <sortCondition ref="J1:J101"/>
  </sortState>
  <tableColumns count="12">
    <tableColumn id="1" name="bio-based plastics"/>
    <tableColumn id="2" name="traditional plastics"/>
    <tableColumn id="11" name="density ratio"/>
    <tableColumn id="3" name="susbtitution factor"/>
    <tableColumn id="4" name="reference"/>
    <tableColumn id="5" name="year"/>
    <tableColumn id="6" name="note"/>
    <tableColumn id="7" name="Column1"/>
    <tableColumn id="8" name="application"/>
    <tableColumn id="9" name="subsector"/>
    <tableColumn id="10" name="sector"/>
    <tableColumn id="12" name="data type"/>
  </tableColumns>
  <tableStyleInfo name="TableStyleMedium2" showFirstColumn="0" showLastColumn="0" showRowStripes="1" showColumnStripes="0"/>
</table>
</file>

<file path=xl/tables/table4.xml><?xml version="1.0" encoding="utf-8"?>
<table xmlns="http://schemas.openxmlformats.org/spreadsheetml/2006/main" id="2" name="Table2" displayName="Table2" ref="A1:P89" totalsRowShown="0">
  <autoFilter ref="A1:P89">
    <filterColumn colId="0">
      <filters>
        <filter val="PLA"/>
        <filter val="PLA_foam"/>
      </filters>
    </filterColumn>
  </autoFilter>
  <sortState ref="A2:O90">
    <sortCondition ref="D1:D90"/>
  </sortState>
  <tableColumns count="16">
    <tableColumn id="1" name="bio-based plastics"/>
    <tableColumn id="2" name="traditional plastics"/>
    <tableColumn id="3" name="application"/>
    <tableColumn id="4" name="sector"/>
    <tableColumn id="16" name="density ratio"/>
    <tableColumn id="5" name="a policy options"/>
    <tableColumn id="6" name="b1 market size"/>
    <tableColumn id="7" name="b3 market trend"/>
    <tableColumn id="8" name="c promise for deployment"/>
    <tableColumn id="9" name="d1 quality of available LCA studies"/>
    <tableColumn id="10" name="d2 LCA scenario number"/>
    <tableColumn id="11" name="f2 durability"/>
    <tableColumn id="12" name="f3 recyclability"/>
    <tableColumn id="13" name="f4 biodegrability"/>
    <tableColumn id="14" name="g1 single vs multiple"/>
    <tableColumn id="15" name="g2 rigid vs flexible"/>
  </tableColumns>
  <tableStyleInfo name="TableStyleMedium2" showFirstColumn="0" showLastColumn="0" showRowStripes="1" showColumnStripes="0"/>
</table>
</file>

<file path=xl/tables/table5.xml><?xml version="1.0" encoding="utf-8"?>
<table xmlns="http://schemas.openxmlformats.org/spreadsheetml/2006/main" id="1" name="Table1" displayName="Table1" ref="A1:G69" totalsRowShown="0">
  <autoFilter ref="A1:G69">
    <filterColumn colId="3">
      <filters>
        <filter val="building and construction"/>
      </filters>
    </filterColumn>
  </autoFilter>
  <sortState ref="A2:E62">
    <sortCondition ref="D1:D62"/>
  </sortState>
  <tableColumns count="7">
    <tableColumn id="1" name="bio-based plastics"/>
    <tableColumn id="2" name="reference"/>
    <tableColumn id="3" name="application"/>
    <tableColumn id="4" name="sector"/>
    <tableColumn id="5" name="Column1"/>
    <tableColumn id="6" name="LCA data?"/>
    <tableColumn id="7" name="Column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onlinelibrary.wiley.com/doi/pdf/10.1002/bbb.2052" TargetMode="External"/><Relationship Id="rId21" Type="http://schemas.openxmlformats.org/officeDocument/2006/relationships/hyperlink" Target="https://onlinelibrary.wiley.com/doi/full/10.1002/bbb.1427" TargetMode="External"/><Relationship Id="rId42" Type="http://schemas.openxmlformats.org/officeDocument/2006/relationships/hyperlink" Target="https://pubs.acs.org/doi/abs/10.1021/acs.iecr.7b03731" TargetMode="External"/><Relationship Id="rId63" Type="http://schemas.openxmlformats.org/officeDocument/2006/relationships/hyperlink" Target="https://onlinelibrary.wiley.com/doi/full/10.1111/gcbb.12652" TargetMode="External"/><Relationship Id="rId84" Type="http://schemas.openxmlformats.org/officeDocument/2006/relationships/hyperlink" Target="https://link.springer.com/article/10.1007%2Fs11367-011-0263-0" TargetMode="External"/><Relationship Id="rId138" Type="http://schemas.openxmlformats.org/officeDocument/2006/relationships/hyperlink" Target="https://www.sciencedirect.com/science/article/pii/S0960852413014806?via%3Dihub" TargetMode="External"/><Relationship Id="rId159" Type="http://schemas.openxmlformats.org/officeDocument/2006/relationships/hyperlink" Target="https://pubs.acs.org/doi/abs/10.1021/acssuschemeng.5b00550" TargetMode="External"/><Relationship Id="rId170" Type="http://schemas.openxmlformats.org/officeDocument/2006/relationships/hyperlink" Target="https://pubs.rsc.org/en/content/articlelanding/2016/gc/c5gc02148k" TargetMode="External"/><Relationship Id="rId191" Type="http://schemas.openxmlformats.org/officeDocument/2006/relationships/hyperlink" Target="https://aip.scitation.org/doi/10.1063/1.4901870" TargetMode="External"/><Relationship Id="rId205" Type="http://schemas.openxmlformats.org/officeDocument/2006/relationships/hyperlink" Target="https://pubs.acs.org/doi/full/10.1021/acs.est.5b05589" TargetMode="External"/><Relationship Id="rId226" Type="http://schemas.openxmlformats.org/officeDocument/2006/relationships/hyperlink" Target="https://www.sciencedirect.com/science/article/pii/S095965262203133X?via%3Dihub" TargetMode="External"/><Relationship Id="rId247" Type="http://schemas.openxmlformats.org/officeDocument/2006/relationships/hyperlink" Target="https://pubs.acs.org/doi/10.1021/acssuschemeng.1c08429" TargetMode="External"/><Relationship Id="rId107" Type="http://schemas.openxmlformats.org/officeDocument/2006/relationships/hyperlink" Target="https://www.sciencedirect.com/science/article/pii/S0048969717309233" TargetMode="External"/><Relationship Id="rId11" Type="http://schemas.openxmlformats.org/officeDocument/2006/relationships/hyperlink" Target="https://onlinelibrary.wiley.com/doi/full/10.1002/bbb.1790" TargetMode="External"/><Relationship Id="rId32" Type="http://schemas.openxmlformats.org/officeDocument/2006/relationships/hyperlink" Target="https://pubs.acs.org/doi/abs/10.1021/acssuschemeng.7b01729" TargetMode="External"/><Relationship Id="rId53" Type="http://schemas.openxmlformats.org/officeDocument/2006/relationships/hyperlink" Target="https://onlinelibrary.wiley.com/doi/full/10.1002/bbb.1986" TargetMode="External"/><Relationship Id="rId74" Type="http://schemas.openxmlformats.org/officeDocument/2006/relationships/hyperlink" Target="https://www.sciencedirect.com/science/article/pii/S0048969720310974" TargetMode="External"/><Relationship Id="rId128" Type="http://schemas.openxmlformats.org/officeDocument/2006/relationships/hyperlink" Target="https://pubs.acs.org/doi/pdf/10.1021/sc4000225" TargetMode="External"/><Relationship Id="rId149" Type="http://schemas.openxmlformats.org/officeDocument/2006/relationships/hyperlink" Target="https://link.springer.com/article/10.1007%2Fs11367-015-0855-1" TargetMode="External"/><Relationship Id="rId5" Type="http://schemas.openxmlformats.org/officeDocument/2006/relationships/hyperlink" Target="https://www.sciencedirect.com/science/article/pii/S0959652611000849?via%3Dihub" TargetMode="External"/><Relationship Id="rId95" Type="http://schemas.openxmlformats.org/officeDocument/2006/relationships/hyperlink" Target="https://www.sciencedirect.com/science/article/pii/S2352550918300824?via%3Dihub" TargetMode="External"/><Relationship Id="rId160" Type="http://schemas.openxmlformats.org/officeDocument/2006/relationships/hyperlink" Target="https://www.sciencedirect.com/science/article/abs/pii/S0960308516300256?via%3Dihub" TargetMode="External"/><Relationship Id="rId181" Type="http://schemas.openxmlformats.org/officeDocument/2006/relationships/hyperlink" Target="https://pubs.acs.org/doi/10.1021/es7032235" TargetMode="External"/><Relationship Id="rId216" Type="http://schemas.openxmlformats.org/officeDocument/2006/relationships/hyperlink" Target="https://pubs.acs.org/doi/full/10.1021/acs.est.5b05589" TargetMode="External"/><Relationship Id="rId237" Type="http://schemas.openxmlformats.org/officeDocument/2006/relationships/hyperlink" Target="https://pubs.rsc.org/en/content/articlelanding/2021/GC/D1GC02430B" TargetMode="External"/><Relationship Id="rId258" Type="http://schemas.openxmlformats.org/officeDocument/2006/relationships/comments" Target="../comments1.xml"/><Relationship Id="rId22" Type="http://schemas.openxmlformats.org/officeDocument/2006/relationships/hyperlink" Target="https://www.sciencedirect.com/science/article/pii/S0921344914002870" TargetMode="External"/><Relationship Id="rId43" Type="http://schemas.openxmlformats.org/officeDocument/2006/relationships/hyperlink" Target="https://www.sciencedirect.com/science/article/pii/S0959652618325046" TargetMode="External"/><Relationship Id="rId64" Type="http://schemas.openxmlformats.org/officeDocument/2006/relationships/hyperlink" Target="https://link.springer.com/article/10.1007/s11367-020-01733-9" TargetMode="External"/><Relationship Id="rId118" Type="http://schemas.openxmlformats.org/officeDocument/2006/relationships/hyperlink" Target="https://onlinelibrary.wiley.com/doi/pdf/10.1002/bbb.2052" TargetMode="External"/><Relationship Id="rId139" Type="http://schemas.openxmlformats.org/officeDocument/2006/relationships/hyperlink" Target="https://link.springer.com/article/10.1007/s11367-008-0004-1" TargetMode="External"/><Relationship Id="rId85" Type="http://schemas.openxmlformats.org/officeDocument/2006/relationships/hyperlink" Target="https://www.sciencedirect.com/science/article/pii/S0959652618312459" TargetMode="External"/><Relationship Id="rId150" Type="http://schemas.openxmlformats.org/officeDocument/2006/relationships/hyperlink" Target="https://link.springer.com/article/10.1007%2Fs11367-015-0855-1" TargetMode="External"/><Relationship Id="rId171" Type="http://schemas.openxmlformats.org/officeDocument/2006/relationships/hyperlink" Target="https://www.sciencedirect.com/science/article/pii/S0959652616313208" TargetMode="External"/><Relationship Id="rId192" Type="http://schemas.openxmlformats.org/officeDocument/2006/relationships/hyperlink" Target="https://www.sciencedirect.com/science/article/pii/S1871678413001295?via%3Dihub" TargetMode="External"/><Relationship Id="rId206" Type="http://schemas.openxmlformats.org/officeDocument/2006/relationships/hyperlink" Target="https://pubs.acs.org/doi/full/10.1021/acs.est.5b05589" TargetMode="External"/><Relationship Id="rId227" Type="http://schemas.openxmlformats.org/officeDocument/2006/relationships/hyperlink" Target="https://www.sciencedirect.com/science/article/pii/S095965262203133X?via%3Dihub" TargetMode="External"/><Relationship Id="rId248" Type="http://schemas.openxmlformats.org/officeDocument/2006/relationships/hyperlink" Target="https://www.sciencedirect.com/science/article/pii/S0959652622046844?via%3Dihub" TargetMode="External"/><Relationship Id="rId12" Type="http://schemas.openxmlformats.org/officeDocument/2006/relationships/hyperlink" Target="https://onlinelibrary.wiley.com/doi/full/10.1002/bbb.1790" TargetMode="External"/><Relationship Id="rId33" Type="http://schemas.openxmlformats.org/officeDocument/2006/relationships/hyperlink" Target="https://onlinelibrary.wiley.com/doi/full/10.1002/bbb.1801" TargetMode="External"/><Relationship Id="rId108" Type="http://schemas.openxmlformats.org/officeDocument/2006/relationships/hyperlink" Target="https://www.sciencedirect.com/science/article/pii/S0048969717309233" TargetMode="External"/><Relationship Id="rId129" Type="http://schemas.openxmlformats.org/officeDocument/2006/relationships/hyperlink" Target="https://pubs.acs.org/doi/pdf/10.1021/sc4000225" TargetMode="External"/><Relationship Id="rId54" Type="http://schemas.openxmlformats.org/officeDocument/2006/relationships/hyperlink" Target="https://www.sciencedirect.com/science/article/pii/S0960852420304508?casa_token=BjeD1jsx1pkAAAAA:BAL9oan6Xa7oFjT2uuKQl-ueA11Cc7QPwyWFpdYDWXN0mV_-9kRomwQmCMFCUd2tchpyxNAhGHs" TargetMode="External"/><Relationship Id="rId70" Type="http://schemas.openxmlformats.org/officeDocument/2006/relationships/hyperlink" Target="https://link.springer.com/article/10.1007%2Fs11367-014-0731-4" TargetMode="External"/><Relationship Id="rId75" Type="http://schemas.openxmlformats.org/officeDocument/2006/relationships/hyperlink" Target="https://www.sciencedirect.com/science/article/pii/S0048969720310974" TargetMode="External"/><Relationship Id="rId91" Type="http://schemas.openxmlformats.org/officeDocument/2006/relationships/hyperlink" Target="https://www.sciencedirect.com/science/article/pii/S0959652617319121" TargetMode="External"/><Relationship Id="rId96" Type="http://schemas.openxmlformats.org/officeDocument/2006/relationships/hyperlink" Target="https://link.springer.com/article/10.1007/s10924-018-1234-3" TargetMode="External"/><Relationship Id="rId140" Type="http://schemas.openxmlformats.org/officeDocument/2006/relationships/hyperlink" Target="https://link.springer.com/article/10.1007/s11367-012-0503-y" TargetMode="External"/><Relationship Id="rId145" Type="http://schemas.openxmlformats.org/officeDocument/2006/relationships/hyperlink" Target="https://pubs.rsc.org/en/content/articlehtml/2019/gc/c9gc00607a" TargetMode="External"/><Relationship Id="rId161" Type="http://schemas.openxmlformats.org/officeDocument/2006/relationships/hyperlink" Target="https://www.sciencedirect.com/science/article/pii/S0959652616312525?via%3Dihub" TargetMode="External"/><Relationship Id="rId166" Type="http://schemas.openxmlformats.org/officeDocument/2006/relationships/hyperlink" Target="https://pubs.rsc.org/en/content/articlelanding/2016/gc/c5gc02148k" TargetMode="External"/><Relationship Id="rId182" Type="http://schemas.openxmlformats.org/officeDocument/2006/relationships/hyperlink" Target="https://pubs.acs.org/doi/abs/10.1021/es8004199" TargetMode="External"/><Relationship Id="rId187" Type="http://schemas.openxmlformats.org/officeDocument/2006/relationships/hyperlink" Target="https://link.springer.com/article/10.1007%2Fs11367-014-0725-2" TargetMode="External"/><Relationship Id="rId217" Type="http://schemas.openxmlformats.org/officeDocument/2006/relationships/hyperlink" Target="https://pubs.acs.org/doi/full/10.1021/acs.est.5b05589" TargetMode="External"/><Relationship Id="rId1" Type="http://schemas.openxmlformats.org/officeDocument/2006/relationships/hyperlink" Target="https://pubs.acs.org/doi/abs/10.1021/ie801612p" TargetMode="External"/><Relationship Id="rId6" Type="http://schemas.openxmlformats.org/officeDocument/2006/relationships/hyperlink" Target="https://onlinelibrary.wiley.com/doi/full/10.1111/j.1530-9290.2011.00405.x" TargetMode="External"/><Relationship Id="rId212" Type="http://schemas.openxmlformats.org/officeDocument/2006/relationships/hyperlink" Target="https://www.sciencedirect.com/science/article/pii/S0961953415301860?via%3Dihub" TargetMode="External"/><Relationship Id="rId233" Type="http://schemas.openxmlformats.org/officeDocument/2006/relationships/hyperlink" Target="https://www.sciencedirect.com/science/article/pii/S0959652622033042?via%3Dihub" TargetMode="External"/><Relationship Id="rId238" Type="http://schemas.openxmlformats.org/officeDocument/2006/relationships/hyperlink" Target="https://www.sciencedirect.com/science/article/pii/S0921344922004700?via%3Dihub" TargetMode="External"/><Relationship Id="rId254" Type="http://schemas.openxmlformats.org/officeDocument/2006/relationships/hyperlink" Target="https://www.mdpi.com/2071-1050/14/3/1384" TargetMode="External"/><Relationship Id="rId23" Type="http://schemas.openxmlformats.org/officeDocument/2006/relationships/hyperlink" Target="https://www.sciencedirect.com/science/article/pii/S0921344914002870" TargetMode="External"/><Relationship Id="rId28" Type="http://schemas.openxmlformats.org/officeDocument/2006/relationships/hyperlink" Target="https://pubs.acs.org/doi/abs/10.1021/acssuschemeng.7b01729" TargetMode="External"/><Relationship Id="rId49" Type="http://schemas.openxmlformats.org/officeDocument/2006/relationships/hyperlink" Target="https://onlinelibrary.wiley.com/doi/full/10.1002/bbb.1986" TargetMode="External"/><Relationship Id="rId114" Type="http://schemas.openxmlformats.org/officeDocument/2006/relationships/hyperlink" Target="https://onlinelibrary.wiley.com/doi/pdf/10.1002/bbb.2052" TargetMode="External"/><Relationship Id="rId119" Type="http://schemas.openxmlformats.org/officeDocument/2006/relationships/hyperlink" Target="https://onlinelibrary.wiley.com/doi/pdf/10.1002/bbb.2052" TargetMode="External"/><Relationship Id="rId44" Type="http://schemas.openxmlformats.org/officeDocument/2006/relationships/hyperlink" Target="https://www.sciencedirect.com/science/article/pii/S0959652618325046" TargetMode="External"/><Relationship Id="rId60" Type="http://schemas.openxmlformats.org/officeDocument/2006/relationships/hyperlink" Target="https://pubs.rsc.org/en/content/articlehtml/2020/gc/c9gc02992c" TargetMode="External"/><Relationship Id="rId65" Type="http://schemas.openxmlformats.org/officeDocument/2006/relationships/hyperlink" Target="https://www.mdpi.com/1996-1073/12/23/4502/htm" TargetMode="External"/><Relationship Id="rId81" Type="http://schemas.openxmlformats.org/officeDocument/2006/relationships/hyperlink" Target="https://www.sciencedirect.com/science/article/pii/S0921344917302793?via%3Dihub" TargetMode="External"/><Relationship Id="rId86" Type="http://schemas.openxmlformats.org/officeDocument/2006/relationships/hyperlink" Target="https://onlinelibrary.wiley.com/doi/epdf/10.1002/bbb.1734" TargetMode="External"/><Relationship Id="rId130" Type="http://schemas.openxmlformats.org/officeDocument/2006/relationships/hyperlink" Target="https://www.sciencedirect.com/science/article/pii/S0921344915300434" TargetMode="External"/><Relationship Id="rId135" Type="http://schemas.openxmlformats.org/officeDocument/2006/relationships/hyperlink" Target="https://www.sciencedirect.com/science/article/pii/S0266353815300725" TargetMode="External"/><Relationship Id="rId151" Type="http://schemas.openxmlformats.org/officeDocument/2006/relationships/hyperlink" Target="https://link.springer.com/article/10.1007%2Fs11367-015-0855-1" TargetMode="External"/><Relationship Id="rId156" Type="http://schemas.openxmlformats.org/officeDocument/2006/relationships/hyperlink" Target="https://pubs.rsc.org/en/content/articlelanding/2016/GC/C5GC02065D" TargetMode="External"/><Relationship Id="rId177" Type="http://schemas.openxmlformats.org/officeDocument/2006/relationships/hyperlink" Target="https://pubs.rsc.org/en/content/articlelanding/2015/ee/c4ee03352c" TargetMode="External"/><Relationship Id="rId198" Type="http://schemas.openxmlformats.org/officeDocument/2006/relationships/hyperlink" Target="https://www.sciencedirect.com/science/article/pii/S0959652615010197?via%3Dihub" TargetMode="External"/><Relationship Id="rId172" Type="http://schemas.openxmlformats.org/officeDocument/2006/relationships/hyperlink" Target="https://www.sciencedirect.com/science/article/pii/S0959652616313208" TargetMode="External"/><Relationship Id="rId193" Type="http://schemas.openxmlformats.org/officeDocument/2006/relationships/hyperlink" Target="https://www.sciencedirect.com/science/article/pii/S1871678413001295?via%3Dihub" TargetMode="External"/><Relationship Id="rId202" Type="http://schemas.openxmlformats.org/officeDocument/2006/relationships/hyperlink" Target="https://www.sciencedirect.com/science/article/pii/S0959652616309908?via%3Dihub" TargetMode="External"/><Relationship Id="rId207" Type="http://schemas.openxmlformats.org/officeDocument/2006/relationships/hyperlink" Target="https://pubs.acs.org/doi/full/10.1021/acs.est.5b05589" TargetMode="External"/><Relationship Id="rId223" Type="http://schemas.openxmlformats.org/officeDocument/2006/relationships/hyperlink" Target="https://pubs.rsc.org/en/content/articlelanding/2022/GC/D2GC01219G" TargetMode="External"/><Relationship Id="rId228" Type="http://schemas.openxmlformats.org/officeDocument/2006/relationships/hyperlink" Target="https://www.sciencedirect.com/science/article/pii/S095965262203133X?via%3Dihub" TargetMode="External"/><Relationship Id="rId244" Type="http://schemas.openxmlformats.org/officeDocument/2006/relationships/hyperlink" Target="https://www.sciencedirect.com/science/article/pii/S0956053X22005803?via%3Dihub" TargetMode="External"/><Relationship Id="rId249" Type="http://schemas.openxmlformats.org/officeDocument/2006/relationships/hyperlink" Target="https://www.sciencedirect.com/science/article/pii/S0959652622049058?via%3Dihub" TargetMode="External"/><Relationship Id="rId13" Type="http://schemas.openxmlformats.org/officeDocument/2006/relationships/hyperlink" Target="https://link.springer.com/article/10.1007/s11367-013-0564-6" TargetMode="External"/><Relationship Id="rId18" Type="http://schemas.openxmlformats.org/officeDocument/2006/relationships/hyperlink" Target="https://pubs.acs.org/doi/abs/10.1021/es503766e" TargetMode="External"/><Relationship Id="rId39" Type="http://schemas.openxmlformats.org/officeDocument/2006/relationships/hyperlink" Target="https://pubs.acs.org/doi/abs/10.1021/acs.est.6b06220" TargetMode="External"/><Relationship Id="rId109" Type="http://schemas.openxmlformats.org/officeDocument/2006/relationships/hyperlink" Target="https://onlinelibrary.wiley.com/doi/pdf/10.1002/bbb.1893?casa_token=D3IhTp5M_nUAAAAA:N1ZT3y60ApzHpxerDq_BP3jf5c3mYcaNdwcbJRFor9oK0gshR-HYLdLeEqfMaFZep5K2YAXeg13vwU7Z" TargetMode="External"/><Relationship Id="rId34" Type="http://schemas.openxmlformats.org/officeDocument/2006/relationships/hyperlink" Target="https://onlinelibrary.wiley.com/doi/full/10.1002/bbb.1801" TargetMode="External"/><Relationship Id="rId50" Type="http://schemas.openxmlformats.org/officeDocument/2006/relationships/hyperlink" Target="https://onlinelibrary.wiley.com/doi/full/10.1002/bbb.1986" TargetMode="External"/><Relationship Id="rId55" Type="http://schemas.openxmlformats.org/officeDocument/2006/relationships/hyperlink" Target="https://pubs.rsc.org/en/content/articlehtml/2020/gc/c9gc02992c" TargetMode="External"/><Relationship Id="rId76" Type="http://schemas.openxmlformats.org/officeDocument/2006/relationships/hyperlink" Target="https://www.sciencedirect.com/science/article/pii/S0141391002004007" TargetMode="External"/><Relationship Id="rId97" Type="http://schemas.openxmlformats.org/officeDocument/2006/relationships/hyperlink" Target="https://www.sciencedirect.com/science/article/pii/S0959652616320145?via%3Dihub" TargetMode="External"/><Relationship Id="rId104" Type="http://schemas.openxmlformats.org/officeDocument/2006/relationships/hyperlink" Target="https://pubs.acs.org/doi/abs/10.1021/acssuschemeng.9b04930" TargetMode="External"/><Relationship Id="rId120" Type="http://schemas.openxmlformats.org/officeDocument/2006/relationships/hyperlink" Target="https://onlinelibrary.wiley.com/doi/pdf/10.1002/bbb.2052" TargetMode="External"/><Relationship Id="rId125" Type="http://schemas.openxmlformats.org/officeDocument/2006/relationships/hyperlink" Target="https://www.sciencedirect.com/science/article/pii/S0959652612002569" TargetMode="External"/><Relationship Id="rId141" Type="http://schemas.openxmlformats.org/officeDocument/2006/relationships/hyperlink" Target="https://onlinelibrary.wiley.com/doi/pdf/10.1002/bbb.1406" TargetMode="External"/><Relationship Id="rId146" Type="http://schemas.openxmlformats.org/officeDocument/2006/relationships/hyperlink" Target="https://pubs.acs.org/doi/10.1021/ie5037287" TargetMode="External"/><Relationship Id="rId167" Type="http://schemas.openxmlformats.org/officeDocument/2006/relationships/hyperlink" Target="https://pubs.rsc.org/en/content/articlelanding/2016/gc/c5gc02148k" TargetMode="External"/><Relationship Id="rId188" Type="http://schemas.openxmlformats.org/officeDocument/2006/relationships/hyperlink" Target="https://link.springer.com/article/10.1007%2Fs11367-014-0725-2" TargetMode="External"/><Relationship Id="rId7" Type="http://schemas.openxmlformats.org/officeDocument/2006/relationships/hyperlink" Target="https://onlinelibrary.wiley.com/doi/full/10.1002/bbb.1790" TargetMode="External"/><Relationship Id="rId71" Type="http://schemas.openxmlformats.org/officeDocument/2006/relationships/hyperlink" Target="https://link.springer.com/article/10.1007%2Fs11367-014-0731-4" TargetMode="External"/><Relationship Id="rId92" Type="http://schemas.openxmlformats.org/officeDocument/2006/relationships/hyperlink" Target="https://www.sciencedirect.com/science/article/pii/S0959652617319121" TargetMode="External"/><Relationship Id="rId162" Type="http://schemas.openxmlformats.org/officeDocument/2006/relationships/hyperlink" Target="https://www.sciencedirect.com/science/article/pii/S0959652616312525?via%3Dihub" TargetMode="External"/><Relationship Id="rId183" Type="http://schemas.openxmlformats.org/officeDocument/2006/relationships/hyperlink" Target="https://www.sciencedirect.com/science/article/pii/S0921344912000092?via%3Dihub" TargetMode="External"/><Relationship Id="rId213" Type="http://schemas.openxmlformats.org/officeDocument/2006/relationships/hyperlink" Target="https://pubs.acs.org/doi/full/10.1021/acs.est.5b05589" TargetMode="External"/><Relationship Id="rId218" Type="http://schemas.openxmlformats.org/officeDocument/2006/relationships/hyperlink" Target="https://pubs.acs.org/doi/full/10.1021/acs.est.5b05589" TargetMode="External"/><Relationship Id="rId234" Type="http://schemas.openxmlformats.org/officeDocument/2006/relationships/hyperlink" Target="https://onlinelibrary.wiley.com/doi/10.1002/bbb.2444" TargetMode="External"/><Relationship Id="rId239" Type="http://schemas.openxmlformats.org/officeDocument/2006/relationships/hyperlink" Target="https://www.sciencedirect.com/science/article/pii/S2666789422000162?via%3Dihub" TargetMode="External"/><Relationship Id="rId2" Type="http://schemas.openxmlformats.org/officeDocument/2006/relationships/hyperlink" Target="https://www.sciencedirect.com/science/article/pii/S0959652617313914" TargetMode="External"/><Relationship Id="rId29" Type="http://schemas.openxmlformats.org/officeDocument/2006/relationships/hyperlink" Target="https://pubs.acs.org/doi/abs/10.1021/acssuschemeng.7b01729" TargetMode="External"/><Relationship Id="rId250" Type="http://schemas.openxmlformats.org/officeDocument/2006/relationships/hyperlink" Target="https://www.sciencedirect.com/science/article/pii/S2211926423000693?via%3Dihub" TargetMode="External"/><Relationship Id="rId255" Type="http://schemas.openxmlformats.org/officeDocument/2006/relationships/hyperlink" Target="https://onlinelibrary.wiley.com/doi/full/10.1002/bbb.1405" TargetMode="External"/><Relationship Id="rId24" Type="http://schemas.openxmlformats.org/officeDocument/2006/relationships/hyperlink" Target="https://www.sciencedirect.com/science/article/pii/S0921344914002870" TargetMode="External"/><Relationship Id="rId40" Type="http://schemas.openxmlformats.org/officeDocument/2006/relationships/hyperlink" Target="https://pubs.acs.org/doi/abs/10.1021/acssuschemeng.8b00215" TargetMode="External"/><Relationship Id="rId45" Type="http://schemas.openxmlformats.org/officeDocument/2006/relationships/hyperlink" Target="https://www.sciencedirect.com/science/article/pii/S0959652618325046" TargetMode="External"/><Relationship Id="rId66" Type="http://schemas.openxmlformats.org/officeDocument/2006/relationships/hyperlink" Target="https://www.sciencedirect.com/science/article/pii/S0048969720338791" TargetMode="External"/><Relationship Id="rId87" Type="http://schemas.openxmlformats.org/officeDocument/2006/relationships/hyperlink" Target="https://onlinelibrary.wiley.com/doi/epdf/10.1002/bbb.1734" TargetMode="External"/><Relationship Id="rId110" Type="http://schemas.openxmlformats.org/officeDocument/2006/relationships/hyperlink" Target="https://onlinelibrary.wiley.com/doi/pdf/10.1002/bbb.1893?casa_token=D3IhTp5M_nUAAAAA:N1ZT3y60ApzHpxerDq_BP3jf5c3mYcaNdwcbJRFor9oK0gshR-HYLdLeEqfMaFZep5K2YAXeg13vwU7Z" TargetMode="External"/><Relationship Id="rId115" Type="http://schemas.openxmlformats.org/officeDocument/2006/relationships/hyperlink" Target="https://onlinelibrary.wiley.com/doi/pdf/10.1002/bbb.2052" TargetMode="External"/><Relationship Id="rId131" Type="http://schemas.openxmlformats.org/officeDocument/2006/relationships/hyperlink" Target="https://www.sciencedirect.com/science/article/pii/S0921344915300434" TargetMode="External"/><Relationship Id="rId136" Type="http://schemas.openxmlformats.org/officeDocument/2006/relationships/hyperlink" Target="https://www.sciencedirect.com/science/article/pii/S0960852413014806?via%3Dihub" TargetMode="External"/><Relationship Id="rId157" Type="http://schemas.openxmlformats.org/officeDocument/2006/relationships/hyperlink" Target="https://pubs.rsc.org/en/content/articlelanding/2016/GC/C5GC02065D" TargetMode="External"/><Relationship Id="rId178" Type="http://schemas.openxmlformats.org/officeDocument/2006/relationships/hyperlink" Target="https://pubs.rsc.org/en/content/articlelanding/2015/ee/c4ee03352c" TargetMode="External"/><Relationship Id="rId61" Type="http://schemas.openxmlformats.org/officeDocument/2006/relationships/hyperlink" Target="https://onlinelibrary.wiley.com/doi/full/10.1002/bit.27299" TargetMode="External"/><Relationship Id="rId82" Type="http://schemas.openxmlformats.org/officeDocument/2006/relationships/hyperlink" Target="https://www.sciencedirect.com/science/article/pii/S0959652617325313" TargetMode="External"/><Relationship Id="rId152" Type="http://schemas.openxmlformats.org/officeDocument/2006/relationships/hyperlink" Target="https://pubs.rsc.org/en/content/articlelanding/2016/GC/C5GC02065D" TargetMode="External"/><Relationship Id="rId173" Type="http://schemas.openxmlformats.org/officeDocument/2006/relationships/hyperlink" Target="https://www.sciencedirect.com/science/article/pii/S0959652616313208" TargetMode="External"/><Relationship Id="rId194" Type="http://schemas.openxmlformats.org/officeDocument/2006/relationships/hyperlink" Target="http://jopr.mpob.gov.my/wp-content/uploads/2015/06/joprv27june-noorazah1.pdf" TargetMode="External"/><Relationship Id="rId199" Type="http://schemas.openxmlformats.org/officeDocument/2006/relationships/hyperlink" Target="https://www.sciencedirect.com/science/article/pii/S0959652616304449" TargetMode="External"/><Relationship Id="rId203" Type="http://schemas.openxmlformats.org/officeDocument/2006/relationships/hyperlink" Target="https://pubs.acs.org/doi/full/10.1021/acs.est.5b05589" TargetMode="External"/><Relationship Id="rId208" Type="http://schemas.openxmlformats.org/officeDocument/2006/relationships/hyperlink" Target="https://pubs.acs.org/doi/full/10.1021/acs.est.5b05589" TargetMode="External"/><Relationship Id="rId229" Type="http://schemas.openxmlformats.org/officeDocument/2006/relationships/hyperlink" Target="https://www.sciencedirect.com/science/article/pii/S0959652622033042?via%3Dihub" TargetMode="External"/><Relationship Id="rId19" Type="http://schemas.openxmlformats.org/officeDocument/2006/relationships/hyperlink" Target="https://pubs.acs.org/doi/abs/10.1021/es503766e" TargetMode="External"/><Relationship Id="rId224" Type="http://schemas.openxmlformats.org/officeDocument/2006/relationships/hyperlink" Target="https://pubs.rsc.org/en/content/articlelanding/2022/GC/D2GC01219G" TargetMode="External"/><Relationship Id="rId240" Type="http://schemas.openxmlformats.org/officeDocument/2006/relationships/hyperlink" Target="https://www.sciencedirect.com/science/article/pii/S2666789422000162?via%3Dihub" TargetMode="External"/><Relationship Id="rId245" Type="http://schemas.openxmlformats.org/officeDocument/2006/relationships/hyperlink" Target="https://www.sciencedirect.com/science/article/pii/S0956053X22005256?via%3Dihub" TargetMode="External"/><Relationship Id="rId14" Type="http://schemas.openxmlformats.org/officeDocument/2006/relationships/hyperlink" Target="https://www.sciencedirect.com/science/article/pii/S0960852413014806?via%3Dihub" TargetMode="External"/><Relationship Id="rId30" Type="http://schemas.openxmlformats.org/officeDocument/2006/relationships/hyperlink" Target="https://pubs.acs.org/doi/abs/10.1021/acssuschemeng.7b01729" TargetMode="External"/><Relationship Id="rId35" Type="http://schemas.openxmlformats.org/officeDocument/2006/relationships/hyperlink" Target="https://onlinelibrary.wiley.com/doi/full/10.1002/bbb.1801" TargetMode="External"/><Relationship Id="rId56" Type="http://schemas.openxmlformats.org/officeDocument/2006/relationships/hyperlink" Target="https://pubs.rsc.org/en/content/articlehtml/2020/gc/c9gc02992c" TargetMode="External"/><Relationship Id="rId77" Type="http://schemas.openxmlformats.org/officeDocument/2006/relationships/hyperlink" Target="https://www.sciencedirect.com/science/article/pii/S0141391002004007" TargetMode="External"/><Relationship Id="rId100" Type="http://schemas.openxmlformats.org/officeDocument/2006/relationships/hyperlink" Target="https://pubs.rsc.org/en/content/articlelanding/2019/GC/C9GC03055G" TargetMode="External"/><Relationship Id="rId105" Type="http://schemas.openxmlformats.org/officeDocument/2006/relationships/hyperlink" Target="https://www.sciencedirect.com/science/article/pii/S0959652620314505" TargetMode="External"/><Relationship Id="rId126" Type="http://schemas.openxmlformats.org/officeDocument/2006/relationships/hyperlink" Target="https://pubs.acs.org/doi/pdf/10.1021/sc4000225" TargetMode="External"/><Relationship Id="rId147" Type="http://schemas.openxmlformats.org/officeDocument/2006/relationships/hyperlink" Target="https://pubs.rsc.org/en/content/articlelanding/2015/GC/C5GC01549A" TargetMode="External"/><Relationship Id="rId168" Type="http://schemas.openxmlformats.org/officeDocument/2006/relationships/hyperlink" Target="https://pubs.rsc.org/en/content/articlelanding/2016/gc/c5gc02148k" TargetMode="External"/><Relationship Id="rId8" Type="http://schemas.openxmlformats.org/officeDocument/2006/relationships/hyperlink" Target="https://onlinelibrary.wiley.com/doi/full/10.1002/bbb.1790" TargetMode="External"/><Relationship Id="rId51" Type="http://schemas.openxmlformats.org/officeDocument/2006/relationships/hyperlink" Target="https://onlinelibrary.wiley.com/doi/full/10.1002/bbb.1986" TargetMode="External"/><Relationship Id="rId72" Type="http://schemas.openxmlformats.org/officeDocument/2006/relationships/hyperlink" Target="https://www.sciencedirect.com/science/article/pii/S0959652618306930" TargetMode="External"/><Relationship Id="rId93" Type="http://schemas.openxmlformats.org/officeDocument/2006/relationships/hyperlink" Target="https://www.sciencedirect.com/science/article/pii/S0959652617319121" TargetMode="External"/><Relationship Id="rId98" Type="http://schemas.openxmlformats.org/officeDocument/2006/relationships/hyperlink" Target="https://onlinelibrary.wiley.com/doi/epdf/10.1002/bbb.1849" TargetMode="External"/><Relationship Id="rId121" Type="http://schemas.openxmlformats.org/officeDocument/2006/relationships/hyperlink" Target="https://onlinelibrary.wiley.com/doi/pdf/10.1002/bbb.2052" TargetMode="External"/><Relationship Id="rId142" Type="http://schemas.openxmlformats.org/officeDocument/2006/relationships/hyperlink" Target="https://www.sciencedirect.com/science/article/pii/S0959652613004873" TargetMode="External"/><Relationship Id="rId163" Type="http://schemas.openxmlformats.org/officeDocument/2006/relationships/hyperlink" Target="https://pubs.rsc.org/en/content/articlelanding/2016/ee/c6ee00634e" TargetMode="External"/><Relationship Id="rId184" Type="http://schemas.openxmlformats.org/officeDocument/2006/relationships/hyperlink" Target="https://pubs.rsc.org/en/content/articlelanding/2012/ee/c2ee02480b" TargetMode="External"/><Relationship Id="rId189" Type="http://schemas.openxmlformats.org/officeDocument/2006/relationships/hyperlink" Target="https://www.sciencedirect.com/science/article/pii/S0959652613006331?via%3Dihub" TargetMode="External"/><Relationship Id="rId219" Type="http://schemas.openxmlformats.org/officeDocument/2006/relationships/hyperlink" Target="https://www.sciencedirect.com/science/article/abs/pii/S0195925522001858?via%3Dihub" TargetMode="External"/><Relationship Id="rId3" Type="http://schemas.openxmlformats.org/officeDocument/2006/relationships/hyperlink" Target="https://onlinelibrary.wiley.com/doi/full/10.1002/bbb.1790" TargetMode="External"/><Relationship Id="rId214" Type="http://schemas.openxmlformats.org/officeDocument/2006/relationships/hyperlink" Target="https://pubs.acs.org/doi/full/10.1021/acs.est.5b05589" TargetMode="External"/><Relationship Id="rId230" Type="http://schemas.openxmlformats.org/officeDocument/2006/relationships/hyperlink" Target="https://www.sciencedirect.com/science/article/pii/S0959652622033042?via%3Dihub" TargetMode="External"/><Relationship Id="rId235" Type="http://schemas.openxmlformats.org/officeDocument/2006/relationships/hyperlink" Target="https://onlinelibrary.wiley.com/doi/10.1002/bbb.2444" TargetMode="External"/><Relationship Id="rId251" Type="http://schemas.openxmlformats.org/officeDocument/2006/relationships/hyperlink" Target="https://www.sciencedirect.com/science/article/pii/S0959652616306515" TargetMode="External"/><Relationship Id="rId256" Type="http://schemas.openxmlformats.org/officeDocument/2006/relationships/printerSettings" Target="../printerSettings/printerSettings1.bin"/><Relationship Id="rId25" Type="http://schemas.openxmlformats.org/officeDocument/2006/relationships/hyperlink" Target="https://pubs.acs.org/doi/abs/10.1021/acssuschemeng.7b00286" TargetMode="External"/><Relationship Id="rId46" Type="http://schemas.openxmlformats.org/officeDocument/2006/relationships/hyperlink" Target="https://www.sciencedirect.com/science/article/pii/S0959652618322297" TargetMode="External"/><Relationship Id="rId67" Type="http://schemas.openxmlformats.org/officeDocument/2006/relationships/hyperlink" Target="https://www.sciencedirect.com/science/article/pii/S0048969720338791" TargetMode="External"/><Relationship Id="rId116" Type="http://schemas.openxmlformats.org/officeDocument/2006/relationships/hyperlink" Target="https://onlinelibrary.wiley.com/doi/pdf/10.1002/bbb.2052" TargetMode="External"/><Relationship Id="rId137" Type="http://schemas.openxmlformats.org/officeDocument/2006/relationships/hyperlink" Target="https://www.sciencedirect.com/science/article/pii/S0960852413014806?via%3Dihub" TargetMode="External"/><Relationship Id="rId158" Type="http://schemas.openxmlformats.org/officeDocument/2006/relationships/hyperlink" Target="https://www.mdpi.com/1996-1944/9/7/563/htm" TargetMode="External"/><Relationship Id="rId20" Type="http://schemas.openxmlformats.org/officeDocument/2006/relationships/hyperlink" Target="https://onlinelibrary.wiley.com/doi/full/10.1002/bbb.1427" TargetMode="External"/><Relationship Id="rId41" Type="http://schemas.openxmlformats.org/officeDocument/2006/relationships/hyperlink" Target="https://pubs.acs.org/doi/abs/10.1021/acs.iecr.7b03731" TargetMode="External"/><Relationship Id="rId62" Type="http://schemas.openxmlformats.org/officeDocument/2006/relationships/hyperlink" Target="https://onlinelibrary.wiley.com/doi/full/10.1111/gcbb.12652" TargetMode="External"/><Relationship Id="rId83" Type="http://schemas.openxmlformats.org/officeDocument/2006/relationships/hyperlink" Target="https://www.sciencedirect.com/science/article/pii/S0959652617332377" TargetMode="External"/><Relationship Id="rId88" Type="http://schemas.openxmlformats.org/officeDocument/2006/relationships/hyperlink" Target="https://onlinelibrary.wiley.com/doi/epdf/10.1002/bbb.1734" TargetMode="External"/><Relationship Id="rId111" Type="http://schemas.openxmlformats.org/officeDocument/2006/relationships/hyperlink" Target="https://www.researchgate.net/profile/Israel_Herrera2/publication/318657420_Are_Polymers_Toxic_Case_Study_Environmental_Impact_of_a_Biopolymer/links/5a2d18e845851552ae7ccfbc/Are-Polymers-Toxic-Case-Study-Environmental-Impact-of-a-Biopolymer.pdf" TargetMode="External"/><Relationship Id="rId132" Type="http://schemas.openxmlformats.org/officeDocument/2006/relationships/hyperlink" Target="https://pubs.acs.org/doi/full/10.1021/acssuschemeng.5b00209" TargetMode="External"/><Relationship Id="rId153" Type="http://schemas.openxmlformats.org/officeDocument/2006/relationships/hyperlink" Target="https://pubs.rsc.org/en/content/articlelanding/2016/GC/C5GC02065D" TargetMode="External"/><Relationship Id="rId174" Type="http://schemas.openxmlformats.org/officeDocument/2006/relationships/hyperlink" Target="https://pubs.rsc.org/en/content/articlelanding/2015/ee/c4ee03352c" TargetMode="External"/><Relationship Id="rId179" Type="http://schemas.openxmlformats.org/officeDocument/2006/relationships/hyperlink" Target="https://pubs.rsc.org/en/content/articlelanding/2015/ee/c4ee03352c" TargetMode="External"/><Relationship Id="rId195" Type="http://schemas.openxmlformats.org/officeDocument/2006/relationships/hyperlink" Target="https://www.sciencedirect.com/science/article/pii/S0959652614009718?casa_token=RPRzU58u7R4AAAAA:2B4rhuYlfCKAjryBci4Zm5PNSEjMj4v0NYi3AIezJ-FHHqGt5snFRkg0fz5KJhW4K3rgYx7De2s" TargetMode="External"/><Relationship Id="rId209" Type="http://schemas.openxmlformats.org/officeDocument/2006/relationships/hyperlink" Target="https://www.sciencedirect.com/science/article/pii/S0961953415301860?via%3Dihub" TargetMode="External"/><Relationship Id="rId190" Type="http://schemas.openxmlformats.org/officeDocument/2006/relationships/hyperlink" Target="https://www.sciencedirect.com/science/article/pii/S0959652613006331?via%3Dihub" TargetMode="External"/><Relationship Id="rId204" Type="http://schemas.openxmlformats.org/officeDocument/2006/relationships/hyperlink" Target="https://pubs.acs.org/doi/full/10.1021/acs.est.5b05589" TargetMode="External"/><Relationship Id="rId220" Type="http://schemas.openxmlformats.org/officeDocument/2006/relationships/hyperlink" Target="https://www.sciencedirect.com/science/article/pii/S2666789421000283?via%3Dihub" TargetMode="External"/><Relationship Id="rId225" Type="http://schemas.openxmlformats.org/officeDocument/2006/relationships/hyperlink" Target="https://www.sciencedirect.com/science/article/pii/S095965262203133X?via%3Dihub" TargetMode="External"/><Relationship Id="rId241" Type="http://schemas.openxmlformats.org/officeDocument/2006/relationships/hyperlink" Target="https://www.sciencedirect.com/science/article/pii/S0959652622001494?via%3Dihub" TargetMode="External"/><Relationship Id="rId246" Type="http://schemas.openxmlformats.org/officeDocument/2006/relationships/hyperlink" Target="https://pubs.acs.org/doi/10.1021/acssuschemeng.1c08429" TargetMode="External"/><Relationship Id="rId15" Type="http://schemas.openxmlformats.org/officeDocument/2006/relationships/hyperlink" Target="https://link.springer.com/article/10.1007/s11367-014-0745-y" TargetMode="External"/><Relationship Id="rId36" Type="http://schemas.openxmlformats.org/officeDocument/2006/relationships/hyperlink" Target="https://link.springer.com/article/10.1007/s10098-017-1401-6" TargetMode="External"/><Relationship Id="rId57" Type="http://schemas.openxmlformats.org/officeDocument/2006/relationships/hyperlink" Target="https://pubs.rsc.org/en/content/articlehtml/2020/gc/c9gc02992c" TargetMode="External"/><Relationship Id="rId106" Type="http://schemas.openxmlformats.org/officeDocument/2006/relationships/hyperlink" Target="https://www.sciencedirect.com/science/article/pii/S0959652620314505" TargetMode="External"/><Relationship Id="rId127" Type="http://schemas.openxmlformats.org/officeDocument/2006/relationships/hyperlink" Target="https://pubs.acs.org/doi/pdf/10.1021/sc4000225" TargetMode="External"/><Relationship Id="rId10" Type="http://schemas.openxmlformats.org/officeDocument/2006/relationships/hyperlink" Target="https://onlinelibrary.wiley.com/doi/full/10.1002/bbb.1790" TargetMode="External"/><Relationship Id="rId31" Type="http://schemas.openxmlformats.org/officeDocument/2006/relationships/hyperlink" Target="https://pubs.acs.org/doi/abs/10.1021/acssuschemeng.7b01729" TargetMode="External"/><Relationship Id="rId52" Type="http://schemas.openxmlformats.org/officeDocument/2006/relationships/hyperlink" Target="https://onlinelibrary.wiley.com/doi/full/10.1002/bbb.1986" TargetMode="External"/><Relationship Id="rId73" Type="http://schemas.openxmlformats.org/officeDocument/2006/relationships/hyperlink" Target="https://www.sciencedirect.com/science/article/pii/S0959652618306930" TargetMode="External"/><Relationship Id="rId78" Type="http://schemas.openxmlformats.org/officeDocument/2006/relationships/hyperlink" Target="https://link.springer.com/article/10.1065/lca2004.08.171" TargetMode="External"/><Relationship Id="rId94" Type="http://schemas.openxmlformats.org/officeDocument/2006/relationships/hyperlink" Target="https://link.springer.com/article/10.1007/s10924-017-1085-3" TargetMode="External"/><Relationship Id="rId99" Type="http://schemas.openxmlformats.org/officeDocument/2006/relationships/hyperlink" Target="https://onlinelibrary.wiley.com/doi/epdf/10.1002/bbb.1849" TargetMode="External"/><Relationship Id="rId101" Type="http://schemas.openxmlformats.org/officeDocument/2006/relationships/hyperlink" Target="https://www.sciencedirect.com/science/article/pii/S0921344918303963?casa_token=aca7_WA1Vv8AAAAA:MVr-ZH6bUlLukStowdM5vj5A7p4dVjTml6LDEtuw_rq5YB5wNj9CWJxqqDU4ognI52T6DpAcxto" TargetMode="External"/><Relationship Id="rId122" Type="http://schemas.openxmlformats.org/officeDocument/2006/relationships/hyperlink" Target="https://www.sciencedirect.com/science/article/pii/S0959652606003507" TargetMode="External"/><Relationship Id="rId143" Type="http://schemas.openxmlformats.org/officeDocument/2006/relationships/hyperlink" Target="https://www.sciencedirect.com/science/article/pii/S0959652613004873" TargetMode="External"/><Relationship Id="rId148" Type="http://schemas.openxmlformats.org/officeDocument/2006/relationships/hyperlink" Target="https://pubs.rsc.org/en/content/articlelanding/2015/GC/C5GC01549A" TargetMode="External"/><Relationship Id="rId164" Type="http://schemas.openxmlformats.org/officeDocument/2006/relationships/hyperlink" Target="https://pubs.rsc.org/en/content/articlelanding/2016/ee/c6ee00634e" TargetMode="External"/><Relationship Id="rId169" Type="http://schemas.openxmlformats.org/officeDocument/2006/relationships/hyperlink" Target="https://pubs.rsc.org/en/content/articlelanding/2016/gc/c5gc02148k" TargetMode="External"/><Relationship Id="rId185" Type="http://schemas.openxmlformats.org/officeDocument/2006/relationships/hyperlink" Target="https://link.springer.com/article/10.1007/s11367-012-0511-y" TargetMode="External"/><Relationship Id="rId4" Type="http://schemas.openxmlformats.org/officeDocument/2006/relationships/hyperlink" Target="https://onlinelibrary.wiley.com/doi/full/10.1002/bbb.1790" TargetMode="External"/><Relationship Id="rId9" Type="http://schemas.openxmlformats.org/officeDocument/2006/relationships/hyperlink" Target="https://onlinelibrary.wiley.com/doi/full/10.1002/bbb.1790" TargetMode="External"/><Relationship Id="rId180" Type="http://schemas.openxmlformats.org/officeDocument/2006/relationships/hyperlink" Target="https://pubs.rsc.org/en/content/articlelanding/2015/ee/c4ee03352c" TargetMode="External"/><Relationship Id="rId210" Type="http://schemas.openxmlformats.org/officeDocument/2006/relationships/hyperlink" Target="https://www.sciencedirect.com/science/article/pii/S0961953415301860?via%3Dihub" TargetMode="External"/><Relationship Id="rId215" Type="http://schemas.openxmlformats.org/officeDocument/2006/relationships/hyperlink" Target="https://pubs.acs.org/doi/full/10.1021/acs.est.5b05589" TargetMode="External"/><Relationship Id="rId236" Type="http://schemas.openxmlformats.org/officeDocument/2006/relationships/hyperlink" Target="https://onlinelibrary.wiley.com/doi/10.1002/bbb.2444" TargetMode="External"/><Relationship Id="rId257" Type="http://schemas.openxmlformats.org/officeDocument/2006/relationships/vmlDrawing" Target="../drawings/vmlDrawing1.vml"/><Relationship Id="rId26" Type="http://schemas.openxmlformats.org/officeDocument/2006/relationships/hyperlink" Target="https://pubs.acs.org/doi/abs/10.1021/acssuschemeng.7b00286" TargetMode="External"/><Relationship Id="rId231" Type="http://schemas.openxmlformats.org/officeDocument/2006/relationships/hyperlink" Target="https://www.sciencedirect.com/science/article/pii/S0959652622033042?via%3Dihub" TargetMode="External"/><Relationship Id="rId252" Type="http://schemas.openxmlformats.org/officeDocument/2006/relationships/hyperlink" Target="https://www.sciencedirect.com/science/article/pii/S0959652618306930" TargetMode="External"/><Relationship Id="rId47" Type="http://schemas.openxmlformats.org/officeDocument/2006/relationships/hyperlink" Target="https://www.sciencedirect.com/science/article/pii/S0959652618322297" TargetMode="External"/><Relationship Id="rId68" Type="http://schemas.openxmlformats.org/officeDocument/2006/relationships/hyperlink" Target="https://www.sciencedirect.com/science/article/pii/S0048969720338791" TargetMode="External"/><Relationship Id="rId89" Type="http://schemas.openxmlformats.org/officeDocument/2006/relationships/hyperlink" Target="https://onlinelibrary.wiley.com/doi/epdf/10.1002/bbb.1734" TargetMode="External"/><Relationship Id="rId112" Type="http://schemas.openxmlformats.org/officeDocument/2006/relationships/hyperlink" Target="https://onlinelibrary.wiley.com/doi/pdf/10.1002/mabi.200400023?casa_token=beCRdJnMGWYAAAAA:MH92QbkyEFV_b07l8jlJwOnLyYegukpYty79cPWC1mhyboG6bPOO03UzGWTTWQpeVfLQe4pH8DopfOW-" TargetMode="External"/><Relationship Id="rId133" Type="http://schemas.openxmlformats.org/officeDocument/2006/relationships/hyperlink" Target="https://pubs.acs.org/doi/full/10.1021/acssuschemeng.5b00209" TargetMode="External"/><Relationship Id="rId154" Type="http://schemas.openxmlformats.org/officeDocument/2006/relationships/hyperlink" Target="https://pubs.rsc.org/en/content/articlelanding/2016/GC/C5GC02065D" TargetMode="External"/><Relationship Id="rId175" Type="http://schemas.openxmlformats.org/officeDocument/2006/relationships/hyperlink" Target="https://pubs.rsc.org/en/content/articlelanding/2015/ee/c4ee03352c" TargetMode="External"/><Relationship Id="rId196" Type="http://schemas.openxmlformats.org/officeDocument/2006/relationships/hyperlink" Target="https://www.sciencedirect.com/science/article/pii/S0959652615010197?casa_token=0hsPJv-I2yYAAAAA:-esYbByYPECjO462_3eHVcR2FA1P2bb4VmRmEfm73QljHi0p0lTUiKW5GIPOSchRYWNKWOgzMKY" TargetMode="External"/><Relationship Id="rId200" Type="http://schemas.openxmlformats.org/officeDocument/2006/relationships/hyperlink" Target="https://www.sciencedirect.com/science/article/pii/S0959652616304449" TargetMode="External"/><Relationship Id="rId16" Type="http://schemas.openxmlformats.org/officeDocument/2006/relationships/hyperlink" Target="https://www.sciencedirect.com/science/article/pii/S095965261300807X" TargetMode="External"/><Relationship Id="rId221" Type="http://schemas.openxmlformats.org/officeDocument/2006/relationships/hyperlink" Target="https://pubs.rsc.org/en/content/articlelanding/2022/GC/D2GC01219G" TargetMode="External"/><Relationship Id="rId242" Type="http://schemas.openxmlformats.org/officeDocument/2006/relationships/hyperlink" Target="https://www.sciencedirect.com/science/article/pii/S0959652622001494?via%3Dihub" TargetMode="External"/><Relationship Id="rId37" Type="http://schemas.openxmlformats.org/officeDocument/2006/relationships/hyperlink" Target="https://pubs.acs.org/doi/abs/10.1021/acs.est.6b06220" TargetMode="External"/><Relationship Id="rId58" Type="http://schemas.openxmlformats.org/officeDocument/2006/relationships/hyperlink" Target="https://pubs.rsc.org/en/content/articlehtml/2020/gc/c9gc02992c" TargetMode="External"/><Relationship Id="rId79" Type="http://schemas.openxmlformats.org/officeDocument/2006/relationships/hyperlink" Target="https://link.springer.com/article/10.1065/lca2004.08.171" TargetMode="External"/><Relationship Id="rId102" Type="http://schemas.openxmlformats.org/officeDocument/2006/relationships/hyperlink" Target="https://pubs.acs.org/doi/10.1021/acsomega.9b02025" TargetMode="External"/><Relationship Id="rId123" Type="http://schemas.openxmlformats.org/officeDocument/2006/relationships/hyperlink" Target="https://www.researchgate.net/profile/Bruce_Dale/publication/233629770_Life_Cycle_Assessment_of_Kenaf_Fiber_Reinforced_Biocomposite/links/54c162840cf2d03405c54a9f.pdf" TargetMode="External"/><Relationship Id="rId144" Type="http://schemas.openxmlformats.org/officeDocument/2006/relationships/hyperlink" Target="https://pubs.rsc.org/en/content/articlehtml/2019/gc/c9gc00607a" TargetMode="External"/><Relationship Id="rId90" Type="http://schemas.openxmlformats.org/officeDocument/2006/relationships/hyperlink" Target="https://www.sciencedirect.com/science/article/pii/S0959652617313604?via%3Dihub" TargetMode="External"/><Relationship Id="rId165" Type="http://schemas.openxmlformats.org/officeDocument/2006/relationships/hyperlink" Target="https://pubs.rsc.org/en/content/articlelanding/2016/gc/c5gc02148k" TargetMode="External"/><Relationship Id="rId186" Type="http://schemas.openxmlformats.org/officeDocument/2006/relationships/hyperlink" Target="https://link.springer.com/article/10.1007/s11367-012-0511-y" TargetMode="External"/><Relationship Id="rId211" Type="http://schemas.openxmlformats.org/officeDocument/2006/relationships/hyperlink" Target="https://www.sciencedirect.com/science/article/pii/S0961953415301860?via%3Dihub" TargetMode="External"/><Relationship Id="rId232" Type="http://schemas.openxmlformats.org/officeDocument/2006/relationships/hyperlink" Target="https://www.sciencedirect.com/science/article/pii/S0959652622033042?via%3Dihub" TargetMode="External"/><Relationship Id="rId253" Type="http://schemas.openxmlformats.org/officeDocument/2006/relationships/hyperlink" Target="https://www.mdpi.com/1420-3049/25/12/2797" TargetMode="External"/><Relationship Id="rId27" Type="http://schemas.openxmlformats.org/officeDocument/2006/relationships/hyperlink" Target="https://pubs.acs.org/doi/abs/10.1021/acssuschemeng.7b00286" TargetMode="External"/><Relationship Id="rId48" Type="http://schemas.openxmlformats.org/officeDocument/2006/relationships/hyperlink" Target="https://www.sciencedirect.com/science/article/pii/S1385894718310908" TargetMode="External"/><Relationship Id="rId69" Type="http://schemas.openxmlformats.org/officeDocument/2006/relationships/hyperlink" Target="https://link.springer.com/article/10.1007/s10443-011-9201-3" TargetMode="External"/><Relationship Id="rId113" Type="http://schemas.openxmlformats.org/officeDocument/2006/relationships/hyperlink" Target="https://www.sciencedirect.com/science/article/pii/S0168165607001514?casa_token=-FIFBwzE89cAAAAA:ZkSVSpNUNJZk-UXte-4fLEp6EXueAL47MtwC_UifQ56X85ghpxASyZi6uTCsCPtcbrsXCjYujYg" TargetMode="External"/><Relationship Id="rId134" Type="http://schemas.openxmlformats.org/officeDocument/2006/relationships/hyperlink" Target="https://www.sciencedirect.com/science/article/pii/S0266353815300725" TargetMode="External"/><Relationship Id="rId80" Type="http://schemas.openxmlformats.org/officeDocument/2006/relationships/hyperlink" Target="https://www.sciencedirect.com/science/article/pii/S0921344917302793?via%3Dihub" TargetMode="External"/><Relationship Id="rId155" Type="http://schemas.openxmlformats.org/officeDocument/2006/relationships/hyperlink" Target="https://pubs.rsc.org/en/content/articlelanding/2016/GC/C5GC02065D" TargetMode="External"/><Relationship Id="rId176" Type="http://schemas.openxmlformats.org/officeDocument/2006/relationships/hyperlink" Target="https://pubs.rsc.org/en/content/articlelanding/2015/ee/c4ee03352c" TargetMode="External"/><Relationship Id="rId197" Type="http://schemas.openxmlformats.org/officeDocument/2006/relationships/hyperlink" Target="https://www.sciencedirect.com/science/article/pii/S0959652615010197?via%3Dihub" TargetMode="External"/><Relationship Id="rId201" Type="http://schemas.openxmlformats.org/officeDocument/2006/relationships/hyperlink" Target="https://www.sciencedirect.com/science/article/pii/S0959652616309908?via%3Dihub" TargetMode="External"/><Relationship Id="rId222" Type="http://schemas.openxmlformats.org/officeDocument/2006/relationships/hyperlink" Target="https://pubs.rsc.org/en/content/articlelanding/2022/GC/D2GC01219G" TargetMode="External"/><Relationship Id="rId243" Type="http://schemas.openxmlformats.org/officeDocument/2006/relationships/hyperlink" Target="https://www.sciencedirect.com/science/article/pii/S0956053X21002117?via%3Dihub" TargetMode="External"/><Relationship Id="rId17" Type="http://schemas.openxmlformats.org/officeDocument/2006/relationships/hyperlink" Target="https://pubs.acs.org/doi/abs/10.1021/es503766e" TargetMode="External"/><Relationship Id="rId38" Type="http://schemas.openxmlformats.org/officeDocument/2006/relationships/hyperlink" Target="https://pubs.acs.org/doi/abs/10.1021/acs.est.6b06220" TargetMode="External"/><Relationship Id="rId59" Type="http://schemas.openxmlformats.org/officeDocument/2006/relationships/hyperlink" Target="https://pubs.rsc.org/en/content/articlehtml/2020/gc/c9gc02992c" TargetMode="External"/><Relationship Id="rId103" Type="http://schemas.openxmlformats.org/officeDocument/2006/relationships/hyperlink" Target="https://pubs.acs.org/doi/abs/10.1021/acssuschemeng.9b04930" TargetMode="External"/><Relationship Id="rId124" Type="http://schemas.openxmlformats.org/officeDocument/2006/relationships/hyperlink" Target="https://www.sciencedirect.com/science/article/pii/S0959652612002569"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doi.org/10.1088/2053-1591/ac55c7" TargetMode="External"/><Relationship Id="rId2" Type="http://schemas.openxmlformats.org/officeDocument/2006/relationships/hyperlink" Target="https://doi.org/10.1088/2053-1591/ac55c7" TargetMode="External"/><Relationship Id="rId1" Type="http://schemas.openxmlformats.org/officeDocument/2006/relationships/hyperlink" Target="https://doi.org/10.1016/j.jclepro.2016.03.029"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science.org/doi/10.1126/sciadv.1700782" TargetMode="Externa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doi.org/10.1007/s11367-015-0914-7" TargetMode="External"/><Relationship Id="rId7" Type="http://schemas.openxmlformats.org/officeDocument/2006/relationships/drawing" Target="../drawings/drawing1.xml"/><Relationship Id="rId2" Type="http://schemas.openxmlformats.org/officeDocument/2006/relationships/hyperlink" Target="https://doi.org/10.1007/s11367-010-0162-9" TargetMode="External"/><Relationship Id="rId1" Type="http://schemas.openxmlformats.org/officeDocument/2006/relationships/hyperlink" Target="https://pubs.rsc.org/en/content/articlehtml/2020/gc/c9gc02992c" TargetMode="External"/><Relationship Id="rId6" Type="http://schemas.openxmlformats.org/officeDocument/2006/relationships/hyperlink" Target="https://doi.org/10.1007/s11356-021-17094-1" TargetMode="External"/><Relationship Id="rId5" Type="http://schemas.openxmlformats.org/officeDocument/2006/relationships/hyperlink" Target="https://doi.org/10.1016/j.jclepro.2016.03.029" TargetMode="External"/><Relationship Id="rId4" Type="http://schemas.openxmlformats.org/officeDocument/2006/relationships/hyperlink" Target="https://doi.org/10.3390/ma14164552" TargetMode="External"/></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GT287"/>
  <sheetViews>
    <sheetView zoomScale="74" zoomScaleNormal="85" workbookViewId="0">
      <selection activeCell="F124" sqref="F124"/>
    </sheetView>
  </sheetViews>
  <sheetFormatPr defaultColWidth="8.7109375" defaultRowHeight="12.75" x14ac:dyDescent="0.2"/>
  <cols>
    <col min="1" max="1" width="16.5703125" style="3" bestFit="1" customWidth="1"/>
    <col min="2" max="2" width="14.28515625" style="5" customWidth="1"/>
    <col min="3" max="3" width="10.140625" style="28" customWidth="1"/>
    <col min="4" max="5" width="7.140625" style="16" customWidth="1"/>
    <col min="6" max="6" width="31.7109375" style="5" customWidth="1"/>
    <col min="7" max="7" width="33.7109375" style="5" hidden="1" customWidth="1"/>
    <col min="8" max="8" width="28.42578125" style="5" hidden="1" customWidth="1"/>
    <col min="9" max="9" width="32.28515625" style="5" hidden="1" customWidth="1"/>
    <col min="10" max="10" width="25.7109375" style="5" hidden="1" customWidth="1"/>
    <col min="11" max="12" width="19.42578125" style="5" hidden="1" customWidth="1"/>
    <col min="13" max="13" width="18.28515625" style="5" hidden="1" customWidth="1"/>
    <col min="14" max="14" width="25.5703125" style="85" hidden="1" customWidth="1"/>
    <col min="15" max="15" width="20.42578125" style="85" hidden="1" customWidth="1"/>
    <col min="16" max="16" width="19" style="7" customWidth="1"/>
    <col min="17" max="17" width="12.85546875" style="5" customWidth="1"/>
    <col min="18" max="18" width="15.85546875" style="5" customWidth="1"/>
    <col min="19" max="20" width="18.28515625" style="5" customWidth="1"/>
    <col min="21" max="21" width="10.7109375" style="9" customWidth="1"/>
    <col min="22" max="22" width="10.28515625" style="9" customWidth="1"/>
    <col min="23" max="26" width="18.140625" style="5" customWidth="1"/>
    <col min="27" max="27" width="12.5703125" style="5" customWidth="1"/>
    <col min="28" max="28" width="15.7109375" style="7" customWidth="1"/>
    <col min="29" max="29" width="10.140625" style="5" customWidth="1"/>
    <col min="30" max="31" width="13.28515625" style="5" customWidth="1"/>
    <col min="32" max="32" width="15.28515625" style="5" customWidth="1"/>
    <col min="33" max="33" width="7.7109375" style="5" customWidth="1"/>
    <col min="34" max="34" width="9" style="5" customWidth="1"/>
    <col min="35" max="36" width="8.7109375" style="5" customWidth="1"/>
    <col min="37" max="37" width="13.42578125" style="5" customWidth="1"/>
    <col min="38" max="38" width="8.7109375" style="5" customWidth="1"/>
    <col min="39" max="39" width="9.28515625" style="5" customWidth="1"/>
    <col min="40" max="41" width="9.85546875" style="5" customWidth="1"/>
    <col min="42" max="42" width="21.5703125" style="5" customWidth="1"/>
    <col min="43" max="43" width="18.7109375" style="5" customWidth="1"/>
    <col min="44" max="44" width="16.140625" style="5" customWidth="1"/>
    <col min="45" max="46" width="11.7109375" style="5" customWidth="1"/>
    <col min="47" max="47" width="15.7109375" style="5" customWidth="1"/>
    <col min="48" max="51" width="8.7109375" style="5" customWidth="1"/>
    <col min="52" max="52" width="11.85546875" style="5" customWidth="1"/>
    <col min="53" max="55" width="8.7109375" style="5" customWidth="1"/>
    <col min="56" max="56" width="8.7109375" style="59" customWidth="1"/>
    <col min="57" max="57" width="12.28515625" style="5" customWidth="1"/>
    <col min="58" max="63" width="8.7109375" style="5" customWidth="1"/>
    <col min="64" max="65" width="10.7109375" style="5" customWidth="1"/>
    <col min="66" max="69" width="8.7109375" style="5" customWidth="1"/>
    <col min="70" max="70" width="12.7109375" style="5" customWidth="1"/>
    <col min="71" max="72" width="8.7109375" style="5" customWidth="1"/>
    <col min="73" max="74" width="12.7109375" style="5" customWidth="1"/>
    <col min="75" max="76" width="8.7109375" style="5" customWidth="1"/>
    <col min="77" max="78" width="12.7109375" style="5" customWidth="1"/>
    <col min="79" max="101" width="8.7109375" style="5" customWidth="1"/>
    <col min="102" max="102" width="8.7109375" style="59" customWidth="1"/>
    <col min="103" max="105" width="8.7109375" style="5" customWidth="1"/>
    <col min="106" max="106" width="9" style="5" customWidth="1"/>
    <col min="107" max="118" width="8.7109375" style="5" customWidth="1"/>
    <col min="119" max="120" width="9.5703125" style="5" customWidth="1"/>
    <col min="121" max="121" width="9.7109375" style="5" customWidth="1"/>
    <col min="122" max="122" width="9.5703125" style="5" customWidth="1"/>
    <col min="123" max="134" width="8.7109375" style="5" customWidth="1"/>
    <col min="135" max="135" width="9.42578125" style="5" customWidth="1"/>
    <col min="136" max="137" width="8.7109375" style="5" customWidth="1"/>
    <col min="138" max="138" width="9.42578125" style="5" customWidth="1"/>
    <col min="139" max="139" width="11.28515625" style="5" customWidth="1"/>
    <col min="140" max="141" width="8.7109375" style="5" customWidth="1"/>
    <col min="142" max="142" width="11.5703125" style="5" customWidth="1"/>
    <col min="143" max="182" width="8.7109375" style="5" customWidth="1"/>
    <col min="183" max="183" width="9.28515625" style="5" customWidth="1"/>
    <col min="184" max="185" width="8.7109375" style="5" customWidth="1"/>
    <col min="186" max="186" width="9.28515625" style="5" customWidth="1"/>
    <col min="187" max="202" width="8.7109375" style="5" customWidth="1"/>
    <col min="203" max="16384" width="8.7109375" style="5"/>
  </cols>
  <sheetData>
    <row r="1" spans="1:202" s="30" customFormat="1" ht="13.5" thickBot="1" x14ac:dyDescent="0.25">
      <c r="A1" s="31" t="s">
        <v>825</v>
      </c>
      <c r="B1" s="32" t="s">
        <v>828</v>
      </c>
      <c r="C1" s="75" t="s">
        <v>827</v>
      </c>
      <c r="D1" s="74" t="s">
        <v>859</v>
      </c>
      <c r="E1" s="81" t="s">
        <v>860</v>
      </c>
      <c r="F1" s="35" t="s">
        <v>1050</v>
      </c>
      <c r="G1" s="33" t="s">
        <v>829</v>
      </c>
      <c r="H1" s="33" t="s">
        <v>830</v>
      </c>
      <c r="I1" s="36" t="s">
        <v>831</v>
      </c>
      <c r="J1" s="36" t="s">
        <v>832</v>
      </c>
      <c r="K1" s="37" t="s">
        <v>833</v>
      </c>
      <c r="L1" s="36" t="s">
        <v>839</v>
      </c>
      <c r="M1" s="35" t="s">
        <v>834</v>
      </c>
      <c r="N1" s="91" t="s">
        <v>835</v>
      </c>
      <c r="O1" s="93" t="s">
        <v>836</v>
      </c>
      <c r="P1" s="60" t="s">
        <v>837</v>
      </c>
      <c r="Q1" s="33" t="s">
        <v>844</v>
      </c>
      <c r="R1" s="33" t="s">
        <v>838</v>
      </c>
      <c r="S1" s="34" t="s">
        <v>843</v>
      </c>
      <c r="T1" s="35" t="s">
        <v>840</v>
      </c>
      <c r="U1" s="97" t="s">
        <v>841</v>
      </c>
      <c r="V1" s="97" t="s">
        <v>1019</v>
      </c>
      <c r="W1" s="36" t="s">
        <v>1338</v>
      </c>
      <c r="X1" s="36" t="s">
        <v>1339</v>
      </c>
      <c r="Y1" s="36" t="s">
        <v>842</v>
      </c>
      <c r="Z1" s="37" t="s">
        <v>845</v>
      </c>
      <c r="AA1" s="38" t="s">
        <v>846</v>
      </c>
      <c r="AB1" s="84" t="s">
        <v>1042</v>
      </c>
      <c r="AC1" s="39" t="s">
        <v>847</v>
      </c>
      <c r="AD1" s="40" t="s">
        <v>848</v>
      </c>
      <c r="AE1" s="40" t="s">
        <v>849</v>
      </c>
      <c r="AF1" s="33" t="s">
        <v>850</v>
      </c>
      <c r="AG1" s="38" t="s">
        <v>1340</v>
      </c>
      <c r="AH1" s="39" t="s">
        <v>1341</v>
      </c>
      <c r="AI1" s="39" t="s">
        <v>851</v>
      </c>
      <c r="AJ1" s="41" t="s">
        <v>852</v>
      </c>
      <c r="AK1" s="38" t="s">
        <v>853</v>
      </c>
      <c r="AL1" s="41" t="s">
        <v>854</v>
      </c>
      <c r="AM1" s="32" t="s">
        <v>855</v>
      </c>
      <c r="AN1" s="33" t="s">
        <v>857</v>
      </c>
      <c r="AO1" s="33" t="s">
        <v>856</v>
      </c>
      <c r="AP1" s="33" t="s">
        <v>826</v>
      </c>
      <c r="AQ1" s="31" t="s">
        <v>858</v>
      </c>
      <c r="AR1" s="36" t="s">
        <v>871</v>
      </c>
      <c r="AS1" s="36" t="s">
        <v>872</v>
      </c>
      <c r="AT1" s="36" t="s">
        <v>873</v>
      </c>
      <c r="AU1" s="37" t="s">
        <v>874</v>
      </c>
      <c r="AV1" s="36" t="s">
        <v>875</v>
      </c>
      <c r="AW1" s="36" t="s">
        <v>876</v>
      </c>
      <c r="AX1" s="36" t="s">
        <v>877</v>
      </c>
      <c r="AY1" s="37" t="s">
        <v>878</v>
      </c>
      <c r="AZ1" s="36" t="s">
        <v>879</v>
      </c>
      <c r="BA1" s="36" t="s">
        <v>880</v>
      </c>
      <c r="BB1" s="36" t="s">
        <v>881</v>
      </c>
      <c r="BC1" s="36" t="s">
        <v>882</v>
      </c>
      <c r="BD1" s="57" t="s">
        <v>1020</v>
      </c>
      <c r="BE1" s="36" t="s">
        <v>883</v>
      </c>
      <c r="BF1" s="36" t="s">
        <v>884</v>
      </c>
      <c r="BG1" s="36" t="s">
        <v>885</v>
      </c>
      <c r="BH1" s="37" t="s">
        <v>886</v>
      </c>
      <c r="BI1" s="36" t="s">
        <v>887</v>
      </c>
      <c r="BJ1" s="36" t="s">
        <v>888</v>
      </c>
      <c r="BK1" s="36" t="s">
        <v>889</v>
      </c>
      <c r="BL1" s="37" t="s">
        <v>890</v>
      </c>
      <c r="BM1" s="36" t="s">
        <v>1021</v>
      </c>
      <c r="BN1" s="36" t="s">
        <v>891</v>
      </c>
      <c r="BO1" s="36" t="s">
        <v>892</v>
      </c>
      <c r="BP1" s="36" t="s">
        <v>893</v>
      </c>
      <c r="BQ1" s="37" t="s">
        <v>894</v>
      </c>
      <c r="BR1" s="36" t="s">
        <v>895</v>
      </c>
      <c r="BS1" s="36" t="s">
        <v>896</v>
      </c>
      <c r="BT1" s="36" t="s">
        <v>897</v>
      </c>
      <c r="BU1" s="37" t="s">
        <v>898</v>
      </c>
      <c r="BV1" s="36" t="s">
        <v>899</v>
      </c>
      <c r="BW1" s="36" t="s">
        <v>900</v>
      </c>
      <c r="BX1" s="36" t="s">
        <v>901</v>
      </c>
      <c r="BY1" s="37" t="s">
        <v>902</v>
      </c>
      <c r="BZ1" s="36" t="s">
        <v>903</v>
      </c>
      <c r="CA1" s="36" t="s">
        <v>904</v>
      </c>
      <c r="CB1" s="36" t="s">
        <v>905</v>
      </c>
      <c r="CC1" s="37" t="s">
        <v>906</v>
      </c>
      <c r="CD1" s="36" t="s">
        <v>907</v>
      </c>
      <c r="CE1" s="36" t="s">
        <v>908</v>
      </c>
      <c r="CF1" s="36" t="s">
        <v>909</v>
      </c>
      <c r="CG1" s="37" t="s">
        <v>910</v>
      </c>
      <c r="CH1" s="36" t="s">
        <v>911</v>
      </c>
      <c r="CI1" s="36" t="s">
        <v>912</v>
      </c>
      <c r="CJ1" s="36" t="s">
        <v>913</v>
      </c>
      <c r="CK1" s="37" t="s">
        <v>914</v>
      </c>
      <c r="CL1" s="36" t="s">
        <v>1208</v>
      </c>
      <c r="CM1" s="36" t="s">
        <v>915</v>
      </c>
      <c r="CN1" s="36" t="s">
        <v>916</v>
      </c>
      <c r="CO1" s="37" t="s">
        <v>917</v>
      </c>
      <c r="CP1" s="36" t="s">
        <v>918</v>
      </c>
      <c r="CQ1" s="36" t="s">
        <v>919</v>
      </c>
      <c r="CR1" s="36" t="s">
        <v>920</v>
      </c>
      <c r="CS1" s="37" t="s">
        <v>921</v>
      </c>
      <c r="CT1" s="36" t="s">
        <v>922</v>
      </c>
      <c r="CU1" s="36" t="s">
        <v>923</v>
      </c>
      <c r="CV1" s="36" t="s">
        <v>924</v>
      </c>
      <c r="CW1" s="36" t="s">
        <v>925</v>
      </c>
      <c r="CX1" s="57" t="s">
        <v>1022</v>
      </c>
      <c r="CY1" s="36" t="s">
        <v>926</v>
      </c>
      <c r="CZ1" s="36" t="s">
        <v>927</v>
      </c>
      <c r="DA1" s="36" t="s">
        <v>928</v>
      </c>
      <c r="DB1" s="37" t="s">
        <v>929</v>
      </c>
      <c r="DC1" s="36" t="s">
        <v>930</v>
      </c>
      <c r="DD1" s="36" t="s">
        <v>931</v>
      </c>
      <c r="DE1" s="36" t="s">
        <v>932</v>
      </c>
      <c r="DF1" s="37" t="s">
        <v>933</v>
      </c>
      <c r="DG1" s="36" t="s">
        <v>934</v>
      </c>
      <c r="DH1" s="36" t="s">
        <v>935</v>
      </c>
      <c r="DI1" s="36" t="s">
        <v>936</v>
      </c>
      <c r="DJ1" s="37" t="s">
        <v>937</v>
      </c>
      <c r="DK1" s="36" t="s">
        <v>938</v>
      </c>
      <c r="DL1" s="36" t="s">
        <v>939</v>
      </c>
      <c r="DM1" s="36" t="s">
        <v>940</v>
      </c>
      <c r="DN1" s="37" t="s">
        <v>941</v>
      </c>
      <c r="DO1" s="36" t="s">
        <v>942</v>
      </c>
      <c r="DP1" s="36" t="s">
        <v>943</v>
      </c>
      <c r="DQ1" s="36" t="s">
        <v>944</v>
      </c>
      <c r="DR1" s="37" t="s">
        <v>945</v>
      </c>
      <c r="DS1" s="36" t="s">
        <v>946</v>
      </c>
      <c r="DT1" s="36" t="s">
        <v>947</v>
      </c>
      <c r="DU1" s="36" t="s">
        <v>948</v>
      </c>
      <c r="DV1" s="37" t="s">
        <v>949</v>
      </c>
      <c r="DW1" s="36" t="s">
        <v>950</v>
      </c>
      <c r="DX1" s="36" t="s">
        <v>951</v>
      </c>
      <c r="DY1" s="36" t="s">
        <v>952</v>
      </c>
      <c r="DZ1" s="37" t="s">
        <v>953</v>
      </c>
      <c r="EA1" s="36" t="s">
        <v>954</v>
      </c>
      <c r="EB1" s="36" t="s">
        <v>955</v>
      </c>
      <c r="EC1" s="36" t="s">
        <v>956</v>
      </c>
      <c r="ED1" s="37" t="s">
        <v>957</v>
      </c>
      <c r="EE1" s="36" t="s">
        <v>958</v>
      </c>
      <c r="EF1" s="36" t="s">
        <v>959</v>
      </c>
      <c r="EG1" s="36" t="s">
        <v>960</v>
      </c>
      <c r="EH1" s="37" t="s">
        <v>961</v>
      </c>
      <c r="EI1" s="36" t="s">
        <v>962</v>
      </c>
      <c r="EJ1" s="36" t="s">
        <v>963</v>
      </c>
      <c r="EK1" s="36" t="s">
        <v>964</v>
      </c>
      <c r="EL1" s="37" t="s">
        <v>965</v>
      </c>
      <c r="EM1" s="36" t="s">
        <v>966</v>
      </c>
      <c r="EN1" s="36" t="s">
        <v>967</v>
      </c>
      <c r="EO1" s="36" t="s">
        <v>968</v>
      </c>
      <c r="EP1" s="37" t="s">
        <v>969</v>
      </c>
      <c r="EQ1" s="36" t="s">
        <v>970</v>
      </c>
      <c r="ER1" s="36" t="s">
        <v>971</v>
      </c>
      <c r="ES1" s="36" t="s">
        <v>972</v>
      </c>
      <c r="ET1" s="37" t="s">
        <v>973</v>
      </c>
      <c r="EU1" s="36" t="s">
        <v>974</v>
      </c>
      <c r="EV1" s="36" t="s">
        <v>975</v>
      </c>
      <c r="EW1" s="36" t="s">
        <v>976</v>
      </c>
      <c r="EX1" s="37" t="s">
        <v>977</v>
      </c>
      <c r="EY1" s="36" t="s">
        <v>1038</v>
      </c>
      <c r="EZ1" s="36" t="s">
        <v>1039</v>
      </c>
      <c r="FA1" s="36" t="s">
        <v>1040</v>
      </c>
      <c r="FB1" s="37" t="s">
        <v>1041</v>
      </c>
      <c r="FC1" s="36" t="s">
        <v>978</v>
      </c>
      <c r="FD1" s="36" t="s">
        <v>979</v>
      </c>
      <c r="FE1" s="36" t="s">
        <v>980</v>
      </c>
      <c r="FF1" s="37" t="s">
        <v>981</v>
      </c>
      <c r="FG1" s="36" t="s">
        <v>982</v>
      </c>
      <c r="FH1" s="36" t="s">
        <v>983</v>
      </c>
      <c r="FI1" s="36" t="s">
        <v>984</v>
      </c>
      <c r="FJ1" s="37" t="s">
        <v>985</v>
      </c>
      <c r="FK1" s="36" t="s">
        <v>986</v>
      </c>
      <c r="FL1" s="36" t="s">
        <v>987</v>
      </c>
      <c r="FM1" s="36" t="s">
        <v>988</v>
      </c>
      <c r="FN1" s="37" t="s">
        <v>989</v>
      </c>
      <c r="FO1" s="36" t="s">
        <v>990</v>
      </c>
      <c r="FP1" s="36" t="s">
        <v>991</v>
      </c>
      <c r="FQ1" s="36" t="s">
        <v>992</v>
      </c>
      <c r="FR1" s="37" t="s">
        <v>993</v>
      </c>
      <c r="FS1" s="36" t="s">
        <v>994</v>
      </c>
      <c r="FT1" s="36" t="s">
        <v>995</v>
      </c>
      <c r="FU1" s="36" t="s">
        <v>996</v>
      </c>
      <c r="FV1" s="37" t="s">
        <v>997</v>
      </c>
      <c r="FW1" s="36" t="s">
        <v>998</v>
      </c>
      <c r="FX1" s="36" t="s">
        <v>999</v>
      </c>
      <c r="FY1" s="36" t="s">
        <v>1000</v>
      </c>
      <c r="FZ1" s="37" t="s">
        <v>1001</v>
      </c>
      <c r="GA1" s="36" t="s">
        <v>1002</v>
      </c>
      <c r="GB1" s="36" t="s">
        <v>1003</v>
      </c>
      <c r="GC1" s="36" t="s">
        <v>1004</v>
      </c>
      <c r="GD1" s="37" t="s">
        <v>1005</v>
      </c>
      <c r="GE1" s="36" t="s">
        <v>998</v>
      </c>
      <c r="GF1" s="36" t="s">
        <v>999</v>
      </c>
      <c r="GG1" s="36" t="s">
        <v>1000</v>
      </c>
      <c r="GH1" s="37" t="s">
        <v>1001</v>
      </c>
      <c r="GI1" s="36" t="s">
        <v>1006</v>
      </c>
      <c r="GJ1" s="36" t="s">
        <v>1007</v>
      </c>
      <c r="GK1" s="36" t="s">
        <v>1008</v>
      </c>
      <c r="GL1" s="37" t="s">
        <v>1009</v>
      </c>
      <c r="GM1" s="36" t="s">
        <v>1010</v>
      </c>
      <c r="GN1" s="36" t="s">
        <v>1011</v>
      </c>
      <c r="GO1" s="36" t="s">
        <v>1012</v>
      </c>
      <c r="GP1" s="37" t="s">
        <v>1013</v>
      </c>
      <c r="GQ1" s="36" t="s">
        <v>1014</v>
      </c>
      <c r="GR1" s="36" t="s">
        <v>1015</v>
      </c>
      <c r="GS1" s="36" t="s">
        <v>1016</v>
      </c>
      <c r="GT1" s="37" t="s">
        <v>1017</v>
      </c>
    </row>
    <row r="2" spans="1:202" ht="13.15" hidden="1" customHeight="1" x14ac:dyDescent="0.2">
      <c r="A2" s="3" t="s">
        <v>1</v>
      </c>
      <c r="B2" s="4" t="s">
        <v>2</v>
      </c>
      <c r="C2" s="28">
        <v>2009</v>
      </c>
      <c r="D2" s="6">
        <v>1</v>
      </c>
      <c r="E2" s="6">
        <v>1</v>
      </c>
      <c r="F2" s="5" t="s">
        <v>1121</v>
      </c>
      <c r="G2" s="5" t="s">
        <v>16</v>
      </c>
      <c r="H2" s="5" t="s">
        <v>5</v>
      </c>
      <c r="I2" s="5" t="s">
        <v>6</v>
      </c>
      <c r="J2" s="5" t="s">
        <v>7</v>
      </c>
      <c r="K2" s="48" t="s">
        <v>1046</v>
      </c>
      <c r="L2" s="5" t="s">
        <v>1049</v>
      </c>
      <c r="M2" s="5" t="s">
        <v>9</v>
      </c>
      <c r="N2" s="7">
        <v>0</v>
      </c>
      <c r="O2" s="8">
        <v>1.488</v>
      </c>
      <c r="P2" s="7" t="s">
        <v>4</v>
      </c>
      <c r="Q2" s="5" t="s">
        <v>10</v>
      </c>
      <c r="R2" s="5" t="s">
        <v>1028</v>
      </c>
      <c r="S2" s="5" t="s">
        <v>11</v>
      </c>
      <c r="T2" s="5" t="s">
        <v>1335</v>
      </c>
      <c r="U2" s="9">
        <f>3.2+N2</f>
        <v>3.2</v>
      </c>
      <c r="V2" s="9">
        <f t="shared" ref="V2:V60" si="0">LN(U2/Y2)</f>
        <v>-0.91478960574788781</v>
      </c>
      <c r="W2" s="9">
        <v>2.9</v>
      </c>
      <c r="X2" s="9">
        <v>3.2</v>
      </c>
      <c r="Y2" s="9">
        <f>6.5+O2</f>
        <v>7.9879999999999995</v>
      </c>
      <c r="Z2" s="9"/>
      <c r="AA2" s="5" t="s">
        <v>12</v>
      </c>
      <c r="AB2" s="7" t="s">
        <v>1123</v>
      </c>
      <c r="AC2" s="5" t="s">
        <v>13</v>
      </c>
      <c r="AD2" s="3">
        <v>9</v>
      </c>
      <c r="AE2" s="5" t="s">
        <v>14</v>
      </c>
      <c r="AF2" s="5" t="s">
        <v>15</v>
      </c>
      <c r="AG2" s="5" t="s">
        <v>14</v>
      </c>
      <c r="AH2" s="5" t="s">
        <v>8</v>
      </c>
      <c r="AI2" s="5" t="s">
        <v>8</v>
      </c>
      <c r="AJ2" s="5" t="s">
        <v>8</v>
      </c>
      <c r="AK2" s="5" t="s">
        <v>17</v>
      </c>
      <c r="AL2" s="5" t="s">
        <v>14</v>
      </c>
      <c r="AM2" s="5">
        <v>2006</v>
      </c>
      <c r="AN2" s="5" t="s">
        <v>18</v>
      </c>
      <c r="AO2" s="5" t="s">
        <v>18</v>
      </c>
      <c r="AP2" s="5" t="s">
        <v>3</v>
      </c>
      <c r="AQ2" s="5" t="s">
        <v>19</v>
      </c>
      <c r="AZ2" s="10">
        <v>0.05</v>
      </c>
      <c r="BA2" s="10">
        <v>4.4999999999999998E-2</v>
      </c>
      <c r="BB2" s="10">
        <v>0.05</v>
      </c>
      <c r="BC2" s="10">
        <v>7.9000000000000001E-2</v>
      </c>
      <c r="BD2" s="58">
        <f>LN(AZ2/BC2)</f>
        <v>-0.45742484703887537</v>
      </c>
      <c r="BE2" s="10"/>
      <c r="BF2" s="10"/>
      <c r="BG2" s="10"/>
      <c r="BH2" s="10"/>
      <c r="BI2" s="10">
        <v>4.4999999999999997E-3</v>
      </c>
      <c r="BJ2" s="10">
        <v>4.4999999999999997E-3</v>
      </c>
      <c r="BK2" s="10">
        <v>4.0000000000000001E-3</v>
      </c>
      <c r="BL2" s="10">
        <v>3.8E-3</v>
      </c>
      <c r="BM2" s="96">
        <f>LN(BI2/BL2)</f>
        <v>0.16907633004393391</v>
      </c>
      <c r="BN2" s="10"/>
      <c r="BO2" s="10"/>
      <c r="BP2" s="10"/>
      <c r="BQ2" s="10"/>
      <c r="BR2" s="10"/>
      <c r="BS2" s="10"/>
      <c r="BT2" s="10"/>
      <c r="BU2" s="10"/>
      <c r="BV2" s="10"/>
      <c r="BW2" s="10"/>
      <c r="BX2" s="10"/>
      <c r="BY2" s="10"/>
      <c r="BZ2" s="10"/>
      <c r="CA2" s="10"/>
      <c r="CB2" s="10"/>
      <c r="CC2" s="10"/>
      <c r="CD2" s="10"/>
      <c r="CE2" s="10"/>
      <c r="CF2" s="10"/>
      <c r="CG2" s="10"/>
      <c r="CH2" s="10"/>
      <c r="CI2" s="10"/>
      <c r="CJ2" s="10"/>
      <c r="CK2" s="10"/>
      <c r="CL2" s="10">
        <v>42</v>
      </c>
      <c r="CM2" s="10">
        <v>41</v>
      </c>
      <c r="CN2" s="10">
        <v>42</v>
      </c>
      <c r="CO2" s="10">
        <v>139</v>
      </c>
      <c r="CP2" s="10">
        <v>1.8E-3</v>
      </c>
      <c r="CQ2" s="10">
        <v>1.65E-3</v>
      </c>
      <c r="CR2" s="10">
        <v>1.8E-3</v>
      </c>
      <c r="CS2" s="10">
        <v>2.7000000000000001E-3</v>
      </c>
      <c r="CT2" s="10"/>
      <c r="CU2" s="10"/>
      <c r="CV2" s="10"/>
      <c r="CW2" s="10"/>
      <c r="CX2" s="58"/>
      <c r="CY2" s="10"/>
      <c r="CZ2" s="10"/>
      <c r="DA2" s="10"/>
      <c r="DB2" s="10"/>
      <c r="DC2" s="10"/>
      <c r="DD2" s="10"/>
      <c r="DE2" s="10"/>
      <c r="DF2" s="10"/>
      <c r="DG2" s="10"/>
      <c r="DH2" s="10"/>
      <c r="DI2" s="10"/>
      <c r="DJ2" s="10"/>
      <c r="DK2" s="10"/>
      <c r="DL2" s="10"/>
      <c r="DM2" s="10"/>
      <c r="DN2" s="10"/>
      <c r="DO2" s="10">
        <v>1.8E-7</v>
      </c>
      <c r="DP2" s="10">
        <v>1.6999999999999999E-7</v>
      </c>
      <c r="DQ2" s="10">
        <v>1.8E-7</v>
      </c>
      <c r="DR2" s="10">
        <v>8.9999999999999996E-7</v>
      </c>
      <c r="DS2" s="10"/>
      <c r="DT2" s="10"/>
      <c r="DU2" s="10"/>
      <c r="DV2" s="10"/>
      <c r="DW2" s="10"/>
      <c r="DX2" s="10"/>
      <c r="DY2" s="10"/>
      <c r="DZ2" s="10"/>
      <c r="EA2" s="10"/>
      <c r="EB2" s="10"/>
      <c r="EC2" s="10"/>
      <c r="ED2" s="10"/>
      <c r="EE2" s="10"/>
      <c r="EF2" s="10"/>
      <c r="EG2" s="10"/>
      <c r="EH2" s="10"/>
      <c r="EI2" s="10"/>
      <c r="EJ2" s="10"/>
      <c r="EK2" s="10"/>
      <c r="EL2" s="10"/>
      <c r="EM2" s="10">
        <v>5.0000000000000001E-4</v>
      </c>
      <c r="EN2" s="10">
        <v>4.4999999999999999E-4</v>
      </c>
      <c r="EO2" s="10">
        <v>5.0000000000000001E-4</v>
      </c>
      <c r="EP2" s="10">
        <v>2.5999999999999999E-3</v>
      </c>
      <c r="EQ2" s="10">
        <v>9.9999999999999995E-7</v>
      </c>
      <c r="ER2" s="10">
        <v>8.9999999999999996E-7</v>
      </c>
      <c r="ES2" s="10">
        <v>9.9999999999999995E-7</v>
      </c>
      <c r="ET2" s="10">
        <v>6.0000000000000002E-6</v>
      </c>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row>
    <row r="3" spans="1:202" ht="13.15" hidden="1" customHeight="1" x14ac:dyDescent="0.2">
      <c r="A3" s="3" t="s">
        <v>1</v>
      </c>
      <c r="B3" s="4" t="s">
        <v>20</v>
      </c>
      <c r="C3" s="28">
        <v>2017</v>
      </c>
      <c r="D3" s="6">
        <v>2</v>
      </c>
      <c r="E3" s="6">
        <v>1</v>
      </c>
      <c r="F3" s="5" t="s">
        <v>1060</v>
      </c>
      <c r="G3" s="5" t="s">
        <v>23</v>
      </c>
      <c r="H3" s="5" t="s">
        <v>5</v>
      </c>
      <c r="I3" s="5" t="s">
        <v>24</v>
      </c>
      <c r="J3" s="5" t="s">
        <v>25</v>
      </c>
      <c r="K3" s="48" t="s">
        <v>1045</v>
      </c>
      <c r="L3" s="5" t="s">
        <v>8</v>
      </c>
      <c r="M3" s="5" t="s">
        <v>9</v>
      </c>
      <c r="N3" s="7">
        <v>0</v>
      </c>
      <c r="O3" s="7">
        <v>1.81</v>
      </c>
      <c r="P3" s="7" t="s">
        <v>22</v>
      </c>
      <c r="Q3" s="5" t="s">
        <v>26</v>
      </c>
      <c r="R3" s="5" t="s">
        <v>27</v>
      </c>
      <c r="S3" s="5" t="s">
        <v>28</v>
      </c>
      <c r="T3" s="5" t="s">
        <v>1335</v>
      </c>
      <c r="U3" s="9">
        <v>4</v>
      </c>
      <c r="V3" s="9">
        <f t="shared" si="0"/>
        <v>-1.9246135491948038</v>
      </c>
      <c r="W3" s="9">
        <v>4</v>
      </c>
      <c r="X3" s="9">
        <v>7.8</v>
      </c>
      <c r="Y3" s="9">
        <f>25.6+O3</f>
        <v>27.41</v>
      </c>
      <c r="Z3" s="9"/>
      <c r="AA3" s="5" t="s">
        <v>12</v>
      </c>
      <c r="AB3" s="62" t="s">
        <v>1043</v>
      </c>
      <c r="AC3" s="5" t="s">
        <v>13</v>
      </c>
      <c r="AD3" s="3">
        <v>9</v>
      </c>
      <c r="AE3" s="5" t="s">
        <v>8</v>
      </c>
      <c r="AF3" s="5" t="s">
        <v>29</v>
      </c>
      <c r="AG3" s="5" t="s">
        <v>8</v>
      </c>
      <c r="AH3" s="5" t="s">
        <v>8</v>
      </c>
      <c r="AI3" s="5" t="s">
        <v>8</v>
      </c>
      <c r="AJ3" s="5" t="s">
        <v>14</v>
      </c>
      <c r="AK3" s="5" t="s">
        <v>145</v>
      </c>
      <c r="AL3" s="5" t="s">
        <v>8</v>
      </c>
      <c r="AM3" s="5" t="s">
        <v>30</v>
      </c>
      <c r="AN3" s="5" t="s">
        <v>67</v>
      </c>
      <c r="AO3" s="5" t="s">
        <v>67</v>
      </c>
      <c r="AP3" s="5" t="s">
        <v>21</v>
      </c>
      <c r="AQ3" s="5" t="s">
        <v>32</v>
      </c>
      <c r="AZ3" s="11">
        <v>6.2E-2</v>
      </c>
      <c r="BA3" s="11">
        <v>3.2000000000000001E-2</v>
      </c>
      <c r="BB3" s="11">
        <v>6.2E-2</v>
      </c>
      <c r="BC3" s="12">
        <v>3.1E-2</v>
      </c>
      <c r="BD3" s="58">
        <f>LN(AZ3/BC3)</f>
        <v>0.69314718055994529</v>
      </c>
      <c r="BI3" s="11">
        <v>1.4999999999999999E-2</v>
      </c>
      <c r="BJ3" s="13">
        <v>1.2500000000000001E-2</v>
      </c>
      <c r="BK3" s="11">
        <v>1.4999999999999999E-2</v>
      </c>
      <c r="BL3" s="11">
        <v>2.9000000000000001E-2</v>
      </c>
      <c r="BM3" s="58">
        <f>LN(BI3/BL3)</f>
        <v>-0.65924562888426408</v>
      </c>
      <c r="CP3" s="14">
        <v>3.0000000000000001E-3</v>
      </c>
      <c r="CQ3" s="15">
        <v>1.8E-3</v>
      </c>
      <c r="CR3" s="14">
        <v>3.0000000000000001E-3</v>
      </c>
      <c r="CS3" s="14">
        <v>3.3E-3</v>
      </c>
      <c r="CT3" s="5">
        <v>51</v>
      </c>
      <c r="CU3" s="5">
        <v>51</v>
      </c>
      <c r="CV3" s="5">
        <v>112</v>
      </c>
      <c r="CW3" s="5">
        <v>136</v>
      </c>
      <c r="CX3" s="59">
        <f t="shared" ref="CX3:CX11" si="1">LN(CT3/CW3)</f>
        <v>-0.98082925301172619</v>
      </c>
      <c r="CY3" s="5">
        <v>31</v>
      </c>
      <c r="CZ3" s="5">
        <v>31</v>
      </c>
      <c r="DA3" s="5">
        <v>34</v>
      </c>
      <c r="DB3" s="5">
        <v>4.8</v>
      </c>
    </row>
    <row r="4" spans="1:202" ht="13.15" hidden="1" customHeight="1" x14ac:dyDescent="0.2">
      <c r="A4" s="3" t="s">
        <v>1</v>
      </c>
      <c r="B4" s="4" t="s">
        <v>33</v>
      </c>
      <c r="C4" s="28">
        <v>2017</v>
      </c>
      <c r="D4" s="6">
        <v>3</v>
      </c>
      <c r="E4" s="6">
        <v>4</v>
      </c>
      <c r="F4" s="63" t="s">
        <v>1080</v>
      </c>
      <c r="G4" s="5" t="s">
        <v>36</v>
      </c>
      <c r="H4" s="5" t="s">
        <v>5</v>
      </c>
      <c r="I4" s="5" t="s">
        <v>46</v>
      </c>
      <c r="J4" s="5" t="s">
        <v>25</v>
      </c>
      <c r="K4" s="5" t="s">
        <v>1045</v>
      </c>
      <c r="L4" s="5" t="s">
        <v>8</v>
      </c>
      <c r="M4" s="5" t="s">
        <v>38</v>
      </c>
      <c r="N4" s="7">
        <v>0</v>
      </c>
      <c r="O4" s="7">
        <v>0</v>
      </c>
      <c r="P4" s="7" t="s">
        <v>35</v>
      </c>
      <c r="Q4" s="5" t="s">
        <v>39</v>
      </c>
      <c r="R4" s="5" t="s">
        <v>1028</v>
      </c>
      <c r="S4" s="5" t="s">
        <v>40</v>
      </c>
      <c r="T4" s="5" t="s">
        <v>1335</v>
      </c>
      <c r="U4" s="9">
        <v>1.8</v>
      </c>
      <c r="V4" s="9">
        <f t="shared" si="0"/>
        <v>-0.82320030880814299</v>
      </c>
      <c r="W4" s="9">
        <v>1.8</v>
      </c>
      <c r="X4" s="9">
        <v>2</v>
      </c>
      <c r="Y4" s="9">
        <v>4.0999999999999996</v>
      </c>
      <c r="Z4" s="9"/>
      <c r="AA4" s="5" t="s">
        <v>12</v>
      </c>
      <c r="AB4" s="7" t="s">
        <v>1123</v>
      </c>
      <c r="AC4" s="5" t="s">
        <v>13</v>
      </c>
      <c r="AD4" s="3">
        <v>9</v>
      </c>
      <c r="AE4" s="5" t="s">
        <v>14</v>
      </c>
      <c r="AF4" s="5" t="s">
        <v>97</v>
      </c>
      <c r="AG4" s="5" t="s">
        <v>14</v>
      </c>
      <c r="AH4" s="5" t="s">
        <v>8</v>
      </c>
      <c r="AI4" s="5" t="s">
        <v>8</v>
      </c>
      <c r="AJ4" s="5" t="s">
        <v>8</v>
      </c>
      <c r="AK4" s="5" t="s">
        <v>1028</v>
      </c>
      <c r="AL4" s="5" t="s">
        <v>8</v>
      </c>
      <c r="AM4" s="5" t="s">
        <v>41</v>
      </c>
      <c r="AN4" s="5" t="s">
        <v>67</v>
      </c>
      <c r="AO4" s="5" t="s">
        <v>44</v>
      </c>
      <c r="AP4" s="5" t="s">
        <v>34</v>
      </c>
      <c r="AQ4" s="5" t="s">
        <v>42</v>
      </c>
      <c r="BD4" s="58"/>
      <c r="BM4" s="58"/>
      <c r="CT4" s="5">
        <v>24</v>
      </c>
      <c r="CW4" s="5">
        <v>95</v>
      </c>
      <c r="CX4" s="59">
        <f t="shared" si="1"/>
        <v>-1.3758230612525952</v>
      </c>
    </row>
    <row r="5" spans="1:202" ht="13.15" hidden="1" customHeight="1" x14ac:dyDescent="0.2">
      <c r="A5" s="3" t="s">
        <v>1</v>
      </c>
      <c r="B5" s="4" t="s">
        <v>33</v>
      </c>
      <c r="C5" s="28">
        <v>2017</v>
      </c>
      <c r="D5" s="6">
        <v>3</v>
      </c>
      <c r="E5" s="6">
        <v>2</v>
      </c>
      <c r="F5" s="63" t="s">
        <v>1080</v>
      </c>
      <c r="G5" s="5" t="s">
        <v>36</v>
      </c>
      <c r="H5" s="5" t="s">
        <v>5</v>
      </c>
      <c r="I5" s="5" t="s">
        <v>43</v>
      </c>
      <c r="J5" s="5" t="s">
        <v>25</v>
      </c>
      <c r="K5" s="48" t="s">
        <v>1045</v>
      </c>
      <c r="L5" s="5" t="s">
        <v>8</v>
      </c>
      <c r="M5" s="5" t="s">
        <v>38</v>
      </c>
      <c r="N5" s="7">
        <v>0</v>
      </c>
      <c r="O5" s="7">
        <v>0</v>
      </c>
      <c r="P5" s="7" t="s">
        <v>35</v>
      </c>
      <c r="Q5" s="5" t="s">
        <v>39</v>
      </c>
      <c r="R5" s="5" t="s">
        <v>1028</v>
      </c>
      <c r="S5" s="5" t="s">
        <v>40</v>
      </c>
      <c r="T5" s="5" t="s">
        <v>1335</v>
      </c>
      <c r="U5" s="9">
        <v>1.95</v>
      </c>
      <c r="V5" s="9">
        <f t="shared" si="0"/>
        <v>-0.7431576011346066</v>
      </c>
      <c r="W5" s="9"/>
      <c r="X5" s="9"/>
      <c r="Y5" s="9">
        <v>4.0999999999999996</v>
      </c>
      <c r="Z5" s="9"/>
      <c r="AA5" s="5" t="s">
        <v>12</v>
      </c>
      <c r="AB5" s="7" t="s">
        <v>1123</v>
      </c>
      <c r="AC5" s="5" t="s">
        <v>13</v>
      </c>
      <c r="AD5" s="3">
        <v>9</v>
      </c>
      <c r="AE5" s="5" t="s">
        <v>14</v>
      </c>
      <c r="AF5" s="5" t="s">
        <v>97</v>
      </c>
      <c r="AG5" s="5" t="s">
        <v>14</v>
      </c>
      <c r="AH5" s="5" t="s">
        <v>8</v>
      </c>
      <c r="AI5" s="5" t="s">
        <v>8</v>
      </c>
      <c r="AJ5" s="5" t="s">
        <v>8</v>
      </c>
      <c r="AK5" s="5" t="s">
        <v>1028</v>
      </c>
      <c r="AL5" s="5" t="s">
        <v>8</v>
      </c>
      <c r="AM5" s="5" t="s">
        <v>41</v>
      </c>
      <c r="AN5" s="5" t="s">
        <v>67</v>
      </c>
      <c r="AO5" s="5" t="s">
        <v>44</v>
      </c>
      <c r="AP5" s="5" t="s">
        <v>34</v>
      </c>
      <c r="AQ5" s="5" t="s">
        <v>42</v>
      </c>
      <c r="BD5" s="58"/>
      <c r="BM5" s="58"/>
      <c r="CT5" s="5">
        <v>27</v>
      </c>
      <c r="CW5" s="5">
        <v>95</v>
      </c>
      <c r="CX5" s="59">
        <f t="shared" si="1"/>
        <v>-1.2580400255962119</v>
      </c>
    </row>
    <row r="6" spans="1:202" ht="13.15" hidden="1" customHeight="1" x14ac:dyDescent="0.2">
      <c r="A6" s="3" t="s">
        <v>1</v>
      </c>
      <c r="B6" s="4" t="s">
        <v>33</v>
      </c>
      <c r="C6" s="28">
        <v>2017</v>
      </c>
      <c r="D6" s="6">
        <v>3</v>
      </c>
      <c r="E6" s="6">
        <v>8</v>
      </c>
      <c r="F6" s="63" t="s">
        <v>1062</v>
      </c>
      <c r="G6" s="5" t="s">
        <v>36</v>
      </c>
      <c r="H6" s="5" t="s">
        <v>5</v>
      </c>
      <c r="I6" s="5" t="s">
        <v>46</v>
      </c>
      <c r="J6" s="5" t="s">
        <v>25</v>
      </c>
      <c r="K6" s="5" t="s">
        <v>1045</v>
      </c>
      <c r="L6" s="5" t="s">
        <v>8</v>
      </c>
      <c r="M6" s="5" t="s">
        <v>38</v>
      </c>
      <c r="N6" s="7">
        <v>0</v>
      </c>
      <c r="O6" s="7">
        <v>0</v>
      </c>
      <c r="P6" s="7" t="s">
        <v>22</v>
      </c>
      <c r="Q6" s="5" t="s">
        <v>39</v>
      </c>
      <c r="R6" s="5" t="s">
        <v>1028</v>
      </c>
      <c r="S6" s="5" t="s">
        <v>40</v>
      </c>
      <c r="T6" s="5" t="s">
        <v>1335</v>
      </c>
      <c r="U6" s="9">
        <v>2.0499999999999998</v>
      </c>
      <c r="V6" s="9">
        <f t="shared" si="0"/>
        <v>-1.7245072422188876</v>
      </c>
      <c r="W6" s="9">
        <v>2.0499999999999998</v>
      </c>
      <c r="X6" s="9">
        <v>2.2000000000000002</v>
      </c>
      <c r="Y6" s="9">
        <v>11.5</v>
      </c>
      <c r="Z6" s="9"/>
      <c r="AA6" s="5" t="s">
        <v>12</v>
      </c>
      <c r="AB6" s="7" t="s">
        <v>1123</v>
      </c>
      <c r="AC6" s="5" t="s">
        <v>13</v>
      </c>
      <c r="AD6" s="3">
        <v>9</v>
      </c>
      <c r="AE6" s="5" t="s">
        <v>14</v>
      </c>
      <c r="AF6" s="5" t="s">
        <v>97</v>
      </c>
      <c r="AG6" s="5" t="s">
        <v>14</v>
      </c>
      <c r="AH6" s="5" t="s">
        <v>8</v>
      </c>
      <c r="AI6" s="5" t="s">
        <v>8</v>
      </c>
      <c r="AJ6" s="5" t="s">
        <v>8</v>
      </c>
      <c r="AK6" s="5" t="s">
        <v>1028</v>
      </c>
      <c r="AL6" s="5" t="s">
        <v>8</v>
      </c>
      <c r="AM6" s="5" t="s">
        <v>41</v>
      </c>
      <c r="AN6" s="5" t="s">
        <v>67</v>
      </c>
      <c r="AO6" s="5" t="s">
        <v>44</v>
      </c>
      <c r="AP6" s="5" t="s">
        <v>34</v>
      </c>
      <c r="AQ6" s="5" t="s">
        <v>47</v>
      </c>
      <c r="BD6" s="58"/>
      <c r="BM6" s="58"/>
      <c r="CT6" s="5">
        <v>48</v>
      </c>
      <c r="CU6" s="5">
        <v>30</v>
      </c>
      <c r="CV6" s="5">
        <v>48</v>
      </c>
      <c r="CW6" s="5">
        <v>15</v>
      </c>
      <c r="CX6" s="59">
        <f t="shared" si="1"/>
        <v>1.1631508098056809</v>
      </c>
    </row>
    <row r="7" spans="1:202" ht="13.15" hidden="1" customHeight="1" x14ac:dyDescent="0.2">
      <c r="A7" s="3" t="s">
        <v>1</v>
      </c>
      <c r="B7" s="4" t="s">
        <v>33</v>
      </c>
      <c r="C7" s="28">
        <v>2017</v>
      </c>
      <c r="D7" s="6">
        <v>3</v>
      </c>
      <c r="E7" s="6">
        <v>3</v>
      </c>
      <c r="F7" s="63" t="s">
        <v>1080</v>
      </c>
      <c r="G7" s="5" t="s">
        <v>36</v>
      </c>
      <c r="H7" s="5" t="s">
        <v>5</v>
      </c>
      <c r="I7" s="5" t="s">
        <v>45</v>
      </c>
      <c r="J7" s="5" t="s">
        <v>25</v>
      </c>
      <c r="K7" s="48" t="s">
        <v>1045</v>
      </c>
      <c r="L7" s="5" t="s">
        <v>8</v>
      </c>
      <c r="M7" s="5" t="s">
        <v>38</v>
      </c>
      <c r="N7" s="7">
        <v>0</v>
      </c>
      <c r="O7" s="7">
        <v>0</v>
      </c>
      <c r="P7" s="7" t="s">
        <v>35</v>
      </c>
      <c r="Q7" s="5" t="s">
        <v>39</v>
      </c>
      <c r="R7" s="5" t="s">
        <v>1028</v>
      </c>
      <c r="S7" s="5" t="s">
        <v>40</v>
      </c>
      <c r="T7" s="5" t="s">
        <v>1335</v>
      </c>
      <c r="U7" s="9">
        <v>2.1</v>
      </c>
      <c r="V7" s="9">
        <f t="shared" si="0"/>
        <v>-0.66904962898088483</v>
      </c>
      <c r="W7" s="9"/>
      <c r="X7" s="9"/>
      <c r="Y7" s="9">
        <v>4.0999999999999996</v>
      </c>
      <c r="Z7" s="9"/>
      <c r="AA7" s="5" t="s">
        <v>12</v>
      </c>
      <c r="AB7" s="7" t="s">
        <v>1123</v>
      </c>
      <c r="AC7" s="5" t="s">
        <v>13</v>
      </c>
      <c r="AD7" s="3">
        <v>9</v>
      </c>
      <c r="AE7" s="5" t="s">
        <v>14</v>
      </c>
      <c r="AF7" s="5" t="s">
        <v>97</v>
      </c>
      <c r="AG7" s="5" t="s">
        <v>14</v>
      </c>
      <c r="AH7" s="5" t="s">
        <v>8</v>
      </c>
      <c r="AI7" s="5" t="s">
        <v>8</v>
      </c>
      <c r="AJ7" s="5" t="s">
        <v>8</v>
      </c>
      <c r="AK7" s="5" t="s">
        <v>1028</v>
      </c>
      <c r="AL7" s="5" t="s">
        <v>8</v>
      </c>
      <c r="AM7" s="5" t="s">
        <v>41</v>
      </c>
      <c r="AN7" s="5" t="s">
        <v>67</v>
      </c>
      <c r="AO7" s="5" t="s">
        <v>18</v>
      </c>
      <c r="AP7" s="5" t="s">
        <v>34</v>
      </c>
      <c r="AQ7" s="5" t="s">
        <v>42</v>
      </c>
      <c r="BD7" s="58"/>
      <c r="BM7" s="58"/>
      <c r="CT7" s="5">
        <v>25.5</v>
      </c>
      <c r="CW7" s="5">
        <v>95</v>
      </c>
      <c r="CX7" s="59">
        <f t="shared" si="1"/>
        <v>-1.3151984394361604</v>
      </c>
    </row>
    <row r="8" spans="1:202" ht="13.15" hidden="1" customHeight="1" x14ac:dyDescent="0.2">
      <c r="A8" s="3" t="s">
        <v>1</v>
      </c>
      <c r="B8" s="4" t="s">
        <v>33</v>
      </c>
      <c r="C8" s="28">
        <v>2017</v>
      </c>
      <c r="D8" s="6">
        <v>3</v>
      </c>
      <c r="E8" s="6">
        <v>1</v>
      </c>
      <c r="F8" s="63" t="s">
        <v>1080</v>
      </c>
      <c r="G8" s="5" t="s">
        <v>36</v>
      </c>
      <c r="H8" s="5" t="s">
        <v>5</v>
      </c>
      <c r="I8" s="5" t="s">
        <v>37</v>
      </c>
      <c r="J8" s="5" t="s">
        <v>25</v>
      </c>
      <c r="K8" s="48" t="s">
        <v>1045</v>
      </c>
      <c r="L8" s="5" t="s">
        <v>8</v>
      </c>
      <c r="M8" s="5" t="s">
        <v>38</v>
      </c>
      <c r="N8" s="7">
        <v>0</v>
      </c>
      <c r="O8" s="7">
        <v>0</v>
      </c>
      <c r="P8" s="7" t="s">
        <v>35</v>
      </c>
      <c r="Q8" s="5" t="s">
        <v>39</v>
      </c>
      <c r="R8" s="5" t="s">
        <v>1028</v>
      </c>
      <c r="S8" s="5" t="s">
        <v>40</v>
      </c>
      <c r="T8" s="5" t="s">
        <v>1335</v>
      </c>
      <c r="U8" s="9">
        <v>2.2999999999999998</v>
      </c>
      <c r="V8" s="9">
        <f t="shared" si="0"/>
        <v>-0.57807785077515805</v>
      </c>
      <c r="W8" s="9">
        <v>2.2000000000000002</v>
      </c>
      <c r="X8" s="9">
        <v>2.2999999999999998</v>
      </c>
      <c r="Y8" s="9">
        <v>4.0999999999999996</v>
      </c>
      <c r="Z8" s="9"/>
      <c r="AA8" s="5" t="s">
        <v>12</v>
      </c>
      <c r="AB8" s="7" t="s">
        <v>1123</v>
      </c>
      <c r="AC8" s="5" t="s">
        <v>13</v>
      </c>
      <c r="AD8" s="3">
        <v>9</v>
      </c>
      <c r="AE8" s="5" t="s">
        <v>14</v>
      </c>
      <c r="AF8" s="5" t="s">
        <v>97</v>
      </c>
      <c r="AG8" s="5" t="s">
        <v>14</v>
      </c>
      <c r="AH8" s="5" t="s">
        <v>8</v>
      </c>
      <c r="AI8" s="5" t="s">
        <v>8</v>
      </c>
      <c r="AJ8" s="5" t="s">
        <v>8</v>
      </c>
      <c r="AK8" s="5" t="s">
        <v>1028</v>
      </c>
      <c r="AL8" s="5" t="s">
        <v>8</v>
      </c>
      <c r="AM8" s="5" t="s">
        <v>41</v>
      </c>
      <c r="AN8" s="5" t="s">
        <v>67</v>
      </c>
      <c r="AO8" s="5" t="s">
        <v>18</v>
      </c>
      <c r="AP8" s="5" t="s">
        <v>34</v>
      </c>
      <c r="AQ8" s="5" t="s">
        <v>42</v>
      </c>
      <c r="BD8" s="58"/>
      <c r="BM8" s="58"/>
      <c r="CT8" s="5">
        <v>30</v>
      </c>
      <c r="CW8" s="5">
        <v>95</v>
      </c>
      <c r="CX8" s="59">
        <f t="shared" si="1"/>
        <v>-1.1526795099383855</v>
      </c>
    </row>
    <row r="9" spans="1:202" ht="13.15" hidden="1" customHeight="1" x14ac:dyDescent="0.2">
      <c r="A9" s="3" t="s">
        <v>1</v>
      </c>
      <c r="B9" s="4" t="s">
        <v>33</v>
      </c>
      <c r="C9" s="28">
        <v>2017</v>
      </c>
      <c r="D9" s="6">
        <v>3</v>
      </c>
      <c r="E9" s="6">
        <v>6</v>
      </c>
      <c r="F9" s="63" t="s">
        <v>1062</v>
      </c>
      <c r="G9" s="5" t="s">
        <v>36</v>
      </c>
      <c r="H9" s="5" t="s">
        <v>5</v>
      </c>
      <c r="I9" s="5" t="s">
        <v>43</v>
      </c>
      <c r="J9" s="5" t="s">
        <v>25</v>
      </c>
      <c r="K9" s="5" t="s">
        <v>1045</v>
      </c>
      <c r="L9" s="5" t="s">
        <v>8</v>
      </c>
      <c r="M9" s="5" t="s">
        <v>38</v>
      </c>
      <c r="N9" s="7">
        <v>0</v>
      </c>
      <c r="O9" s="7">
        <v>0</v>
      </c>
      <c r="P9" s="7" t="s">
        <v>22</v>
      </c>
      <c r="Q9" s="5" t="s">
        <v>39</v>
      </c>
      <c r="R9" s="5" t="s">
        <v>1028</v>
      </c>
      <c r="S9" s="5" t="s">
        <v>40</v>
      </c>
      <c r="T9" s="5" t="s">
        <v>1335</v>
      </c>
      <c r="U9" s="9">
        <v>2.5</v>
      </c>
      <c r="V9" s="9">
        <f t="shared" si="0"/>
        <v>-1.5260563034950494</v>
      </c>
      <c r="W9" s="9"/>
      <c r="X9" s="9"/>
      <c r="Y9" s="9">
        <v>11.5</v>
      </c>
      <c r="Z9" s="9"/>
      <c r="AA9" s="5" t="s">
        <v>12</v>
      </c>
      <c r="AB9" s="7" t="s">
        <v>1123</v>
      </c>
      <c r="AC9" s="5" t="s">
        <v>13</v>
      </c>
      <c r="AD9" s="3">
        <v>9</v>
      </c>
      <c r="AE9" s="5" t="s">
        <v>14</v>
      </c>
      <c r="AF9" s="5" t="s">
        <v>97</v>
      </c>
      <c r="AG9" s="5" t="s">
        <v>14</v>
      </c>
      <c r="AH9" s="5" t="s">
        <v>8</v>
      </c>
      <c r="AI9" s="5" t="s">
        <v>8</v>
      </c>
      <c r="AJ9" s="5" t="s">
        <v>8</v>
      </c>
      <c r="AK9" s="5" t="s">
        <v>1028</v>
      </c>
      <c r="AL9" s="5" t="s">
        <v>8</v>
      </c>
      <c r="AM9" s="5" t="s">
        <v>41</v>
      </c>
      <c r="AN9" s="5" t="s">
        <v>67</v>
      </c>
      <c r="AO9" s="5" t="s">
        <v>44</v>
      </c>
      <c r="AP9" s="5" t="s">
        <v>34</v>
      </c>
      <c r="AQ9" s="5" t="s">
        <v>47</v>
      </c>
      <c r="BD9" s="58"/>
      <c r="BM9" s="58"/>
      <c r="CT9" s="5">
        <v>40</v>
      </c>
      <c r="CU9" s="5">
        <v>29</v>
      </c>
      <c r="CV9" s="5">
        <v>40</v>
      </c>
      <c r="CW9" s="5">
        <v>15</v>
      </c>
      <c r="CX9" s="59">
        <f t="shared" si="1"/>
        <v>0.98082925301172619</v>
      </c>
    </row>
    <row r="10" spans="1:202" ht="13.15" hidden="1" customHeight="1" x14ac:dyDescent="0.2">
      <c r="A10" s="3" t="s">
        <v>1</v>
      </c>
      <c r="B10" s="4" t="s">
        <v>33</v>
      </c>
      <c r="C10" s="28">
        <v>2017</v>
      </c>
      <c r="D10" s="6">
        <v>3</v>
      </c>
      <c r="E10" s="6">
        <v>5</v>
      </c>
      <c r="F10" s="63" t="s">
        <v>1062</v>
      </c>
      <c r="G10" s="5" t="s">
        <v>36</v>
      </c>
      <c r="H10" s="5" t="s">
        <v>5</v>
      </c>
      <c r="I10" s="5" t="s">
        <v>37</v>
      </c>
      <c r="J10" s="5" t="s">
        <v>25</v>
      </c>
      <c r="K10" s="5" t="s">
        <v>1045</v>
      </c>
      <c r="L10" s="5" t="s">
        <v>8</v>
      </c>
      <c r="M10" s="5" t="s">
        <v>38</v>
      </c>
      <c r="N10" s="7">
        <v>0</v>
      </c>
      <c r="O10" s="7">
        <v>0</v>
      </c>
      <c r="P10" s="7" t="s">
        <v>22</v>
      </c>
      <c r="Q10" s="5" t="s">
        <v>39</v>
      </c>
      <c r="R10" s="5" t="s">
        <v>1028</v>
      </c>
      <c r="S10" s="5" t="s">
        <v>40</v>
      </c>
      <c r="T10" s="5" t="s">
        <v>1335</v>
      </c>
      <c r="U10" s="9">
        <v>3</v>
      </c>
      <c r="V10" s="9">
        <f t="shared" si="0"/>
        <v>-1.3437347467010947</v>
      </c>
      <c r="W10" s="9">
        <v>3</v>
      </c>
      <c r="X10" s="9">
        <v>3.1</v>
      </c>
      <c r="Y10" s="9">
        <v>11.5</v>
      </c>
      <c r="Z10" s="9"/>
      <c r="AA10" s="5" t="s">
        <v>12</v>
      </c>
      <c r="AB10" s="7" t="s">
        <v>1123</v>
      </c>
      <c r="AC10" s="5" t="s">
        <v>13</v>
      </c>
      <c r="AD10" s="3">
        <v>9</v>
      </c>
      <c r="AE10" s="5" t="s">
        <v>14</v>
      </c>
      <c r="AF10" s="5" t="s">
        <v>97</v>
      </c>
      <c r="AG10" s="5" t="s">
        <v>14</v>
      </c>
      <c r="AH10" s="5" t="s">
        <v>8</v>
      </c>
      <c r="AI10" s="5" t="s">
        <v>8</v>
      </c>
      <c r="AJ10" s="5" t="s">
        <v>8</v>
      </c>
      <c r="AK10" s="5" t="s">
        <v>1028</v>
      </c>
      <c r="AL10" s="5" t="s">
        <v>8</v>
      </c>
      <c r="AM10" s="5" t="s">
        <v>41</v>
      </c>
      <c r="AN10" s="5" t="s">
        <v>67</v>
      </c>
      <c r="AO10" s="5" t="s">
        <v>18</v>
      </c>
      <c r="AP10" s="5" t="s">
        <v>34</v>
      </c>
      <c r="AQ10" s="5" t="s">
        <v>47</v>
      </c>
      <c r="BD10" s="58"/>
      <c r="BM10" s="58"/>
      <c r="CT10" s="5">
        <v>46</v>
      </c>
      <c r="CU10" s="5">
        <v>41</v>
      </c>
      <c r="CV10" s="5">
        <v>46</v>
      </c>
      <c r="CW10" s="5">
        <v>15</v>
      </c>
      <c r="CX10" s="59">
        <f t="shared" si="1"/>
        <v>1.120591195386885</v>
      </c>
    </row>
    <row r="11" spans="1:202" ht="13.15" hidden="1" customHeight="1" x14ac:dyDescent="0.2">
      <c r="A11" s="3" t="s">
        <v>1</v>
      </c>
      <c r="B11" s="4" t="s">
        <v>33</v>
      </c>
      <c r="C11" s="28">
        <v>2017</v>
      </c>
      <c r="D11" s="6">
        <v>3</v>
      </c>
      <c r="E11" s="6">
        <v>7</v>
      </c>
      <c r="F11" s="63" t="s">
        <v>1062</v>
      </c>
      <c r="G11" s="5" t="s">
        <v>36</v>
      </c>
      <c r="H11" s="5" t="s">
        <v>5</v>
      </c>
      <c r="I11" s="5" t="s">
        <v>45</v>
      </c>
      <c r="J11" s="5" t="s">
        <v>25</v>
      </c>
      <c r="K11" s="5" t="s">
        <v>1045</v>
      </c>
      <c r="L11" s="5" t="s">
        <v>8</v>
      </c>
      <c r="M11" s="5" t="s">
        <v>38</v>
      </c>
      <c r="N11" s="7">
        <v>0</v>
      </c>
      <c r="O11" s="7">
        <v>0</v>
      </c>
      <c r="P11" s="7" t="s">
        <v>22</v>
      </c>
      <c r="Q11" s="5" t="s">
        <v>39</v>
      </c>
      <c r="R11" s="5" t="s">
        <v>1028</v>
      </c>
      <c r="S11" s="5" t="s">
        <v>40</v>
      </c>
      <c r="T11" s="5" t="s">
        <v>1335</v>
      </c>
      <c r="U11" s="9">
        <v>3</v>
      </c>
      <c r="V11" s="9">
        <f t="shared" si="0"/>
        <v>-1.3437347467010947</v>
      </c>
      <c r="W11" s="9"/>
      <c r="X11" s="9"/>
      <c r="Y11" s="9">
        <v>11.5</v>
      </c>
      <c r="Z11" s="9"/>
      <c r="AA11" s="5" t="s">
        <v>12</v>
      </c>
      <c r="AB11" s="7" t="s">
        <v>1123</v>
      </c>
      <c r="AC11" s="5" t="s">
        <v>13</v>
      </c>
      <c r="AD11" s="3">
        <v>9</v>
      </c>
      <c r="AE11" s="5" t="s">
        <v>14</v>
      </c>
      <c r="AF11" s="5" t="s">
        <v>97</v>
      </c>
      <c r="AG11" s="5" t="s">
        <v>14</v>
      </c>
      <c r="AH11" s="5" t="s">
        <v>8</v>
      </c>
      <c r="AI11" s="5" t="s">
        <v>8</v>
      </c>
      <c r="AJ11" s="5" t="s">
        <v>8</v>
      </c>
      <c r="AK11" s="5" t="s">
        <v>1028</v>
      </c>
      <c r="AL11" s="5" t="s">
        <v>8</v>
      </c>
      <c r="AM11" s="5" t="s">
        <v>41</v>
      </c>
      <c r="AN11" s="5" t="s">
        <v>67</v>
      </c>
      <c r="AO11" s="5" t="s">
        <v>18</v>
      </c>
      <c r="AP11" s="5" t="s">
        <v>34</v>
      </c>
      <c r="AQ11" s="5" t="s">
        <v>47</v>
      </c>
      <c r="BD11" s="58"/>
      <c r="BM11" s="58"/>
      <c r="CT11" s="5">
        <v>43</v>
      </c>
      <c r="CU11" s="5">
        <v>39</v>
      </c>
      <c r="CV11" s="5">
        <v>43</v>
      </c>
      <c r="CW11" s="5">
        <v>15</v>
      </c>
      <c r="CX11" s="59">
        <f t="shared" si="1"/>
        <v>1.0531499145913523</v>
      </c>
    </row>
    <row r="12" spans="1:202" ht="13.15" hidden="1" customHeight="1" x14ac:dyDescent="0.2">
      <c r="A12" s="3" t="s">
        <v>1</v>
      </c>
      <c r="B12" s="4" t="s">
        <v>48</v>
      </c>
      <c r="C12" s="28">
        <v>2011</v>
      </c>
      <c r="D12" s="16">
        <v>4</v>
      </c>
      <c r="E12" s="16">
        <v>1</v>
      </c>
      <c r="F12" s="5" t="s">
        <v>1076</v>
      </c>
      <c r="G12" s="5" t="s">
        <v>16</v>
      </c>
      <c r="H12" s="5" t="s">
        <v>5</v>
      </c>
      <c r="I12" s="5" t="s">
        <v>51</v>
      </c>
      <c r="J12" s="5" t="s">
        <v>1260</v>
      </c>
      <c r="K12" s="5" t="s">
        <v>1045</v>
      </c>
      <c r="L12" s="5" t="s">
        <v>8</v>
      </c>
      <c r="M12" s="5" t="s">
        <v>9</v>
      </c>
      <c r="N12" s="7">
        <v>0</v>
      </c>
      <c r="O12" s="7">
        <v>0</v>
      </c>
      <c r="P12" s="7" t="s">
        <v>50</v>
      </c>
      <c r="Q12" s="5" t="s">
        <v>39</v>
      </c>
      <c r="R12" s="5" t="s">
        <v>27</v>
      </c>
      <c r="S12" s="5" t="s">
        <v>53</v>
      </c>
      <c r="T12" s="5" t="s">
        <v>1335</v>
      </c>
      <c r="U12" s="9">
        <v>1.3</v>
      </c>
      <c r="V12" s="9">
        <f t="shared" si="0"/>
        <v>-0.97600996657577732</v>
      </c>
      <c r="W12" s="9">
        <v>0.95</v>
      </c>
      <c r="X12" s="9">
        <v>2.2000000000000002</v>
      </c>
      <c r="Y12" s="9">
        <v>3.45</v>
      </c>
      <c r="Z12" s="9"/>
      <c r="AA12" s="5" t="s">
        <v>12</v>
      </c>
      <c r="AB12" s="62" t="s">
        <v>1043</v>
      </c>
      <c r="AC12" s="5" t="s">
        <v>13</v>
      </c>
      <c r="AD12" s="3">
        <v>9</v>
      </c>
      <c r="AE12" s="5" t="s">
        <v>8</v>
      </c>
      <c r="AF12" s="5" t="s">
        <v>29</v>
      </c>
      <c r="AG12" s="5" t="s">
        <v>8</v>
      </c>
      <c r="AH12" s="5" t="s">
        <v>8</v>
      </c>
      <c r="AI12" s="5" t="s">
        <v>14</v>
      </c>
      <c r="AJ12" s="5" t="s">
        <v>8</v>
      </c>
      <c r="AK12" s="5" t="s">
        <v>1028</v>
      </c>
      <c r="AL12" s="5" t="s">
        <v>8</v>
      </c>
      <c r="AM12" s="5" t="s">
        <v>54</v>
      </c>
      <c r="AN12" s="5" t="s">
        <v>67</v>
      </c>
      <c r="AO12" s="5" t="s">
        <v>67</v>
      </c>
      <c r="AP12" s="5" t="s">
        <v>49</v>
      </c>
      <c r="AQ12" s="5" t="s">
        <v>55</v>
      </c>
      <c r="AZ12" s="17"/>
      <c r="BA12" s="17"/>
      <c r="BB12" s="17"/>
      <c r="BC12" s="17"/>
      <c r="BD12" s="58"/>
      <c r="BE12" s="17"/>
      <c r="BF12" s="17"/>
      <c r="BG12" s="17"/>
      <c r="BH12" s="17"/>
      <c r="BI12" s="17">
        <v>6.0000000000000001E-3</v>
      </c>
      <c r="BJ12" s="17"/>
      <c r="BK12" s="17"/>
      <c r="BL12" s="17">
        <v>4.4999999999999999E-4</v>
      </c>
      <c r="BM12" s="58">
        <f>LN(BI12/BL12)</f>
        <v>2.5902671654458267</v>
      </c>
      <c r="DC12" s="9">
        <v>39</v>
      </c>
      <c r="DD12" s="9"/>
      <c r="DE12" s="9"/>
      <c r="DF12" s="9">
        <v>19</v>
      </c>
    </row>
    <row r="13" spans="1:202" ht="13.15" hidden="1" customHeight="1" x14ac:dyDescent="0.2">
      <c r="A13" s="3" t="s">
        <v>1</v>
      </c>
      <c r="B13" s="4" t="s">
        <v>56</v>
      </c>
      <c r="C13" s="28">
        <v>2012</v>
      </c>
      <c r="D13" s="16">
        <v>5</v>
      </c>
      <c r="E13" s="16">
        <v>1</v>
      </c>
      <c r="F13" s="63" t="s">
        <v>1090</v>
      </c>
      <c r="G13" s="5" t="s">
        <v>16</v>
      </c>
      <c r="H13" s="5" t="s">
        <v>5</v>
      </c>
      <c r="I13" s="5" t="s">
        <v>59</v>
      </c>
      <c r="J13" s="5" t="s">
        <v>7</v>
      </c>
      <c r="K13" s="48" t="s">
        <v>1046</v>
      </c>
      <c r="L13" s="5" t="s">
        <v>60</v>
      </c>
      <c r="M13" s="5" t="s">
        <v>61</v>
      </c>
      <c r="N13" s="7">
        <v>0</v>
      </c>
      <c r="O13" s="7">
        <v>3.14</v>
      </c>
      <c r="P13" s="7" t="s">
        <v>58</v>
      </c>
      <c r="Q13" s="5" t="s">
        <v>39</v>
      </c>
      <c r="R13" s="5" t="s">
        <v>62</v>
      </c>
      <c r="S13" s="5" t="s">
        <v>63</v>
      </c>
      <c r="T13" s="5" t="s">
        <v>1335</v>
      </c>
      <c r="U13" s="9">
        <v>3.9</v>
      </c>
      <c r="V13" s="9">
        <f t="shared" si="0"/>
        <v>-0.43742745881112288</v>
      </c>
      <c r="W13" s="9">
        <v>3.6</v>
      </c>
      <c r="X13" s="9">
        <v>4.5</v>
      </c>
      <c r="Y13" s="9">
        <f>2.9+O13</f>
        <v>6.04</v>
      </c>
      <c r="Z13" s="9"/>
      <c r="AA13" s="5" t="s">
        <v>12</v>
      </c>
      <c r="AB13" s="7" t="s">
        <v>1044</v>
      </c>
      <c r="AC13" s="5" t="s">
        <v>64</v>
      </c>
      <c r="AD13" s="3">
        <v>9</v>
      </c>
      <c r="AE13" s="5" t="s">
        <v>14</v>
      </c>
      <c r="AF13" s="5" t="s">
        <v>65</v>
      </c>
      <c r="AG13" s="5" t="s">
        <v>14</v>
      </c>
      <c r="AH13" s="5" t="s">
        <v>14</v>
      </c>
      <c r="AI13" s="5" t="s">
        <v>14</v>
      </c>
      <c r="AJ13" s="5" t="s">
        <v>14</v>
      </c>
      <c r="AK13" s="5" t="s">
        <v>1028</v>
      </c>
      <c r="AL13" s="5" t="s">
        <v>8</v>
      </c>
      <c r="AM13" s="5" t="s">
        <v>66</v>
      </c>
      <c r="AN13" s="5" t="s">
        <v>67</v>
      </c>
      <c r="AO13" s="5" t="s">
        <v>44</v>
      </c>
      <c r="AP13" s="5" t="s">
        <v>57</v>
      </c>
      <c r="AQ13" s="5" t="s">
        <v>68</v>
      </c>
      <c r="AZ13" s="17">
        <v>1.44E-2</v>
      </c>
      <c r="BA13" s="17"/>
      <c r="BB13" s="17"/>
      <c r="BC13" s="17">
        <v>0.14399999999999999</v>
      </c>
      <c r="BD13" s="58">
        <f>LN(AZ13/BC13)</f>
        <v>-2.3025850929940455</v>
      </c>
      <c r="BE13" s="17"/>
      <c r="BF13" s="17"/>
      <c r="BG13" s="17"/>
      <c r="BH13" s="17"/>
      <c r="BI13" s="17">
        <v>2.0999999999999999E-3</v>
      </c>
      <c r="BJ13" s="17"/>
      <c r="BK13" s="17"/>
      <c r="BL13" s="17">
        <v>1.1999999999999999E-3</v>
      </c>
      <c r="BM13" s="58">
        <f>LN(BI13/BL13)</f>
        <v>0.55961578793542266</v>
      </c>
      <c r="CP13" s="17">
        <v>3.3999999999999998E-3</v>
      </c>
      <c r="CQ13" s="17"/>
      <c r="CR13" s="17"/>
      <c r="CS13" s="17">
        <v>5.1000000000000004E-3</v>
      </c>
      <c r="DC13" s="9">
        <v>120</v>
      </c>
      <c r="DD13" s="9"/>
      <c r="DE13" s="9"/>
      <c r="DF13" s="9">
        <v>87</v>
      </c>
    </row>
    <row r="14" spans="1:202" hidden="1" x14ac:dyDescent="0.2">
      <c r="A14" s="3" t="s">
        <v>1</v>
      </c>
      <c r="B14" s="4" t="s">
        <v>69</v>
      </c>
      <c r="C14" s="28">
        <v>2013</v>
      </c>
      <c r="D14" s="16">
        <v>6</v>
      </c>
      <c r="E14" s="16">
        <v>1</v>
      </c>
      <c r="F14" s="5" t="s">
        <v>1055</v>
      </c>
      <c r="G14" s="5" t="s">
        <v>23</v>
      </c>
      <c r="H14" s="5" t="s">
        <v>5</v>
      </c>
      <c r="I14" s="5" t="s">
        <v>72</v>
      </c>
      <c r="J14" s="5" t="s">
        <v>25</v>
      </c>
      <c r="K14" s="5" t="s">
        <v>1045</v>
      </c>
      <c r="L14" s="5" t="s">
        <v>8</v>
      </c>
      <c r="M14" s="5" t="s">
        <v>9</v>
      </c>
      <c r="N14" s="7">
        <v>3.14</v>
      </c>
      <c r="O14" s="7">
        <v>3.14</v>
      </c>
      <c r="P14" s="7" t="s">
        <v>71</v>
      </c>
      <c r="Q14" s="5" t="s">
        <v>39</v>
      </c>
      <c r="R14" s="5" t="s">
        <v>67</v>
      </c>
      <c r="S14" s="5" t="s">
        <v>73</v>
      </c>
      <c r="T14" s="5" t="s">
        <v>1335</v>
      </c>
      <c r="U14" s="9">
        <f>274856/50000+N14</f>
        <v>8.6371199999999995</v>
      </c>
      <c r="V14" s="9">
        <f t="shared" si="0"/>
        <v>0.63218916984227269</v>
      </c>
      <c r="W14" s="9">
        <f>(172828/50000)+N14</f>
        <v>6.5965600000000002</v>
      </c>
      <c r="X14" s="9">
        <f>274856/50000+N14</f>
        <v>8.6371199999999995</v>
      </c>
      <c r="Y14" s="8">
        <f>Z14+O14</f>
        <v>4.59</v>
      </c>
      <c r="Z14" s="9">
        <v>1.45</v>
      </c>
      <c r="AA14" s="5" t="s">
        <v>12</v>
      </c>
      <c r="AB14" s="7" t="s">
        <v>1044</v>
      </c>
      <c r="AC14" s="5" t="s">
        <v>74</v>
      </c>
      <c r="AD14" s="3">
        <v>9</v>
      </c>
      <c r="AE14" s="5" t="s">
        <v>14</v>
      </c>
      <c r="AF14" s="5" t="s">
        <v>75</v>
      </c>
      <c r="AG14" s="5" t="s">
        <v>8</v>
      </c>
      <c r="AH14" s="5" t="s">
        <v>8</v>
      </c>
      <c r="AI14" s="5" t="s">
        <v>14</v>
      </c>
      <c r="AJ14" s="5" t="s">
        <v>8</v>
      </c>
      <c r="AK14" s="5" t="s">
        <v>76</v>
      </c>
      <c r="AL14" s="5" t="s">
        <v>8</v>
      </c>
      <c r="AM14" s="5" t="s">
        <v>77</v>
      </c>
      <c r="AN14" s="5" t="s">
        <v>67</v>
      </c>
      <c r="AO14" s="5" t="s">
        <v>67</v>
      </c>
      <c r="AP14" s="5" t="s">
        <v>70</v>
      </c>
      <c r="AQ14" s="5" t="s">
        <v>78</v>
      </c>
      <c r="AZ14" s="9">
        <f>1886/50000</f>
        <v>3.7719999999999997E-2</v>
      </c>
      <c r="BA14" s="9">
        <f>1253/50000</f>
        <v>2.5059999999999999E-2</v>
      </c>
      <c r="BB14" s="9">
        <f>1886/50000</f>
        <v>3.7719999999999997E-2</v>
      </c>
      <c r="BC14" s="12">
        <v>3.0699999999999998E-3</v>
      </c>
      <c r="BD14" s="58">
        <f>LN(AZ14/BC14)</f>
        <v>2.5085128961661511</v>
      </c>
      <c r="BI14" s="9">
        <f>451/50000</f>
        <v>9.0200000000000002E-3</v>
      </c>
      <c r="BJ14" s="17">
        <f>283/50000</f>
        <v>5.6600000000000001E-3</v>
      </c>
      <c r="BK14" s="17">
        <f>451/50000</f>
        <v>9.0200000000000002E-3</v>
      </c>
      <c r="BL14" s="18">
        <v>4.6100000000000001E-7</v>
      </c>
      <c r="BM14" s="58">
        <f>LN(BI14/BL14)</f>
        <v>9.8815568490421573</v>
      </c>
      <c r="CP14" s="17">
        <f>114/50000</f>
        <v>2.2799999999999999E-3</v>
      </c>
      <c r="CQ14" s="17">
        <f>71/50000</f>
        <v>1.42E-3</v>
      </c>
      <c r="CR14" s="17">
        <f>114/50000</f>
        <v>2.2799999999999999E-3</v>
      </c>
      <c r="CS14" s="5">
        <v>2.31E-4</v>
      </c>
    </row>
    <row r="15" spans="1:202" ht="13.15" hidden="1" customHeight="1" x14ac:dyDescent="0.2">
      <c r="A15" s="3" t="s">
        <v>1</v>
      </c>
      <c r="B15" s="4" t="s">
        <v>79</v>
      </c>
      <c r="C15" s="28">
        <v>2013</v>
      </c>
      <c r="D15" s="16">
        <v>7</v>
      </c>
      <c r="E15" s="16">
        <v>3</v>
      </c>
      <c r="F15" s="5" t="s">
        <v>1076</v>
      </c>
      <c r="G15" s="5" t="s">
        <v>16</v>
      </c>
      <c r="H15" s="5" t="s">
        <v>5</v>
      </c>
      <c r="I15" s="5" t="s">
        <v>88</v>
      </c>
      <c r="J15" s="5" t="s">
        <v>25</v>
      </c>
      <c r="K15" s="48" t="s">
        <v>1045</v>
      </c>
      <c r="L15" s="5" t="s">
        <v>52</v>
      </c>
      <c r="M15" s="5" t="s">
        <v>9</v>
      </c>
      <c r="N15" s="7">
        <v>0</v>
      </c>
      <c r="O15" s="7">
        <v>1.78</v>
      </c>
      <c r="P15" s="7" t="s">
        <v>50</v>
      </c>
      <c r="Q15" s="5" t="s">
        <v>39</v>
      </c>
      <c r="R15" s="5" t="s">
        <v>31</v>
      </c>
      <c r="S15" s="5" t="s">
        <v>82</v>
      </c>
      <c r="T15" s="5" t="s">
        <v>1335</v>
      </c>
      <c r="U15" s="9">
        <v>3.093</v>
      </c>
      <c r="V15" s="9">
        <f t="shared" si="0"/>
        <v>-0.68503157036202245</v>
      </c>
      <c r="W15" s="9"/>
      <c r="X15" s="9"/>
      <c r="Y15" s="9">
        <f>4.356+O15</f>
        <v>6.1360000000000001</v>
      </c>
      <c r="Z15" s="9"/>
      <c r="AA15" s="5" t="s">
        <v>12</v>
      </c>
      <c r="AB15" s="7" t="s">
        <v>1123</v>
      </c>
      <c r="AC15" s="5" t="s">
        <v>13</v>
      </c>
      <c r="AD15" s="3">
        <v>9</v>
      </c>
      <c r="AE15" s="5" t="s">
        <v>14</v>
      </c>
      <c r="AF15" s="5" t="s">
        <v>83</v>
      </c>
      <c r="AG15" s="5" t="s">
        <v>8</v>
      </c>
      <c r="AH15" s="5" t="s">
        <v>14</v>
      </c>
      <c r="AI15" s="5" t="s">
        <v>8</v>
      </c>
      <c r="AJ15" s="5" t="s">
        <v>8</v>
      </c>
      <c r="AK15" s="5" t="s">
        <v>84</v>
      </c>
      <c r="AL15" s="5" t="s">
        <v>8</v>
      </c>
      <c r="AM15" s="5" t="s">
        <v>85</v>
      </c>
      <c r="AN15" s="5" t="s">
        <v>67</v>
      </c>
      <c r="AO15" s="5" t="s">
        <v>67</v>
      </c>
      <c r="AP15" s="5" t="s">
        <v>80</v>
      </c>
      <c r="AQ15" s="5" t="s">
        <v>86</v>
      </c>
      <c r="BD15" s="58"/>
      <c r="BM15" s="58"/>
    </row>
    <row r="16" spans="1:202" ht="13.15" hidden="1" customHeight="1" x14ac:dyDescent="0.2">
      <c r="A16" s="3" t="s">
        <v>1</v>
      </c>
      <c r="B16" s="4" t="s">
        <v>79</v>
      </c>
      <c r="C16" s="28">
        <v>2013</v>
      </c>
      <c r="D16" s="16">
        <v>7</v>
      </c>
      <c r="E16" s="16">
        <v>2</v>
      </c>
      <c r="F16" s="5" t="s">
        <v>1076</v>
      </c>
      <c r="G16" s="5" t="s">
        <v>16</v>
      </c>
      <c r="H16" s="5" t="s">
        <v>5</v>
      </c>
      <c r="I16" s="5" t="s">
        <v>87</v>
      </c>
      <c r="J16" s="5" t="s">
        <v>7</v>
      </c>
      <c r="K16" s="5" t="s">
        <v>1046</v>
      </c>
      <c r="L16" s="5" t="s">
        <v>52</v>
      </c>
      <c r="M16" s="5" t="s">
        <v>9</v>
      </c>
      <c r="N16" s="7">
        <v>0</v>
      </c>
      <c r="O16" s="7">
        <v>1.78</v>
      </c>
      <c r="P16" s="7" t="s">
        <v>50</v>
      </c>
      <c r="Q16" s="5" t="s">
        <v>39</v>
      </c>
      <c r="R16" s="5" t="s">
        <v>31</v>
      </c>
      <c r="S16" s="5" t="s">
        <v>82</v>
      </c>
      <c r="T16" s="5" t="s">
        <v>1335</v>
      </c>
      <c r="U16" s="9">
        <v>3.6539999999999999</v>
      </c>
      <c r="V16" s="9">
        <f t="shared" si="0"/>
        <v>-0.51835060610914019</v>
      </c>
      <c r="W16" s="9"/>
      <c r="X16" s="9"/>
      <c r="Y16" s="9">
        <f>4.356+O16</f>
        <v>6.1360000000000001</v>
      </c>
      <c r="Z16" s="9"/>
      <c r="AA16" s="5" t="s">
        <v>12</v>
      </c>
      <c r="AB16" s="7" t="s">
        <v>1123</v>
      </c>
      <c r="AC16" s="5" t="s">
        <v>13</v>
      </c>
      <c r="AD16" s="3">
        <v>9</v>
      </c>
      <c r="AE16" s="5" t="s">
        <v>14</v>
      </c>
      <c r="AF16" s="5" t="s">
        <v>83</v>
      </c>
      <c r="AG16" s="5" t="s">
        <v>8</v>
      </c>
      <c r="AH16" s="5" t="s">
        <v>14</v>
      </c>
      <c r="AI16" s="5" t="s">
        <v>8</v>
      </c>
      <c r="AJ16" s="5" t="s">
        <v>8</v>
      </c>
      <c r="AK16" s="5" t="s">
        <v>84</v>
      </c>
      <c r="AL16" s="5" t="s">
        <v>8</v>
      </c>
      <c r="AM16" s="5" t="s">
        <v>85</v>
      </c>
      <c r="AN16" s="5" t="s">
        <v>67</v>
      </c>
      <c r="AO16" s="5" t="s">
        <v>67</v>
      </c>
      <c r="AP16" s="5" t="s">
        <v>80</v>
      </c>
      <c r="AQ16" s="5" t="s">
        <v>86</v>
      </c>
      <c r="BD16" s="58"/>
      <c r="BM16" s="58"/>
    </row>
    <row r="17" spans="1:150" ht="13.15" hidden="1" customHeight="1" x14ac:dyDescent="0.2">
      <c r="A17" s="3" t="s">
        <v>1</v>
      </c>
      <c r="B17" s="4" t="s">
        <v>79</v>
      </c>
      <c r="C17" s="28">
        <v>2013</v>
      </c>
      <c r="D17" s="16">
        <v>7</v>
      </c>
      <c r="E17" s="16">
        <v>4</v>
      </c>
      <c r="F17" s="5" t="s">
        <v>1076</v>
      </c>
      <c r="G17" s="5" t="s">
        <v>16</v>
      </c>
      <c r="H17" s="5" t="s">
        <v>5</v>
      </c>
      <c r="I17" s="5" t="s">
        <v>89</v>
      </c>
      <c r="J17" s="5" t="s">
        <v>90</v>
      </c>
      <c r="K17" s="48" t="s">
        <v>1046</v>
      </c>
      <c r="L17" s="5" t="s">
        <v>1049</v>
      </c>
      <c r="M17" s="5" t="s">
        <v>9</v>
      </c>
      <c r="N17" s="7">
        <v>0</v>
      </c>
      <c r="O17" s="7">
        <v>1.78</v>
      </c>
      <c r="P17" s="7" t="s">
        <v>50</v>
      </c>
      <c r="Q17" s="5" t="s">
        <v>39</v>
      </c>
      <c r="R17" s="5" t="s">
        <v>31</v>
      </c>
      <c r="S17" s="5" t="s">
        <v>82</v>
      </c>
      <c r="T17" s="5" t="s">
        <v>1335</v>
      </c>
      <c r="U17" s="9">
        <v>3.8090000000000002</v>
      </c>
      <c r="V17" s="9">
        <f t="shared" si="0"/>
        <v>-0.47680637656848807</v>
      </c>
      <c r="W17" s="9"/>
      <c r="X17" s="9"/>
      <c r="Y17" s="9">
        <f>4.356+O17</f>
        <v>6.1360000000000001</v>
      </c>
      <c r="Z17" s="9"/>
      <c r="AA17" s="5" t="s">
        <v>12</v>
      </c>
      <c r="AB17" s="7" t="s">
        <v>1123</v>
      </c>
      <c r="AC17" s="5" t="s">
        <v>13</v>
      </c>
      <c r="AD17" s="3">
        <v>9</v>
      </c>
      <c r="AE17" s="5" t="s">
        <v>14</v>
      </c>
      <c r="AF17" s="5" t="s">
        <v>83</v>
      </c>
      <c r="AG17" s="5" t="s">
        <v>8</v>
      </c>
      <c r="AH17" s="5" t="s">
        <v>14</v>
      </c>
      <c r="AI17" s="5" t="s">
        <v>8</v>
      </c>
      <c r="AJ17" s="5" t="s">
        <v>8</v>
      </c>
      <c r="AK17" s="5" t="s">
        <v>84</v>
      </c>
      <c r="AL17" s="5" t="s">
        <v>8</v>
      </c>
      <c r="AM17" s="5" t="s">
        <v>85</v>
      </c>
      <c r="AN17" s="5" t="s">
        <v>67</v>
      </c>
      <c r="AO17" s="5" t="s">
        <v>67</v>
      </c>
      <c r="AP17" s="5" t="s">
        <v>80</v>
      </c>
      <c r="AQ17" s="5" t="s">
        <v>86</v>
      </c>
      <c r="BD17" s="58"/>
      <c r="BM17" s="58"/>
    </row>
    <row r="18" spans="1:150" ht="13.15" hidden="1" customHeight="1" x14ac:dyDescent="0.2">
      <c r="A18" s="3" t="s">
        <v>1</v>
      </c>
      <c r="B18" s="4" t="s">
        <v>79</v>
      </c>
      <c r="C18" s="28">
        <v>2013</v>
      </c>
      <c r="D18" s="16">
        <v>7</v>
      </c>
      <c r="E18" s="16">
        <v>1</v>
      </c>
      <c r="F18" s="5" t="s">
        <v>1076</v>
      </c>
      <c r="G18" s="5" t="s">
        <v>16</v>
      </c>
      <c r="H18" s="5" t="s">
        <v>5</v>
      </c>
      <c r="I18" s="5" t="s">
        <v>81</v>
      </c>
      <c r="J18" s="5" t="s">
        <v>1260</v>
      </c>
      <c r="K18" s="48" t="s">
        <v>1045</v>
      </c>
      <c r="L18" s="5" t="s">
        <v>52</v>
      </c>
      <c r="M18" s="5" t="s">
        <v>9</v>
      </c>
      <c r="N18" s="7">
        <v>0</v>
      </c>
      <c r="O18" s="7">
        <v>1.78</v>
      </c>
      <c r="P18" s="7" t="s">
        <v>50</v>
      </c>
      <c r="Q18" s="5" t="s">
        <v>39</v>
      </c>
      <c r="R18" s="5" t="s">
        <v>31</v>
      </c>
      <c r="S18" s="5" t="s">
        <v>82</v>
      </c>
      <c r="T18" s="5" t="s">
        <v>1335</v>
      </c>
      <c r="U18" s="9">
        <v>3.302</v>
      </c>
      <c r="V18" s="9">
        <f t="shared" si="0"/>
        <v>-0.61964471856701875</v>
      </c>
      <c r="W18" s="9"/>
      <c r="X18" s="9"/>
      <c r="Y18" s="9">
        <f>4.356+O18</f>
        <v>6.1360000000000001</v>
      </c>
      <c r="Z18" s="9"/>
      <c r="AA18" s="5" t="s">
        <v>12</v>
      </c>
      <c r="AB18" s="7" t="s">
        <v>1123</v>
      </c>
      <c r="AC18" s="5" t="s">
        <v>13</v>
      </c>
      <c r="AD18" s="3">
        <v>9</v>
      </c>
      <c r="AE18" s="5" t="s">
        <v>14</v>
      </c>
      <c r="AF18" s="5" t="s">
        <v>83</v>
      </c>
      <c r="AG18" s="5" t="s">
        <v>8</v>
      </c>
      <c r="AH18" s="5" t="s">
        <v>14</v>
      </c>
      <c r="AI18" s="5" t="s">
        <v>8</v>
      </c>
      <c r="AJ18" s="5" t="s">
        <v>8</v>
      </c>
      <c r="AK18" s="5" t="s">
        <v>84</v>
      </c>
      <c r="AL18" s="5" t="s">
        <v>8</v>
      </c>
      <c r="AM18" s="5" t="s">
        <v>85</v>
      </c>
      <c r="AN18" s="5" t="s">
        <v>67</v>
      </c>
      <c r="AO18" s="5" t="s">
        <v>67</v>
      </c>
      <c r="AP18" s="5" t="s">
        <v>80</v>
      </c>
      <c r="AQ18" s="5" t="s">
        <v>86</v>
      </c>
      <c r="BD18" s="58"/>
      <c r="BM18" s="58"/>
    </row>
    <row r="19" spans="1:150" ht="13.15" hidden="1" customHeight="1" x14ac:dyDescent="0.2">
      <c r="A19" s="3" t="s">
        <v>1</v>
      </c>
      <c r="B19" s="4" t="s">
        <v>91</v>
      </c>
      <c r="C19" s="28">
        <v>2014</v>
      </c>
      <c r="D19" s="16">
        <v>8</v>
      </c>
      <c r="E19" s="16">
        <v>1</v>
      </c>
      <c r="F19" s="5" t="s">
        <v>1087</v>
      </c>
      <c r="G19" s="5" t="s">
        <v>98</v>
      </c>
      <c r="H19" s="5" t="s">
        <v>93</v>
      </c>
      <c r="I19" s="5" t="s">
        <v>94</v>
      </c>
      <c r="J19" s="5" t="s">
        <v>25</v>
      </c>
      <c r="K19" s="48" t="s">
        <v>726</v>
      </c>
      <c r="L19" s="5" t="s">
        <v>8</v>
      </c>
      <c r="M19" s="5" t="s">
        <v>9</v>
      </c>
      <c r="N19" s="7">
        <v>8.33</v>
      </c>
      <c r="O19" s="7">
        <v>8.33</v>
      </c>
      <c r="P19" s="7" t="s">
        <v>95</v>
      </c>
      <c r="Q19" s="5" t="s">
        <v>39</v>
      </c>
      <c r="R19" s="5" t="s">
        <v>27</v>
      </c>
      <c r="S19" s="5" t="s">
        <v>96</v>
      </c>
      <c r="T19" s="5" t="s">
        <v>1335</v>
      </c>
      <c r="U19" s="9">
        <f>0.53+N19</f>
        <v>8.86</v>
      </c>
      <c r="V19" s="9">
        <f t="shared" si="0"/>
        <v>-0.51510539153285129</v>
      </c>
      <c r="W19" s="9">
        <f>-2.1+N19</f>
        <v>6.23</v>
      </c>
      <c r="X19" s="9">
        <f>2.1+N19</f>
        <v>10.43</v>
      </c>
      <c r="Y19" s="9">
        <f>O19+6.5</f>
        <v>14.83</v>
      </c>
      <c r="Z19" s="9"/>
      <c r="AA19" s="5" t="s">
        <v>12</v>
      </c>
      <c r="AB19" s="7" t="s">
        <v>1123</v>
      </c>
      <c r="AC19" s="5" t="s">
        <v>13</v>
      </c>
      <c r="AD19" s="3">
        <v>9</v>
      </c>
      <c r="AE19" s="5" t="s">
        <v>14</v>
      </c>
      <c r="AF19" s="5" t="s">
        <v>97</v>
      </c>
      <c r="AG19" s="5" t="s">
        <v>14</v>
      </c>
      <c r="AH19" s="5" t="s">
        <v>8</v>
      </c>
      <c r="AI19" s="5" t="s">
        <v>14</v>
      </c>
      <c r="AJ19" s="5" t="s">
        <v>8</v>
      </c>
      <c r="AK19" s="5" t="s">
        <v>84</v>
      </c>
      <c r="AL19" s="5" t="s">
        <v>8</v>
      </c>
      <c r="AM19" s="5" t="s">
        <v>99</v>
      </c>
      <c r="AN19" s="5" t="s">
        <v>27</v>
      </c>
      <c r="AO19" s="5" t="s">
        <v>18</v>
      </c>
      <c r="AP19" s="5" t="s">
        <v>92</v>
      </c>
      <c r="AQ19" s="5" t="s">
        <v>100</v>
      </c>
      <c r="BD19" s="58"/>
      <c r="BM19" s="58"/>
    </row>
    <row r="20" spans="1:150" ht="13.15" hidden="1" customHeight="1" x14ac:dyDescent="0.2">
      <c r="A20" s="3" t="s">
        <v>101</v>
      </c>
      <c r="B20" s="4" t="s">
        <v>102</v>
      </c>
      <c r="C20" s="28">
        <v>2014</v>
      </c>
      <c r="D20" s="16">
        <v>9</v>
      </c>
      <c r="E20" s="16">
        <v>1</v>
      </c>
      <c r="F20" s="5" t="s">
        <v>1068</v>
      </c>
      <c r="G20" s="5" t="s">
        <v>105</v>
      </c>
      <c r="H20" s="5" t="s">
        <v>93</v>
      </c>
      <c r="I20" s="5" t="s">
        <v>106</v>
      </c>
      <c r="J20" s="5" t="s">
        <v>90</v>
      </c>
      <c r="K20" s="48" t="s">
        <v>1046</v>
      </c>
      <c r="L20" s="5" t="s">
        <v>107</v>
      </c>
      <c r="M20" s="5" t="s">
        <v>9</v>
      </c>
      <c r="N20" s="7">
        <v>0.96</v>
      </c>
      <c r="O20" s="7">
        <v>0.96</v>
      </c>
      <c r="P20" s="7" t="s">
        <v>104</v>
      </c>
      <c r="Q20" s="5" t="s">
        <v>39</v>
      </c>
      <c r="R20" s="5" t="s">
        <v>67</v>
      </c>
      <c r="S20" s="5" t="s">
        <v>108</v>
      </c>
      <c r="T20" s="5" t="s">
        <v>1335</v>
      </c>
      <c r="U20" s="9">
        <f>(40.77/167)+N20</f>
        <v>1.2041317365269462</v>
      </c>
      <c r="V20" s="9">
        <f t="shared" si="0"/>
        <v>-1.2611602263151045</v>
      </c>
      <c r="W20" s="9">
        <f>(37.2/167)+N20</f>
        <v>1.1827544910179641</v>
      </c>
      <c r="X20" s="9">
        <f>(44.33/167)+O20</f>
        <v>1.2254491017964071</v>
      </c>
      <c r="Y20" s="9">
        <f>(2.33+O20)+O20</f>
        <v>4.25</v>
      </c>
      <c r="Z20" s="9">
        <v>2.33</v>
      </c>
      <c r="AA20" s="5" t="s">
        <v>12</v>
      </c>
      <c r="AB20" s="7" t="s">
        <v>1044</v>
      </c>
      <c r="AC20" s="5" t="s">
        <v>74</v>
      </c>
      <c r="AD20" s="3">
        <v>9</v>
      </c>
      <c r="AE20" s="5" t="s">
        <v>8</v>
      </c>
      <c r="AF20" s="5" t="s">
        <v>1276</v>
      </c>
      <c r="AG20" s="5" t="s">
        <v>14</v>
      </c>
      <c r="AH20" s="5" t="s">
        <v>14</v>
      </c>
      <c r="AI20" s="5" t="s">
        <v>14</v>
      </c>
      <c r="AJ20" s="5" t="s">
        <v>14</v>
      </c>
      <c r="AK20" s="5" t="s">
        <v>109</v>
      </c>
      <c r="AL20" s="5" t="s">
        <v>14</v>
      </c>
      <c r="AM20" s="5" t="s">
        <v>110</v>
      </c>
      <c r="AN20" s="5" t="s">
        <v>67</v>
      </c>
      <c r="AO20" s="5" t="s">
        <v>67</v>
      </c>
      <c r="AP20" s="5" t="s">
        <v>103</v>
      </c>
      <c r="AQ20" s="5" t="s">
        <v>112</v>
      </c>
      <c r="AZ20" s="17">
        <v>1.1999999999999999E-3</v>
      </c>
      <c r="BA20" s="17"/>
      <c r="BB20" s="17"/>
      <c r="BC20" s="17">
        <v>1.0800000000000001E-2</v>
      </c>
      <c r="BD20" s="58">
        <f>LN(AZ20/BC20)</f>
        <v>-2.1972245773362196</v>
      </c>
      <c r="BI20" s="17">
        <v>5.9880000000000003E-4</v>
      </c>
      <c r="BJ20" s="17"/>
      <c r="BK20" s="17"/>
      <c r="BL20" s="17">
        <v>1.1299999999999999E-3</v>
      </c>
      <c r="BM20" s="58">
        <f>LN(BI20/BL20)</f>
        <v>-0.63504525916091281</v>
      </c>
      <c r="CP20" s="20">
        <v>8.9820000000000004E-5</v>
      </c>
      <c r="CS20" s="5">
        <v>7.5199999999999996E-4</v>
      </c>
      <c r="DK20" s="12">
        <v>0.16500000000000001</v>
      </c>
      <c r="DL20" s="12"/>
      <c r="DM20" s="12"/>
      <c r="DN20" s="12">
        <v>0.28699999999999998</v>
      </c>
      <c r="EI20" s="18">
        <v>2.3999999999999998E-3</v>
      </c>
      <c r="EJ20" s="18"/>
      <c r="EK20" s="18"/>
      <c r="EL20" s="18">
        <v>1.8799999999999999E-7</v>
      </c>
    </row>
    <row r="21" spans="1:150" ht="13.15" hidden="1" customHeight="1" x14ac:dyDescent="0.2">
      <c r="A21" s="3" t="s">
        <v>1</v>
      </c>
      <c r="B21" s="4" t="s">
        <v>113</v>
      </c>
      <c r="C21" s="28">
        <v>2014</v>
      </c>
      <c r="D21" s="16">
        <v>10</v>
      </c>
      <c r="E21" s="16">
        <v>1</v>
      </c>
      <c r="F21" s="63" t="s">
        <v>1054</v>
      </c>
      <c r="G21" s="5" t="s">
        <v>16</v>
      </c>
      <c r="H21" s="5" t="s">
        <v>5</v>
      </c>
      <c r="I21" s="5" t="s">
        <v>37</v>
      </c>
      <c r="J21" s="5" t="s">
        <v>25</v>
      </c>
      <c r="K21" s="5" t="s">
        <v>1045</v>
      </c>
      <c r="L21" s="5" t="s">
        <v>8</v>
      </c>
      <c r="M21" s="5" t="s">
        <v>61</v>
      </c>
      <c r="N21" s="7">
        <v>0</v>
      </c>
      <c r="O21" s="7">
        <v>0</v>
      </c>
      <c r="P21" s="7" t="s">
        <v>115</v>
      </c>
      <c r="Q21" s="5" t="s">
        <v>39</v>
      </c>
      <c r="R21" s="5" t="s">
        <v>27</v>
      </c>
      <c r="S21" s="5" t="s">
        <v>40</v>
      </c>
      <c r="T21" s="5" t="s">
        <v>1335</v>
      </c>
      <c r="U21" s="9">
        <v>1.9</v>
      </c>
      <c r="V21" s="9">
        <f t="shared" si="0"/>
        <v>-2.4026685515510282</v>
      </c>
      <c r="W21" s="9"/>
      <c r="X21" s="9"/>
      <c r="Y21" s="9">
        <v>21</v>
      </c>
      <c r="Z21" s="9"/>
      <c r="AA21" s="5" t="s">
        <v>12</v>
      </c>
      <c r="AB21" s="7" t="s">
        <v>1123</v>
      </c>
      <c r="AC21" s="5" t="s">
        <v>13</v>
      </c>
      <c r="AD21" s="3">
        <v>9</v>
      </c>
      <c r="AE21" s="5" t="s">
        <v>14</v>
      </c>
      <c r="AF21" s="5" t="s">
        <v>97</v>
      </c>
      <c r="AG21" s="5" t="s">
        <v>14</v>
      </c>
      <c r="AH21" s="5" t="s">
        <v>8</v>
      </c>
      <c r="AI21" s="5" t="s">
        <v>14</v>
      </c>
      <c r="AJ21" s="5" t="s">
        <v>8</v>
      </c>
      <c r="AK21" s="5" t="s">
        <v>116</v>
      </c>
      <c r="AL21" s="5" t="s">
        <v>8</v>
      </c>
      <c r="AM21" s="5">
        <v>2009</v>
      </c>
      <c r="AN21" s="5" t="s">
        <v>18</v>
      </c>
      <c r="AO21" s="5" t="s">
        <v>18</v>
      </c>
      <c r="AP21" s="5" t="s">
        <v>114</v>
      </c>
      <c r="AQ21" s="5" t="s">
        <v>117</v>
      </c>
      <c r="BD21" s="58"/>
      <c r="BM21" s="58"/>
      <c r="CT21" s="5">
        <v>14</v>
      </c>
      <c r="CW21" s="5">
        <v>101</v>
      </c>
      <c r="CX21" s="59">
        <f>LN(CT21/CW21)</f>
        <v>-1.9760631872260008</v>
      </c>
    </row>
    <row r="22" spans="1:150" ht="13.15" hidden="1" customHeight="1" x14ac:dyDescent="0.2">
      <c r="A22" s="3" t="s">
        <v>1</v>
      </c>
      <c r="B22" s="4" t="s">
        <v>113</v>
      </c>
      <c r="C22" s="28">
        <v>2014</v>
      </c>
      <c r="D22" s="16">
        <v>10</v>
      </c>
      <c r="E22" s="16">
        <v>3</v>
      </c>
      <c r="F22" s="89" t="s">
        <v>1075</v>
      </c>
      <c r="G22" s="90" t="s">
        <v>16</v>
      </c>
      <c r="H22" s="90" t="s">
        <v>5</v>
      </c>
      <c r="I22" s="5" t="s">
        <v>37</v>
      </c>
      <c r="J22" s="5" t="s">
        <v>25</v>
      </c>
      <c r="K22" s="5" t="s">
        <v>1045</v>
      </c>
      <c r="L22" s="5" t="s">
        <v>8</v>
      </c>
      <c r="M22" s="5" t="s">
        <v>61</v>
      </c>
      <c r="N22" s="7">
        <v>0</v>
      </c>
      <c r="O22" s="7">
        <v>0</v>
      </c>
      <c r="P22" s="7" t="s">
        <v>122</v>
      </c>
      <c r="Q22" s="5" t="s">
        <v>39</v>
      </c>
      <c r="R22" s="5" t="s">
        <v>27</v>
      </c>
      <c r="S22" s="5" t="s">
        <v>40</v>
      </c>
      <c r="T22" s="5" t="s">
        <v>1335</v>
      </c>
      <c r="U22" s="9">
        <v>2.7</v>
      </c>
      <c r="V22" s="9">
        <f t="shared" si="0"/>
        <v>-0.61618613942381695</v>
      </c>
      <c r="W22" s="9"/>
      <c r="X22" s="9"/>
      <c r="Y22" s="9">
        <v>5</v>
      </c>
      <c r="Z22" s="9"/>
      <c r="AA22" s="5" t="s">
        <v>12</v>
      </c>
      <c r="AB22" s="7" t="s">
        <v>1123</v>
      </c>
      <c r="AC22" s="5" t="s">
        <v>13</v>
      </c>
      <c r="AD22" s="3">
        <v>9</v>
      </c>
      <c r="AE22" s="5" t="s">
        <v>14</v>
      </c>
      <c r="AF22" s="5" t="s">
        <v>97</v>
      </c>
      <c r="AG22" s="5" t="s">
        <v>14</v>
      </c>
      <c r="AH22" s="5" t="s">
        <v>8</v>
      </c>
      <c r="AI22" s="5" t="s">
        <v>14</v>
      </c>
      <c r="AJ22" s="5" t="s">
        <v>8</v>
      </c>
      <c r="AK22" s="5" t="s">
        <v>116</v>
      </c>
      <c r="AL22" s="5" t="s">
        <v>8</v>
      </c>
      <c r="AM22" s="5">
        <v>2014</v>
      </c>
      <c r="AN22" s="5" t="s">
        <v>18</v>
      </c>
      <c r="AO22" s="5" t="s">
        <v>18</v>
      </c>
      <c r="AP22" s="5" t="s">
        <v>114</v>
      </c>
      <c r="AQ22" s="5" t="s">
        <v>117</v>
      </c>
      <c r="BD22" s="58"/>
      <c r="BM22" s="58"/>
      <c r="CT22" s="5">
        <v>40</v>
      </c>
      <c r="CW22" s="5">
        <v>54</v>
      </c>
      <c r="CX22" s="59">
        <f>LN(CT22/CW22)</f>
        <v>-0.30010459245033816</v>
      </c>
    </row>
    <row r="23" spans="1:150" ht="13.15" hidden="1" customHeight="1" x14ac:dyDescent="0.2">
      <c r="A23" s="3" t="s">
        <v>1</v>
      </c>
      <c r="B23" s="4" t="s">
        <v>113</v>
      </c>
      <c r="C23" s="28">
        <v>2014</v>
      </c>
      <c r="D23" s="16">
        <v>10</v>
      </c>
      <c r="E23" s="16">
        <v>2</v>
      </c>
      <c r="F23" s="63" t="s">
        <v>1083</v>
      </c>
      <c r="G23" s="5" t="s">
        <v>119</v>
      </c>
      <c r="H23" s="5" t="s">
        <v>93</v>
      </c>
      <c r="I23" s="5" t="s">
        <v>37</v>
      </c>
      <c r="J23" s="5" t="s">
        <v>25</v>
      </c>
      <c r="K23" s="5" t="s">
        <v>1045</v>
      </c>
      <c r="L23" s="5" t="s">
        <v>8</v>
      </c>
      <c r="M23" s="5" t="s">
        <v>61</v>
      </c>
      <c r="N23" s="7">
        <v>0</v>
      </c>
      <c r="O23" s="7">
        <v>0</v>
      </c>
      <c r="P23" s="7" t="s">
        <v>118</v>
      </c>
      <c r="Q23" s="5" t="s">
        <v>39</v>
      </c>
      <c r="R23" s="5" t="s">
        <v>1028</v>
      </c>
      <c r="S23" s="5" t="s">
        <v>40</v>
      </c>
      <c r="T23" s="5" t="s">
        <v>1335</v>
      </c>
      <c r="U23" s="9">
        <v>3</v>
      </c>
      <c r="V23" s="9">
        <f t="shared" si="0"/>
        <v>-0.74193734472937722</v>
      </c>
      <c r="W23" s="9"/>
      <c r="X23" s="9"/>
      <c r="Y23" s="9">
        <v>6.3</v>
      </c>
      <c r="Z23" s="9"/>
      <c r="AA23" s="5" t="s">
        <v>12</v>
      </c>
      <c r="AB23" s="7" t="s">
        <v>1123</v>
      </c>
      <c r="AC23" s="5" t="s">
        <v>13</v>
      </c>
      <c r="AD23" s="3">
        <v>9</v>
      </c>
      <c r="AE23" s="5" t="s">
        <v>14</v>
      </c>
      <c r="AF23" s="5" t="s">
        <v>97</v>
      </c>
      <c r="AG23" s="5" t="s">
        <v>14</v>
      </c>
      <c r="AH23" s="5" t="s">
        <v>8</v>
      </c>
      <c r="AI23" s="5" t="s">
        <v>14</v>
      </c>
      <c r="AJ23" s="5" t="s">
        <v>8</v>
      </c>
      <c r="AK23" s="5" t="s">
        <v>116</v>
      </c>
      <c r="AL23" s="5" t="s">
        <v>8</v>
      </c>
      <c r="AM23" s="5" t="s">
        <v>121</v>
      </c>
      <c r="AN23" s="5" t="s">
        <v>18</v>
      </c>
      <c r="AO23" s="5" t="s">
        <v>18</v>
      </c>
      <c r="AP23" s="5" t="s">
        <v>114</v>
      </c>
      <c r="AQ23" s="5" t="s">
        <v>117</v>
      </c>
      <c r="BD23" s="58"/>
      <c r="BM23" s="58"/>
      <c r="CT23" s="5">
        <v>43</v>
      </c>
      <c r="CW23" s="5">
        <v>80</v>
      </c>
      <c r="CX23" s="59">
        <f>LN(CT23/CW23)</f>
        <v>-0.62082651898031926</v>
      </c>
    </row>
    <row r="24" spans="1:150" ht="13.15" hidden="1" customHeight="1" x14ac:dyDescent="0.2">
      <c r="A24" s="3" t="s">
        <v>1</v>
      </c>
      <c r="B24" s="4" t="s">
        <v>123</v>
      </c>
      <c r="C24" s="28">
        <v>2014</v>
      </c>
      <c r="D24" s="16">
        <v>11</v>
      </c>
      <c r="E24" s="16">
        <v>1</v>
      </c>
      <c r="F24" s="63" t="s">
        <v>1054</v>
      </c>
      <c r="G24" s="5" t="s">
        <v>125</v>
      </c>
      <c r="H24" s="5" t="s">
        <v>5</v>
      </c>
      <c r="I24" s="5" t="s">
        <v>6</v>
      </c>
      <c r="J24" s="5" t="s">
        <v>7</v>
      </c>
      <c r="K24" s="5" t="s">
        <v>1046</v>
      </c>
      <c r="L24" s="5" t="s">
        <v>1049</v>
      </c>
      <c r="M24" s="5" t="s">
        <v>9</v>
      </c>
      <c r="N24" s="7">
        <v>1.5</v>
      </c>
      <c r="O24" s="7">
        <v>1.5</v>
      </c>
      <c r="P24" s="7" t="s">
        <v>115</v>
      </c>
      <c r="Q24" s="5" t="s">
        <v>39</v>
      </c>
      <c r="R24" s="5" t="s">
        <v>27</v>
      </c>
      <c r="S24" s="5" t="s">
        <v>126</v>
      </c>
      <c r="T24" s="5" t="s">
        <v>1335</v>
      </c>
      <c r="U24" s="9">
        <f>0.88+N24</f>
        <v>2.38</v>
      </c>
      <c r="V24" s="9">
        <f t="shared" si="0"/>
        <v>-0.37416810138624967</v>
      </c>
      <c r="W24" s="9">
        <f>0.62+N24</f>
        <v>2.12</v>
      </c>
      <c r="X24" s="9">
        <f>0.97+N25</f>
        <v>2.4699999999999998</v>
      </c>
      <c r="Y24" s="9">
        <f>1.96+O24</f>
        <v>3.46</v>
      </c>
      <c r="Z24" s="9"/>
      <c r="AA24" s="5" t="s">
        <v>12</v>
      </c>
      <c r="AB24" s="7" t="s">
        <v>1044</v>
      </c>
      <c r="AC24" s="5" t="s">
        <v>74</v>
      </c>
      <c r="AD24" s="3">
        <v>7</v>
      </c>
      <c r="AE24" s="5" t="s">
        <v>8</v>
      </c>
      <c r="AF24" s="5" t="s">
        <v>1277</v>
      </c>
      <c r="AG24" s="5" t="s">
        <v>14</v>
      </c>
      <c r="AH24" s="5" t="s">
        <v>8</v>
      </c>
      <c r="AI24" s="5" t="s">
        <v>14</v>
      </c>
      <c r="AJ24" s="5" t="s">
        <v>8</v>
      </c>
      <c r="AK24" s="5" t="s">
        <v>84</v>
      </c>
      <c r="AL24" s="5" t="s">
        <v>14</v>
      </c>
      <c r="AM24" s="5">
        <v>2013</v>
      </c>
      <c r="AN24" s="5" t="s">
        <v>67</v>
      </c>
      <c r="AO24" s="5" t="s">
        <v>67</v>
      </c>
      <c r="AP24" s="5" t="s">
        <v>124</v>
      </c>
      <c r="AQ24" s="5" t="s">
        <v>127</v>
      </c>
      <c r="BD24" s="58"/>
      <c r="BM24" s="58"/>
      <c r="CT24" s="5">
        <v>32.4</v>
      </c>
      <c r="CU24" s="5">
        <v>31.4</v>
      </c>
      <c r="CV24" s="5">
        <v>33.5</v>
      </c>
      <c r="CW24" s="5">
        <v>59.2</v>
      </c>
      <c r="CX24" s="59">
        <f>LN(CT24/CW24)</f>
        <v>-0.60276311909167635</v>
      </c>
    </row>
    <row r="25" spans="1:150" ht="13.15" hidden="1" customHeight="1" x14ac:dyDescent="0.2">
      <c r="A25" s="3" t="s">
        <v>1</v>
      </c>
      <c r="B25" s="4" t="s">
        <v>123</v>
      </c>
      <c r="C25" s="28">
        <v>2014</v>
      </c>
      <c r="D25" s="16">
        <v>11</v>
      </c>
      <c r="E25" s="16">
        <v>2</v>
      </c>
      <c r="F25" s="63" t="s">
        <v>1054</v>
      </c>
      <c r="G25" s="5" t="s">
        <v>128</v>
      </c>
      <c r="H25" s="5" t="s">
        <v>5</v>
      </c>
      <c r="I25" s="5" t="s">
        <v>6</v>
      </c>
      <c r="J25" s="5" t="s">
        <v>7</v>
      </c>
      <c r="K25" s="5" t="s">
        <v>1046</v>
      </c>
      <c r="L25" s="5" t="s">
        <v>1049</v>
      </c>
      <c r="M25" s="5" t="s">
        <v>9</v>
      </c>
      <c r="N25" s="7">
        <v>1.5</v>
      </c>
      <c r="O25" s="7">
        <v>1.5</v>
      </c>
      <c r="P25" s="7" t="s">
        <v>115</v>
      </c>
      <c r="Q25" s="5" t="s">
        <v>39</v>
      </c>
      <c r="R25" s="5" t="s">
        <v>27</v>
      </c>
      <c r="S25" s="5" t="s">
        <v>126</v>
      </c>
      <c r="T25" s="5" t="s">
        <v>1335</v>
      </c>
      <c r="U25" s="9">
        <f>1.7+N25</f>
        <v>3.2</v>
      </c>
      <c r="V25" s="9">
        <f t="shared" si="0"/>
        <v>-7.8117779263951928E-2</v>
      </c>
      <c r="W25" s="9">
        <f>0.79+N25</f>
        <v>2.29</v>
      </c>
      <c r="X25" s="9">
        <f>1.99+N25</f>
        <v>3.49</v>
      </c>
      <c r="Y25" s="9">
        <f>1.96+O25</f>
        <v>3.46</v>
      </c>
      <c r="Z25" s="9"/>
      <c r="AA25" s="5" t="s">
        <v>12</v>
      </c>
      <c r="AB25" s="7" t="s">
        <v>1044</v>
      </c>
      <c r="AC25" s="5" t="s">
        <v>74</v>
      </c>
      <c r="AD25" s="3">
        <v>7</v>
      </c>
      <c r="AE25" s="5" t="s">
        <v>8</v>
      </c>
      <c r="AF25" s="5" t="s">
        <v>1277</v>
      </c>
      <c r="AG25" s="5" t="s">
        <v>8</v>
      </c>
      <c r="AH25" s="5" t="s">
        <v>8</v>
      </c>
      <c r="AI25" s="5" t="s">
        <v>14</v>
      </c>
      <c r="AJ25" s="5" t="s">
        <v>8</v>
      </c>
      <c r="AK25" s="5" t="s">
        <v>84</v>
      </c>
      <c r="AL25" s="5" t="s">
        <v>14</v>
      </c>
      <c r="AM25" s="5">
        <v>2013</v>
      </c>
      <c r="AN25" s="5" t="s">
        <v>67</v>
      </c>
      <c r="AO25" s="5" t="s">
        <v>67</v>
      </c>
      <c r="AP25" s="5" t="s">
        <v>124</v>
      </c>
      <c r="AQ25" s="5" t="s">
        <v>127</v>
      </c>
      <c r="BD25" s="58"/>
      <c r="BM25" s="58"/>
      <c r="CT25" s="5">
        <v>46.3</v>
      </c>
      <c r="CU25" s="5">
        <v>49.1</v>
      </c>
      <c r="CV25" s="5">
        <v>52.8</v>
      </c>
      <c r="CW25" s="5">
        <v>59.2</v>
      </c>
      <c r="CX25" s="59">
        <f>LN(CT25/CW25)</f>
        <v>-0.24577958079777171</v>
      </c>
    </row>
    <row r="26" spans="1:150" ht="13.15" hidden="1" customHeight="1" x14ac:dyDescent="0.2">
      <c r="A26" s="3" t="s">
        <v>1</v>
      </c>
      <c r="B26" s="4" t="s">
        <v>129</v>
      </c>
      <c r="C26" s="28">
        <v>2015</v>
      </c>
      <c r="D26" s="16">
        <v>12</v>
      </c>
      <c r="E26" s="16">
        <v>1</v>
      </c>
      <c r="F26" s="5" t="s">
        <v>1124</v>
      </c>
      <c r="G26" s="5" t="s">
        <v>119</v>
      </c>
      <c r="H26" s="5" t="s">
        <v>93</v>
      </c>
      <c r="I26" s="5" t="s">
        <v>37</v>
      </c>
      <c r="J26" s="5" t="s">
        <v>25</v>
      </c>
      <c r="K26" s="5" t="s">
        <v>1045</v>
      </c>
      <c r="L26" s="5" t="s">
        <v>8</v>
      </c>
      <c r="M26" s="5" t="s">
        <v>9</v>
      </c>
      <c r="N26" s="7">
        <v>2.56</v>
      </c>
      <c r="O26" s="7">
        <v>2.56</v>
      </c>
      <c r="P26" s="7" t="s">
        <v>131</v>
      </c>
      <c r="Q26" s="5" t="s">
        <v>132</v>
      </c>
      <c r="R26" s="5" t="s">
        <v>27</v>
      </c>
      <c r="S26" s="5" t="s">
        <v>133</v>
      </c>
      <c r="T26" s="5" t="s">
        <v>1335</v>
      </c>
      <c r="U26" s="9">
        <f>5.62+N26</f>
        <v>8.18</v>
      </c>
      <c r="V26" s="9">
        <f t="shared" si="0"/>
        <v>-4.4239132334013262E-2</v>
      </c>
      <c r="W26" s="9"/>
      <c r="X26" s="9"/>
      <c r="Y26" s="9">
        <f>Z26+O26</f>
        <v>8.5500000000000007</v>
      </c>
      <c r="Z26" s="9">
        <f>5.99</f>
        <v>5.99</v>
      </c>
      <c r="AA26" s="5" t="s">
        <v>12</v>
      </c>
      <c r="AB26" s="62" t="s">
        <v>1043</v>
      </c>
      <c r="AC26" s="5" t="s">
        <v>13</v>
      </c>
      <c r="AD26" s="3">
        <v>3</v>
      </c>
      <c r="AE26" s="5" t="s">
        <v>8</v>
      </c>
      <c r="AF26" s="5" t="s">
        <v>1283</v>
      </c>
      <c r="AG26" s="5" t="s">
        <v>8</v>
      </c>
      <c r="AH26" s="5" t="s">
        <v>8</v>
      </c>
      <c r="AI26" s="5" t="s">
        <v>8</v>
      </c>
      <c r="AJ26" s="5" t="s">
        <v>8</v>
      </c>
      <c r="AK26" s="5" t="s">
        <v>76</v>
      </c>
      <c r="AL26" s="5" t="s">
        <v>8</v>
      </c>
      <c r="AM26" s="5" t="s">
        <v>134</v>
      </c>
      <c r="AN26" s="5" t="s">
        <v>18</v>
      </c>
      <c r="AO26" s="5" t="s">
        <v>18</v>
      </c>
      <c r="AP26" s="5" t="s">
        <v>130</v>
      </c>
      <c r="AQ26" s="5" t="s">
        <v>135</v>
      </c>
      <c r="AZ26" s="12">
        <v>3.9E-2</v>
      </c>
      <c r="BA26" s="12"/>
      <c r="BB26" s="12"/>
      <c r="BC26" s="12">
        <v>2.18E-2</v>
      </c>
      <c r="BD26" s="58">
        <f t="shared" ref="BD26:BD31" si="2">LN(AZ26/BC26)</f>
        <v>0.58165167633460302</v>
      </c>
      <c r="BI26" s="5">
        <v>7.0000000000000001E-3</v>
      </c>
      <c r="BL26" s="5">
        <v>2.7300000000000002E-4</v>
      </c>
      <c r="BM26" s="58">
        <f t="shared" ref="BM26:BM31" si="3">LN(BI26/BL26)</f>
        <v>3.2441936328524905</v>
      </c>
    </row>
    <row r="27" spans="1:150" ht="13.15" hidden="1" customHeight="1" x14ac:dyDescent="0.2">
      <c r="A27" s="3" t="s">
        <v>1</v>
      </c>
      <c r="B27" s="69" t="s">
        <v>129</v>
      </c>
      <c r="C27" s="76">
        <v>2015</v>
      </c>
      <c r="D27" s="70">
        <v>12</v>
      </c>
      <c r="E27" s="70">
        <v>2</v>
      </c>
      <c r="F27" s="3" t="s">
        <v>1124</v>
      </c>
      <c r="G27" s="3" t="s">
        <v>119</v>
      </c>
      <c r="H27" s="3" t="s">
        <v>93</v>
      </c>
      <c r="I27" s="3" t="s">
        <v>43</v>
      </c>
      <c r="J27" s="3" t="s">
        <v>25</v>
      </c>
      <c r="K27" s="3" t="s">
        <v>1045</v>
      </c>
      <c r="L27" s="3" t="s">
        <v>8</v>
      </c>
      <c r="M27" s="3" t="s">
        <v>9</v>
      </c>
      <c r="N27" s="66">
        <v>2.56</v>
      </c>
      <c r="O27" s="66">
        <v>2.56</v>
      </c>
      <c r="P27" s="66" t="s">
        <v>131</v>
      </c>
      <c r="Q27" s="3" t="s">
        <v>132</v>
      </c>
      <c r="R27" s="3" t="s">
        <v>27</v>
      </c>
      <c r="S27" s="3" t="s">
        <v>133</v>
      </c>
      <c r="T27" s="5" t="s">
        <v>1335</v>
      </c>
      <c r="U27" s="98">
        <f>6.64+N27</f>
        <v>9.1999999999999993</v>
      </c>
      <c r="V27" s="98">
        <f t="shared" si="0"/>
        <v>7.3272201106325513E-2</v>
      </c>
      <c r="W27" s="98"/>
      <c r="X27" s="98"/>
      <c r="Y27" s="98">
        <f>Z27+O27</f>
        <v>8.5500000000000007</v>
      </c>
      <c r="Z27" s="98">
        <f>5.99</f>
        <v>5.99</v>
      </c>
      <c r="AA27" s="3" t="s">
        <v>12</v>
      </c>
      <c r="AB27" s="71" t="s">
        <v>1043</v>
      </c>
      <c r="AC27" s="3" t="s">
        <v>13</v>
      </c>
      <c r="AD27" s="3">
        <v>3</v>
      </c>
      <c r="AE27" s="5" t="s">
        <v>8</v>
      </c>
      <c r="AF27" s="5" t="s">
        <v>1283</v>
      </c>
      <c r="AG27" s="5" t="s">
        <v>8</v>
      </c>
      <c r="AH27" s="5" t="s">
        <v>8</v>
      </c>
      <c r="AI27" s="5" t="s">
        <v>8</v>
      </c>
      <c r="AJ27" s="5" t="s">
        <v>8</v>
      </c>
      <c r="AK27" s="5" t="s">
        <v>76</v>
      </c>
      <c r="AL27" s="5" t="s">
        <v>8</v>
      </c>
      <c r="AM27" s="5" t="s">
        <v>134</v>
      </c>
      <c r="AN27" s="5" t="s">
        <v>44</v>
      </c>
      <c r="AO27" s="5" t="s">
        <v>44</v>
      </c>
      <c r="AP27" s="3" t="s">
        <v>130</v>
      </c>
      <c r="AQ27" s="5" t="s">
        <v>135</v>
      </c>
      <c r="AZ27" s="12">
        <v>2.3E-2</v>
      </c>
      <c r="BA27" s="12"/>
      <c r="BB27" s="12"/>
      <c r="BC27" s="12">
        <v>2.18E-2</v>
      </c>
      <c r="BD27" s="58">
        <f t="shared" si="2"/>
        <v>5.3584246134106263E-2</v>
      </c>
      <c r="BI27" s="5">
        <v>4.0000000000000001E-3</v>
      </c>
      <c r="BL27" s="5">
        <v>2.7300000000000002E-4</v>
      </c>
      <c r="BM27" s="58">
        <f t="shared" si="3"/>
        <v>2.6845778449170679</v>
      </c>
    </row>
    <row r="28" spans="1:150" ht="13.15" hidden="1" customHeight="1" x14ac:dyDescent="0.2">
      <c r="A28" s="3" t="s">
        <v>1</v>
      </c>
      <c r="B28" s="4" t="s">
        <v>129</v>
      </c>
      <c r="C28" s="28">
        <v>2015</v>
      </c>
      <c r="D28" s="16">
        <v>12</v>
      </c>
      <c r="E28" s="16">
        <v>3</v>
      </c>
      <c r="F28" s="5" t="s">
        <v>1124</v>
      </c>
      <c r="G28" s="5" t="s">
        <v>119</v>
      </c>
      <c r="H28" s="5" t="s">
        <v>93</v>
      </c>
      <c r="I28" s="5" t="s">
        <v>136</v>
      </c>
      <c r="J28" s="5" t="s">
        <v>25</v>
      </c>
      <c r="K28" s="5" t="s">
        <v>1045</v>
      </c>
      <c r="L28" s="5" t="s">
        <v>8</v>
      </c>
      <c r="M28" s="5" t="s">
        <v>9</v>
      </c>
      <c r="N28" s="7">
        <v>2.56</v>
      </c>
      <c r="O28" s="7">
        <v>2.56</v>
      </c>
      <c r="P28" s="7" t="s">
        <v>131</v>
      </c>
      <c r="Q28" s="5" t="s">
        <v>132</v>
      </c>
      <c r="R28" s="5" t="s">
        <v>27</v>
      </c>
      <c r="S28" s="5" t="s">
        <v>133</v>
      </c>
      <c r="T28" s="5" t="s">
        <v>1335</v>
      </c>
      <c r="U28" s="9">
        <f>13.57+N28</f>
        <v>16.13</v>
      </c>
      <c r="V28" s="9">
        <f t="shared" si="0"/>
        <v>0.63474960918844858</v>
      </c>
      <c r="W28" s="9"/>
      <c r="X28" s="9"/>
      <c r="Y28" s="9">
        <f>Z28+O28</f>
        <v>8.5500000000000007</v>
      </c>
      <c r="Z28" s="9">
        <f>5.99</f>
        <v>5.99</v>
      </c>
      <c r="AA28" s="5" t="s">
        <v>12</v>
      </c>
      <c r="AB28" s="62" t="s">
        <v>1043</v>
      </c>
      <c r="AC28" s="5" t="s">
        <v>13</v>
      </c>
      <c r="AD28" s="3">
        <v>3</v>
      </c>
      <c r="AE28" s="5" t="s">
        <v>8</v>
      </c>
      <c r="AF28" s="5" t="s">
        <v>1283</v>
      </c>
      <c r="AG28" s="5" t="s">
        <v>8</v>
      </c>
      <c r="AH28" s="5" t="s">
        <v>8</v>
      </c>
      <c r="AI28" s="5" t="s">
        <v>8</v>
      </c>
      <c r="AJ28" s="5" t="s">
        <v>8</v>
      </c>
      <c r="AK28" s="5" t="s">
        <v>76</v>
      </c>
      <c r="AL28" s="5" t="s">
        <v>8</v>
      </c>
      <c r="AM28" s="5" t="s">
        <v>134</v>
      </c>
      <c r="AN28" s="5" t="s">
        <v>137</v>
      </c>
      <c r="AO28" s="5" t="s">
        <v>137</v>
      </c>
      <c r="AP28" s="5" t="s">
        <v>130</v>
      </c>
      <c r="AQ28" s="5" t="s">
        <v>135</v>
      </c>
      <c r="AZ28" s="12">
        <v>4.1000000000000002E-2</v>
      </c>
      <c r="BA28" s="12"/>
      <c r="BB28" s="12"/>
      <c r="BC28" s="12">
        <v>2.18E-2</v>
      </c>
      <c r="BD28" s="58">
        <f t="shared" si="2"/>
        <v>0.63166209690926456</v>
      </c>
      <c r="BI28" s="5">
        <v>7.0000000000000001E-3</v>
      </c>
      <c r="BL28" s="5">
        <v>2.7300000000000002E-4</v>
      </c>
      <c r="BM28" s="58">
        <f t="shared" si="3"/>
        <v>3.2441936328524905</v>
      </c>
    </row>
    <row r="29" spans="1:150" ht="13.15" hidden="1" customHeight="1" x14ac:dyDescent="0.2">
      <c r="A29" s="3" t="s">
        <v>1</v>
      </c>
      <c r="B29" s="4" t="s">
        <v>138</v>
      </c>
      <c r="C29" s="28">
        <v>2017</v>
      </c>
      <c r="D29" s="16">
        <v>13</v>
      </c>
      <c r="E29" s="16">
        <v>2</v>
      </c>
      <c r="F29" s="63" t="s">
        <v>1067</v>
      </c>
      <c r="G29" s="5" t="s">
        <v>148</v>
      </c>
      <c r="H29" s="5" t="s">
        <v>93</v>
      </c>
      <c r="I29" s="5" t="s">
        <v>142</v>
      </c>
      <c r="J29" s="5" t="s">
        <v>1260</v>
      </c>
      <c r="K29" s="5" t="s">
        <v>1045</v>
      </c>
      <c r="L29" s="5" t="s">
        <v>8</v>
      </c>
      <c r="M29" s="5" t="s">
        <v>9</v>
      </c>
      <c r="N29" s="7">
        <v>0</v>
      </c>
      <c r="O29" s="7">
        <v>1.74</v>
      </c>
      <c r="P29" s="7" t="s">
        <v>140</v>
      </c>
      <c r="Q29" s="5" t="s">
        <v>143</v>
      </c>
      <c r="R29" s="5" t="s">
        <v>27</v>
      </c>
      <c r="S29" s="5" t="s">
        <v>144</v>
      </c>
      <c r="T29" s="5" t="s">
        <v>1335</v>
      </c>
      <c r="U29" s="9">
        <v>1.9</v>
      </c>
      <c r="V29" s="9">
        <f t="shared" si="0"/>
        <v>-1.266206038751821</v>
      </c>
      <c r="W29" s="9"/>
      <c r="X29" s="9"/>
      <c r="Y29" s="9">
        <f>5+O29</f>
        <v>6.74</v>
      </c>
      <c r="Z29" s="9"/>
      <c r="AA29" s="5" t="s">
        <v>12</v>
      </c>
      <c r="AB29" s="7" t="s">
        <v>1123</v>
      </c>
      <c r="AC29" s="5" t="s">
        <v>13</v>
      </c>
      <c r="AD29" s="3">
        <v>9</v>
      </c>
      <c r="AE29" s="5" t="s">
        <v>14</v>
      </c>
      <c r="AF29" s="5" t="s">
        <v>65</v>
      </c>
      <c r="AG29" s="5" t="s">
        <v>14</v>
      </c>
      <c r="AH29" s="5" t="s">
        <v>8</v>
      </c>
      <c r="AI29" s="5" t="s">
        <v>8</v>
      </c>
      <c r="AJ29" s="5" t="s">
        <v>8</v>
      </c>
      <c r="AK29" s="5" t="s">
        <v>145</v>
      </c>
      <c r="AL29" s="5" t="s">
        <v>14</v>
      </c>
      <c r="AM29" s="5" t="s">
        <v>146</v>
      </c>
      <c r="AN29" s="5" t="s">
        <v>18</v>
      </c>
      <c r="AO29" s="5" t="s">
        <v>18</v>
      </c>
      <c r="AP29" s="5" t="s">
        <v>139</v>
      </c>
      <c r="AQ29" s="5" t="s">
        <v>147</v>
      </c>
      <c r="AR29" s="9">
        <v>2.9999999999999999E-7</v>
      </c>
      <c r="AS29" s="9"/>
      <c r="AT29" s="9"/>
      <c r="AU29" s="9">
        <v>1.9999999999999999E-6</v>
      </c>
      <c r="AV29" s="9"/>
      <c r="AW29" s="9"/>
      <c r="AX29" s="9"/>
      <c r="AY29" s="9"/>
      <c r="AZ29" s="9">
        <v>0.01</v>
      </c>
      <c r="BA29" s="9"/>
      <c r="BB29" s="9"/>
      <c r="BC29" s="9">
        <v>2.4E-2</v>
      </c>
      <c r="BD29" s="58">
        <f t="shared" si="2"/>
        <v>-0.87546873735389985</v>
      </c>
      <c r="BE29" s="9"/>
      <c r="BF29" s="9"/>
      <c r="BG29" s="9"/>
      <c r="BH29" s="9"/>
      <c r="BI29" s="9">
        <v>2.5500000000000002E-3</v>
      </c>
      <c r="BJ29" s="9"/>
      <c r="BK29" s="9"/>
      <c r="BL29" s="9">
        <v>8.9999999999999993E-3</v>
      </c>
      <c r="BM29" s="58">
        <f t="shared" si="3"/>
        <v>-1.2611312181658845</v>
      </c>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Y29" s="9"/>
      <c r="CZ29" s="9"/>
      <c r="DA29" s="9"/>
      <c r="DB29" s="9"/>
      <c r="DC29" s="9"/>
      <c r="DD29" s="9"/>
      <c r="DE29" s="9"/>
      <c r="DF29" s="9"/>
      <c r="DG29" s="9"/>
      <c r="DH29" s="9"/>
      <c r="DI29" s="9"/>
      <c r="DJ29" s="9"/>
      <c r="DK29" s="9">
        <v>0.8</v>
      </c>
      <c r="DL29" s="9"/>
      <c r="DM29" s="9"/>
      <c r="DN29" s="9">
        <v>2.5499999999999998</v>
      </c>
      <c r="DO29" s="9">
        <v>0.5</v>
      </c>
      <c r="DP29" s="9"/>
      <c r="DQ29" s="9"/>
      <c r="DR29" s="9">
        <v>3.5</v>
      </c>
      <c r="DS29" s="9"/>
      <c r="DT29" s="9"/>
      <c r="DU29" s="9"/>
      <c r="DV29" s="9"/>
      <c r="DW29" s="9"/>
      <c r="DX29" s="9"/>
      <c r="DY29" s="9"/>
      <c r="DZ29" s="9"/>
      <c r="EA29" s="9"/>
      <c r="EB29" s="9"/>
      <c r="EC29" s="9"/>
      <c r="ED29" s="9"/>
      <c r="EE29" s="9"/>
      <c r="EF29" s="9"/>
      <c r="EG29" s="9"/>
      <c r="EH29" s="9"/>
      <c r="EI29" s="9">
        <v>1.2500000000000001E-2</v>
      </c>
      <c r="EJ29" s="9"/>
      <c r="EK29" s="9"/>
      <c r="EL29" s="9">
        <v>4.4999999999999998E-2</v>
      </c>
      <c r="EM29" s="9">
        <v>1300</v>
      </c>
      <c r="EN29" s="9"/>
      <c r="EO29" s="9"/>
      <c r="EP29" s="9">
        <v>5500</v>
      </c>
      <c r="EQ29" s="9">
        <v>3.0000000000000001E-3</v>
      </c>
      <c r="ER29" s="9"/>
      <c r="ES29" s="9"/>
      <c r="ET29" s="9">
        <v>0.02</v>
      </c>
    </row>
    <row r="30" spans="1:150" ht="13.15" hidden="1" customHeight="1" x14ac:dyDescent="0.2">
      <c r="A30" s="3" t="s">
        <v>1</v>
      </c>
      <c r="B30" s="4" t="s">
        <v>138</v>
      </c>
      <c r="C30" s="28">
        <v>2017</v>
      </c>
      <c r="D30" s="16">
        <v>13</v>
      </c>
      <c r="E30" s="16">
        <v>1</v>
      </c>
      <c r="F30" s="63" t="s">
        <v>1067</v>
      </c>
      <c r="G30" s="5" t="s">
        <v>141</v>
      </c>
      <c r="H30" s="5" t="s">
        <v>93</v>
      </c>
      <c r="I30" s="5" t="s">
        <v>142</v>
      </c>
      <c r="J30" s="5" t="s">
        <v>1260</v>
      </c>
      <c r="K30" s="5" t="s">
        <v>1045</v>
      </c>
      <c r="L30" s="5" t="s">
        <v>8</v>
      </c>
      <c r="M30" s="5" t="s">
        <v>9</v>
      </c>
      <c r="N30" s="7">
        <v>0</v>
      </c>
      <c r="O30" s="7">
        <v>1.74</v>
      </c>
      <c r="P30" s="7" t="s">
        <v>140</v>
      </c>
      <c r="Q30" s="5" t="s">
        <v>143</v>
      </c>
      <c r="R30" s="5" t="s">
        <v>27</v>
      </c>
      <c r="S30" s="5" t="s">
        <v>144</v>
      </c>
      <c r="T30" s="5" t="s">
        <v>1335</v>
      </c>
      <c r="U30" s="9">
        <v>2</v>
      </c>
      <c r="V30" s="9">
        <f t="shared" si="0"/>
        <v>-1.2149127443642704</v>
      </c>
      <c r="W30" s="9"/>
      <c r="X30" s="9"/>
      <c r="Y30" s="9">
        <f>5+O30</f>
        <v>6.74</v>
      </c>
      <c r="Z30" s="9"/>
      <c r="AA30" s="5" t="s">
        <v>12</v>
      </c>
      <c r="AB30" s="7" t="s">
        <v>1123</v>
      </c>
      <c r="AC30" s="5" t="s">
        <v>13</v>
      </c>
      <c r="AD30" s="3">
        <v>9</v>
      </c>
      <c r="AE30" s="5" t="s">
        <v>14</v>
      </c>
      <c r="AF30" s="5" t="s">
        <v>65</v>
      </c>
      <c r="AG30" s="5" t="s">
        <v>14</v>
      </c>
      <c r="AH30" s="5" t="s">
        <v>8</v>
      </c>
      <c r="AI30" s="5" t="s">
        <v>8</v>
      </c>
      <c r="AJ30" s="5" t="s">
        <v>8</v>
      </c>
      <c r="AK30" s="5" t="s">
        <v>145</v>
      </c>
      <c r="AL30" s="5" t="s">
        <v>14</v>
      </c>
      <c r="AM30" s="5" t="s">
        <v>146</v>
      </c>
      <c r="AN30" s="5" t="s">
        <v>18</v>
      </c>
      <c r="AO30" s="5" t="s">
        <v>18</v>
      </c>
      <c r="AP30" s="5" t="s">
        <v>139</v>
      </c>
      <c r="AQ30" s="5" t="s">
        <v>147</v>
      </c>
      <c r="AR30" s="9">
        <v>2.9999999999999999E-7</v>
      </c>
      <c r="AS30" s="9"/>
      <c r="AT30" s="9"/>
      <c r="AU30" s="9">
        <v>1.9999999999999999E-6</v>
      </c>
      <c r="AV30" s="9"/>
      <c r="AW30" s="9"/>
      <c r="AX30" s="9"/>
      <c r="AY30" s="9"/>
      <c r="AZ30" s="9">
        <v>0.01</v>
      </c>
      <c r="BA30" s="9"/>
      <c r="BB30" s="9"/>
      <c r="BC30" s="9">
        <v>2.4E-2</v>
      </c>
      <c r="BD30" s="58">
        <f t="shared" si="2"/>
        <v>-0.87546873735389985</v>
      </c>
      <c r="BE30" s="9"/>
      <c r="BF30" s="9"/>
      <c r="BG30" s="9"/>
      <c r="BH30" s="9"/>
      <c r="BI30" s="9">
        <v>2.5999999999999999E-3</v>
      </c>
      <c r="BJ30" s="9"/>
      <c r="BK30" s="9"/>
      <c r="BL30" s="9">
        <v>8.9999999999999993E-3</v>
      </c>
      <c r="BM30" s="58">
        <f t="shared" si="3"/>
        <v>-1.2417131323087829</v>
      </c>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Y30" s="9"/>
      <c r="CZ30" s="9"/>
      <c r="DA30" s="9"/>
      <c r="DB30" s="9"/>
      <c r="DC30" s="9"/>
      <c r="DD30" s="9"/>
      <c r="DE30" s="9"/>
      <c r="DF30" s="9"/>
      <c r="DG30" s="9"/>
      <c r="DH30" s="9"/>
      <c r="DI30" s="9"/>
      <c r="DJ30" s="9"/>
      <c r="DK30" s="9">
        <v>0.9</v>
      </c>
      <c r="DL30" s="9"/>
      <c r="DM30" s="9"/>
      <c r="DN30" s="9">
        <v>2.5499999999999998</v>
      </c>
      <c r="DO30" s="9">
        <v>0.5</v>
      </c>
      <c r="DP30" s="9"/>
      <c r="DQ30" s="9"/>
      <c r="DR30" s="9">
        <v>3.5</v>
      </c>
      <c r="DS30" s="9"/>
      <c r="DT30" s="9"/>
      <c r="DU30" s="9"/>
      <c r="DV30" s="9"/>
      <c r="DW30" s="9"/>
      <c r="DX30" s="9"/>
      <c r="DY30" s="9"/>
      <c r="DZ30" s="9"/>
      <c r="EA30" s="9"/>
      <c r="EB30" s="9"/>
      <c r="EC30" s="9"/>
      <c r="ED30" s="9"/>
      <c r="EE30" s="9"/>
      <c r="EF30" s="9"/>
      <c r="EG30" s="9"/>
      <c r="EH30" s="9"/>
      <c r="EI30" s="9">
        <v>1.2500000000000001E-2</v>
      </c>
      <c r="EJ30" s="9"/>
      <c r="EK30" s="9"/>
      <c r="EL30" s="9">
        <v>4.4999999999999998E-2</v>
      </c>
      <c r="EM30" s="9">
        <v>1250</v>
      </c>
      <c r="EN30" s="9"/>
      <c r="EO30" s="9"/>
      <c r="EP30" s="9">
        <v>5500</v>
      </c>
      <c r="EQ30" s="9">
        <v>3.0000000000000001E-3</v>
      </c>
      <c r="ER30" s="9"/>
      <c r="ES30" s="9"/>
      <c r="ET30" s="9">
        <v>0.02</v>
      </c>
    </row>
    <row r="31" spans="1:150" ht="13.15" hidden="1" customHeight="1" x14ac:dyDescent="0.2">
      <c r="A31" s="3" t="s">
        <v>1</v>
      </c>
      <c r="B31" s="4" t="s">
        <v>138</v>
      </c>
      <c r="C31" s="28">
        <v>2017</v>
      </c>
      <c r="D31" s="16">
        <v>13</v>
      </c>
      <c r="E31" s="16">
        <v>3</v>
      </c>
      <c r="F31" s="63" t="s">
        <v>1067</v>
      </c>
      <c r="G31" s="5" t="s">
        <v>149</v>
      </c>
      <c r="H31" s="5" t="s">
        <v>93</v>
      </c>
      <c r="I31" s="5" t="s">
        <v>142</v>
      </c>
      <c r="J31" s="5" t="s">
        <v>1260</v>
      </c>
      <c r="K31" s="5" t="s">
        <v>1045</v>
      </c>
      <c r="L31" s="5" t="s">
        <v>8</v>
      </c>
      <c r="M31" s="5" t="s">
        <v>9</v>
      </c>
      <c r="N31" s="7">
        <v>0</v>
      </c>
      <c r="O31" s="7">
        <v>1.74</v>
      </c>
      <c r="P31" s="7" t="s">
        <v>140</v>
      </c>
      <c r="Q31" s="5" t="s">
        <v>143</v>
      </c>
      <c r="R31" s="5" t="s">
        <v>27</v>
      </c>
      <c r="S31" s="5" t="s">
        <v>144</v>
      </c>
      <c r="T31" s="5" t="s">
        <v>1335</v>
      </c>
      <c r="U31" s="9">
        <v>8.5</v>
      </c>
      <c r="V31" s="9">
        <f t="shared" si="0"/>
        <v>0.23200623857205505</v>
      </c>
      <c r="W31" s="9"/>
      <c r="X31" s="9"/>
      <c r="Y31" s="9">
        <f>5+O31</f>
        <v>6.74</v>
      </c>
      <c r="Z31" s="9"/>
      <c r="AA31" s="5" t="s">
        <v>12</v>
      </c>
      <c r="AB31" s="7" t="s">
        <v>1123</v>
      </c>
      <c r="AC31" s="5" t="s">
        <v>13</v>
      </c>
      <c r="AD31" s="3">
        <v>9</v>
      </c>
      <c r="AE31" s="5" t="s">
        <v>14</v>
      </c>
      <c r="AF31" s="5" t="s">
        <v>65</v>
      </c>
      <c r="AG31" s="5" t="s">
        <v>14</v>
      </c>
      <c r="AH31" s="5" t="s">
        <v>8</v>
      </c>
      <c r="AI31" s="5" t="s">
        <v>8</v>
      </c>
      <c r="AJ31" s="5" t="s">
        <v>8</v>
      </c>
      <c r="AK31" s="5" t="s">
        <v>145</v>
      </c>
      <c r="AL31" s="5" t="s">
        <v>14</v>
      </c>
      <c r="AM31" s="5" t="s">
        <v>146</v>
      </c>
      <c r="AN31" s="5" t="s">
        <v>18</v>
      </c>
      <c r="AO31" s="5" t="s">
        <v>18</v>
      </c>
      <c r="AP31" s="5" t="s">
        <v>139</v>
      </c>
      <c r="AQ31" s="5" t="s">
        <v>147</v>
      </c>
      <c r="AR31" s="9">
        <v>4.9999999999999998E-7</v>
      </c>
      <c r="AS31" s="9"/>
      <c r="AT31" s="9"/>
      <c r="AU31" s="9">
        <v>1.9999999999999999E-6</v>
      </c>
      <c r="AV31" s="9"/>
      <c r="AW31" s="9"/>
      <c r="AX31" s="9"/>
      <c r="AY31" s="9"/>
      <c r="AZ31" s="9">
        <v>2.4E-2</v>
      </c>
      <c r="BA31" s="9"/>
      <c r="BB31" s="9"/>
      <c r="BC31" s="9">
        <v>2.4E-2</v>
      </c>
      <c r="BD31" s="58">
        <f t="shared" si="2"/>
        <v>0</v>
      </c>
      <c r="BE31" s="9"/>
      <c r="BF31" s="9"/>
      <c r="BG31" s="9"/>
      <c r="BH31" s="9"/>
      <c r="BI31" s="9">
        <v>7.7000000000000002E-3</v>
      </c>
      <c r="BJ31" s="9"/>
      <c r="BK31" s="9"/>
      <c r="BL31" s="9">
        <v>8.9999999999999993E-3</v>
      </c>
      <c r="BM31" s="58">
        <f t="shared" si="3"/>
        <v>-0.15600424847658115</v>
      </c>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Y31" s="9"/>
      <c r="CZ31" s="9"/>
      <c r="DA31" s="9"/>
      <c r="DB31" s="9"/>
      <c r="DC31" s="9"/>
      <c r="DD31" s="9"/>
      <c r="DE31" s="9"/>
      <c r="DF31" s="9"/>
      <c r="DG31" s="9"/>
      <c r="DH31" s="9"/>
      <c r="DI31" s="9"/>
      <c r="DJ31" s="9"/>
      <c r="DK31" s="9">
        <v>2.4</v>
      </c>
      <c r="DL31" s="9"/>
      <c r="DM31" s="9"/>
      <c r="DN31" s="9">
        <v>2.5499999999999998</v>
      </c>
      <c r="DO31" s="9">
        <v>1.2</v>
      </c>
      <c r="DP31" s="9"/>
      <c r="DQ31" s="9"/>
      <c r="DR31" s="9">
        <v>3.5</v>
      </c>
      <c r="DS31" s="9"/>
      <c r="DT31" s="9"/>
      <c r="DU31" s="9"/>
      <c r="DV31" s="9"/>
      <c r="DW31" s="9"/>
      <c r="DX31" s="9"/>
      <c r="DY31" s="9"/>
      <c r="DZ31" s="9"/>
      <c r="EA31" s="9"/>
      <c r="EB31" s="9"/>
      <c r="EC31" s="9"/>
      <c r="ED31" s="9"/>
      <c r="EE31" s="9"/>
      <c r="EF31" s="9"/>
      <c r="EG31" s="9"/>
      <c r="EH31" s="9"/>
      <c r="EI31" s="9">
        <v>0.04</v>
      </c>
      <c r="EJ31" s="9"/>
      <c r="EK31" s="9"/>
      <c r="EL31" s="9">
        <v>4.4999999999999998E-2</v>
      </c>
      <c r="EM31" s="9">
        <v>3000</v>
      </c>
      <c r="EN31" s="9"/>
      <c r="EO31" s="9"/>
      <c r="EP31" s="9">
        <v>5500</v>
      </c>
      <c r="EQ31" s="9">
        <v>5.0000000000000001E-3</v>
      </c>
      <c r="ER31" s="9"/>
      <c r="ES31" s="9"/>
      <c r="ET31" s="9">
        <v>0.02</v>
      </c>
    </row>
    <row r="32" spans="1:150" ht="13.15" hidden="1" customHeight="1" x14ac:dyDescent="0.2">
      <c r="A32" s="3" t="s">
        <v>1</v>
      </c>
      <c r="B32" s="69" t="s">
        <v>150</v>
      </c>
      <c r="C32" s="76">
        <v>2017</v>
      </c>
      <c r="D32" s="70">
        <v>14</v>
      </c>
      <c r="E32" s="70">
        <v>5</v>
      </c>
      <c r="F32" s="72" t="s">
        <v>1064</v>
      </c>
      <c r="G32" s="3" t="s">
        <v>158</v>
      </c>
      <c r="H32" s="3" t="s">
        <v>5</v>
      </c>
      <c r="I32" s="3" t="s">
        <v>6</v>
      </c>
      <c r="J32" s="3" t="s">
        <v>7</v>
      </c>
      <c r="K32" s="3" t="s">
        <v>1046</v>
      </c>
      <c r="L32" s="3" t="s">
        <v>1049</v>
      </c>
      <c r="M32" s="3" t="s">
        <v>9</v>
      </c>
      <c r="N32" s="66">
        <v>0</v>
      </c>
      <c r="O32" s="66">
        <v>1.47</v>
      </c>
      <c r="P32" s="22" t="s">
        <v>157</v>
      </c>
      <c r="Q32" s="3" t="s">
        <v>39</v>
      </c>
      <c r="R32" s="3" t="s">
        <v>27</v>
      </c>
      <c r="S32" s="3" t="s">
        <v>96</v>
      </c>
      <c r="T32" s="5" t="s">
        <v>1335</v>
      </c>
      <c r="U32" s="99">
        <f>(W32+X32)/2</f>
        <v>1.8</v>
      </c>
      <c r="V32" s="98">
        <f t="shared" si="0"/>
        <v>-1.5487438437618442</v>
      </c>
      <c r="W32" s="99">
        <v>0.4</v>
      </c>
      <c r="X32" s="99">
        <v>3.2</v>
      </c>
      <c r="Y32" s="98">
        <f>7+O32</f>
        <v>8.4700000000000006</v>
      </c>
      <c r="Z32" s="98"/>
      <c r="AA32" s="3" t="s">
        <v>12</v>
      </c>
      <c r="AB32" s="71" t="s">
        <v>1043</v>
      </c>
      <c r="AC32" s="3" t="s">
        <v>13</v>
      </c>
      <c r="AD32" s="3">
        <v>5</v>
      </c>
      <c r="AE32" s="5" t="s">
        <v>14</v>
      </c>
      <c r="AF32" s="5" t="s">
        <v>153</v>
      </c>
      <c r="AG32" s="5" t="s">
        <v>8</v>
      </c>
      <c r="AH32" s="5" t="s">
        <v>8</v>
      </c>
      <c r="AI32" s="5" t="s">
        <v>8</v>
      </c>
      <c r="AJ32" s="5" t="s">
        <v>8</v>
      </c>
      <c r="AK32" s="5" t="s">
        <v>84</v>
      </c>
      <c r="AL32" s="5" t="s">
        <v>8</v>
      </c>
      <c r="AM32" s="5" t="s">
        <v>159</v>
      </c>
      <c r="AN32" s="5" t="s">
        <v>18</v>
      </c>
      <c r="AO32" s="5" t="s">
        <v>18</v>
      </c>
      <c r="AP32" s="3" t="s">
        <v>151</v>
      </c>
      <c r="AQ32" s="5" t="s">
        <v>154</v>
      </c>
      <c r="BD32" s="58"/>
      <c r="BM32" s="58"/>
    </row>
    <row r="33" spans="1:186" ht="13.15" hidden="1" customHeight="1" x14ac:dyDescent="0.2">
      <c r="A33" s="3" t="s">
        <v>1</v>
      </c>
      <c r="B33" s="4" t="s">
        <v>150</v>
      </c>
      <c r="C33" s="28">
        <v>2017</v>
      </c>
      <c r="D33" s="16">
        <v>14</v>
      </c>
      <c r="E33" s="16">
        <v>1</v>
      </c>
      <c r="F33" s="63" t="s">
        <v>1054</v>
      </c>
      <c r="G33" s="5" t="s">
        <v>152</v>
      </c>
      <c r="H33" s="5" t="s">
        <v>5</v>
      </c>
      <c r="I33" s="5" t="s">
        <v>6</v>
      </c>
      <c r="J33" s="5" t="s">
        <v>7</v>
      </c>
      <c r="K33" s="5" t="s">
        <v>1046</v>
      </c>
      <c r="L33" s="5" t="s">
        <v>1049</v>
      </c>
      <c r="M33" s="5" t="s">
        <v>9</v>
      </c>
      <c r="N33" s="7">
        <v>0</v>
      </c>
      <c r="O33" s="7">
        <v>1.49</v>
      </c>
      <c r="P33" s="21" t="s">
        <v>115</v>
      </c>
      <c r="Q33" s="5" t="s">
        <v>39</v>
      </c>
      <c r="R33" s="5" t="s">
        <v>27</v>
      </c>
      <c r="S33" s="5" t="s">
        <v>96</v>
      </c>
      <c r="T33" s="5" t="s">
        <v>1335</v>
      </c>
      <c r="U33" s="99">
        <f>(W33+X33)/2</f>
        <v>2</v>
      </c>
      <c r="V33" s="9">
        <f t="shared" si="0"/>
        <v>-1.9088014896597192</v>
      </c>
      <c r="W33" s="99">
        <v>0.8</v>
      </c>
      <c r="X33" s="99">
        <v>3.2</v>
      </c>
      <c r="Y33" s="9">
        <f>12+O33</f>
        <v>13.49</v>
      </c>
      <c r="Z33" s="9"/>
      <c r="AA33" s="5" t="s">
        <v>12</v>
      </c>
      <c r="AB33" s="62" t="s">
        <v>1043</v>
      </c>
      <c r="AC33" s="5" t="s">
        <v>13</v>
      </c>
      <c r="AD33" s="3">
        <v>5</v>
      </c>
      <c r="AE33" s="5" t="s">
        <v>14</v>
      </c>
      <c r="AF33" s="5" t="s">
        <v>153</v>
      </c>
      <c r="AG33" s="5" t="s">
        <v>8</v>
      </c>
      <c r="AH33" s="5" t="s">
        <v>8</v>
      </c>
      <c r="AI33" s="5" t="s">
        <v>8</v>
      </c>
      <c r="AJ33" s="5" t="s">
        <v>8</v>
      </c>
      <c r="AK33" s="5" t="s">
        <v>84</v>
      </c>
      <c r="AL33" s="5" t="s">
        <v>8</v>
      </c>
      <c r="AM33" s="5">
        <v>2014</v>
      </c>
      <c r="AN33" s="5" t="s">
        <v>18</v>
      </c>
      <c r="AO33" s="5" t="s">
        <v>18</v>
      </c>
      <c r="AP33" s="5" t="s">
        <v>151</v>
      </c>
      <c r="AQ33" s="5" t="s">
        <v>154</v>
      </c>
      <c r="BD33" s="58"/>
      <c r="BM33" s="58"/>
    </row>
    <row r="34" spans="1:186" ht="13.15" hidden="1" customHeight="1" x14ac:dyDescent="0.2">
      <c r="A34" s="3" t="s">
        <v>1</v>
      </c>
      <c r="B34" s="4" t="s">
        <v>150</v>
      </c>
      <c r="C34" s="28">
        <v>2017</v>
      </c>
      <c r="D34" s="16">
        <v>14</v>
      </c>
      <c r="E34" s="16">
        <v>2</v>
      </c>
      <c r="F34" s="5" t="s">
        <v>1060</v>
      </c>
      <c r="G34" s="5" t="s">
        <v>155</v>
      </c>
      <c r="H34" s="5" t="s">
        <v>5</v>
      </c>
      <c r="I34" s="5" t="s">
        <v>6</v>
      </c>
      <c r="J34" s="5" t="s">
        <v>7</v>
      </c>
      <c r="K34" s="5" t="s">
        <v>1046</v>
      </c>
      <c r="L34" s="5" t="s">
        <v>1049</v>
      </c>
      <c r="M34" s="5" t="s">
        <v>9</v>
      </c>
      <c r="N34" s="7">
        <v>0</v>
      </c>
      <c r="O34" s="7">
        <v>1.81</v>
      </c>
      <c r="P34" s="21" t="s">
        <v>22</v>
      </c>
      <c r="Q34" s="5" t="s">
        <v>39</v>
      </c>
      <c r="R34" s="5" t="s">
        <v>27</v>
      </c>
      <c r="S34" s="5" t="s">
        <v>96</v>
      </c>
      <c r="T34" s="5" t="s">
        <v>1335</v>
      </c>
      <c r="U34" s="99">
        <f>(W34+X34)/2</f>
        <v>2</v>
      </c>
      <c r="V34" s="9">
        <f t="shared" si="0"/>
        <v>-1.6873244510911716</v>
      </c>
      <c r="W34" s="99">
        <v>0.8</v>
      </c>
      <c r="X34" s="99">
        <v>3.2</v>
      </c>
      <c r="Y34" s="9">
        <f>9+O34</f>
        <v>10.81</v>
      </c>
      <c r="Z34" s="9"/>
      <c r="AA34" s="5" t="s">
        <v>12</v>
      </c>
      <c r="AB34" s="62" t="s">
        <v>1043</v>
      </c>
      <c r="AC34" s="5" t="s">
        <v>13</v>
      </c>
      <c r="AD34" s="3">
        <v>5</v>
      </c>
      <c r="AE34" s="5" t="s">
        <v>14</v>
      </c>
      <c r="AF34" s="5" t="s">
        <v>153</v>
      </c>
      <c r="AG34" s="5" t="s">
        <v>8</v>
      </c>
      <c r="AH34" s="5" t="s">
        <v>8</v>
      </c>
      <c r="AI34" s="5" t="s">
        <v>8</v>
      </c>
      <c r="AJ34" s="5" t="s">
        <v>8</v>
      </c>
      <c r="AK34" s="5" t="s">
        <v>84</v>
      </c>
      <c r="AL34" s="5" t="s">
        <v>8</v>
      </c>
      <c r="AM34" s="5">
        <v>2009</v>
      </c>
      <c r="AN34" s="5" t="s">
        <v>18</v>
      </c>
      <c r="AO34" s="5" t="s">
        <v>18</v>
      </c>
      <c r="AP34" s="5" t="s">
        <v>151</v>
      </c>
      <c r="AQ34" s="5" t="s">
        <v>154</v>
      </c>
      <c r="BD34" s="58"/>
      <c r="BM34" s="58"/>
    </row>
    <row r="35" spans="1:186" ht="13.15" hidden="1" customHeight="1" x14ac:dyDescent="0.2">
      <c r="A35" s="3" t="s">
        <v>1</v>
      </c>
      <c r="B35" s="4" t="s">
        <v>150</v>
      </c>
      <c r="C35" s="28">
        <v>2017</v>
      </c>
      <c r="D35" s="16">
        <v>14</v>
      </c>
      <c r="E35" s="16">
        <v>3</v>
      </c>
      <c r="F35" s="64" t="s">
        <v>1075</v>
      </c>
      <c r="G35" s="5" t="s">
        <v>155</v>
      </c>
      <c r="H35" s="5" t="s">
        <v>5</v>
      </c>
      <c r="I35" s="5" t="s">
        <v>6</v>
      </c>
      <c r="J35" s="5" t="s">
        <v>7</v>
      </c>
      <c r="K35" s="5" t="s">
        <v>1046</v>
      </c>
      <c r="L35" s="5" t="s">
        <v>1049</v>
      </c>
      <c r="M35" s="5" t="s">
        <v>9</v>
      </c>
      <c r="N35" s="7">
        <v>0</v>
      </c>
      <c r="O35" s="7">
        <v>2.38</v>
      </c>
      <c r="P35" s="21" t="s">
        <v>122</v>
      </c>
      <c r="Q35" s="5" t="s">
        <v>39</v>
      </c>
      <c r="R35" s="5" t="s">
        <v>27</v>
      </c>
      <c r="S35" s="5" t="s">
        <v>96</v>
      </c>
      <c r="T35" s="5" t="s">
        <v>1335</v>
      </c>
      <c r="U35" s="99">
        <f>(W35+X35)/2</f>
        <v>2</v>
      </c>
      <c r="V35" s="9">
        <f t="shared" si="0"/>
        <v>-0.9895411936137477</v>
      </c>
      <c r="W35" s="99">
        <v>0.8</v>
      </c>
      <c r="X35" s="99">
        <v>3.2</v>
      </c>
      <c r="Y35" s="9">
        <f>3+O35</f>
        <v>5.38</v>
      </c>
      <c r="Z35" s="9"/>
      <c r="AA35" s="5" t="s">
        <v>12</v>
      </c>
      <c r="AB35" s="62" t="s">
        <v>1043</v>
      </c>
      <c r="AC35" s="5" t="s">
        <v>13</v>
      </c>
      <c r="AD35" s="3">
        <v>5</v>
      </c>
      <c r="AE35" s="5" t="s">
        <v>14</v>
      </c>
      <c r="AF35" s="5" t="s">
        <v>153</v>
      </c>
      <c r="AG35" s="5" t="s">
        <v>8</v>
      </c>
      <c r="AH35" s="5" t="s">
        <v>8</v>
      </c>
      <c r="AI35" s="5" t="s">
        <v>8</v>
      </c>
      <c r="AJ35" s="5" t="s">
        <v>8</v>
      </c>
      <c r="AK35" s="5" t="s">
        <v>84</v>
      </c>
      <c r="AL35" s="5" t="s">
        <v>8</v>
      </c>
      <c r="AM35" s="5">
        <v>2011</v>
      </c>
      <c r="AN35" s="5" t="s">
        <v>18</v>
      </c>
      <c r="AO35" s="5" t="s">
        <v>18</v>
      </c>
      <c r="AP35" s="5" t="s">
        <v>151</v>
      </c>
      <c r="AQ35" s="5" t="s">
        <v>154</v>
      </c>
      <c r="BD35" s="58"/>
      <c r="BM35" s="58"/>
    </row>
    <row r="36" spans="1:186" ht="13.15" hidden="1" customHeight="1" x14ac:dyDescent="0.2">
      <c r="A36" s="3" t="s">
        <v>1</v>
      </c>
      <c r="B36" s="4" t="s">
        <v>150</v>
      </c>
      <c r="C36" s="28">
        <v>2017</v>
      </c>
      <c r="D36" s="16">
        <v>14</v>
      </c>
      <c r="E36" s="16">
        <v>4</v>
      </c>
      <c r="F36" s="63" t="s">
        <v>1057</v>
      </c>
      <c r="G36" s="5" t="s">
        <v>156</v>
      </c>
      <c r="H36" s="5" t="s">
        <v>5</v>
      </c>
      <c r="I36" s="5" t="s">
        <v>6</v>
      </c>
      <c r="J36" s="5" t="s">
        <v>7</v>
      </c>
      <c r="K36" s="5" t="s">
        <v>1046</v>
      </c>
      <c r="L36" s="5" t="s">
        <v>1049</v>
      </c>
      <c r="M36" s="5" t="s">
        <v>9</v>
      </c>
      <c r="N36" s="7">
        <v>0</v>
      </c>
      <c r="O36" s="7">
        <v>1.49</v>
      </c>
      <c r="P36" s="21" t="s">
        <v>4</v>
      </c>
      <c r="Q36" s="5" t="s">
        <v>39</v>
      </c>
      <c r="R36" s="5" t="s">
        <v>27</v>
      </c>
      <c r="S36" s="5" t="s">
        <v>96</v>
      </c>
      <c r="T36" s="5" t="s">
        <v>1335</v>
      </c>
      <c r="U36" s="99">
        <f>(W36+X36)/2</f>
        <v>2</v>
      </c>
      <c r="V36" s="9">
        <f t="shared" si="0"/>
        <v>-1.9088014896597192</v>
      </c>
      <c r="W36" s="99">
        <v>0.8</v>
      </c>
      <c r="X36" s="99">
        <v>3.2</v>
      </c>
      <c r="Y36" s="9">
        <f>12+O36</f>
        <v>13.49</v>
      </c>
      <c r="Z36" s="9"/>
      <c r="AA36" s="5" t="s">
        <v>12</v>
      </c>
      <c r="AB36" s="62" t="s">
        <v>1043</v>
      </c>
      <c r="AC36" s="5" t="s">
        <v>13</v>
      </c>
      <c r="AD36" s="3">
        <v>5</v>
      </c>
      <c r="AE36" s="5" t="s">
        <v>14</v>
      </c>
      <c r="AF36" s="5" t="s">
        <v>153</v>
      </c>
      <c r="AG36" s="5" t="s">
        <v>8</v>
      </c>
      <c r="AH36" s="5" t="s">
        <v>8</v>
      </c>
      <c r="AI36" s="5" t="s">
        <v>8</v>
      </c>
      <c r="AJ36" s="5" t="s">
        <v>8</v>
      </c>
      <c r="AK36" s="5" t="s">
        <v>84</v>
      </c>
      <c r="AL36" s="5" t="s">
        <v>8</v>
      </c>
      <c r="AM36" s="5">
        <v>2003</v>
      </c>
      <c r="AN36" s="5" t="s">
        <v>18</v>
      </c>
      <c r="AO36" s="5" t="s">
        <v>18</v>
      </c>
      <c r="AP36" s="5" t="s">
        <v>151</v>
      </c>
      <c r="AQ36" s="5" t="s">
        <v>154</v>
      </c>
      <c r="BD36" s="58"/>
      <c r="BM36" s="58"/>
    </row>
    <row r="37" spans="1:186" ht="13.15" hidden="1" customHeight="1" x14ac:dyDescent="0.2">
      <c r="A37" s="3" t="s">
        <v>101</v>
      </c>
      <c r="B37" s="4" t="s">
        <v>160</v>
      </c>
      <c r="C37" s="28">
        <v>2017</v>
      </c>
      <c r="D37" s="16">
        <v>15</v>
      </c>
      <c r="E37" s="16">
        <v>3</v>
      </c>
      <c r="F37" s="5" t="s">
        <v>1051</v>
      </c>
      <c r="G37" s="5" t="s">
        <v>169</v>
      </c>
      <c r="H37" s="5" t="s">
        <v>5</v>
      </c>
      <c r="I37" s="5" t="s">
        <v>43</v>
      </c>
      <c r="J37" s="5" t="s">
        <v>25</v>
      </c>
      <c r="K37" s="48" t="s">
        <v>1045</v>
      </c>
      <c r="L37" s="5" t="s">
        <v>8</v>
      </c>
      <c r="M37" s="5" t="s">
        <v>9</v>
      </c>
      <c r="N37" s="7">
        <v>1.47</v>
      </c>
      <c r="O37" s="7">
        <v>1.47</v>
      </c>
      <c r="P37" s="7" t="s">
        <v>162</v>
      </c>
      <c r="Q37" s="5" t="s">
        <v>39</v>
      </c>
      <c r="R37" s="5" t="s">
        <v>27</v>
      </c>
      <c r="S37" s="5" t="s">
        <v>164</v>
      </c>
      <c r="T37" s="5" t="s">
        <v>1335</v>
      </c>
      <c r="U37" s="9">
        <f>75.2/1000</f>
        <v>7.5200000000000003E-2</v>
      </c>
      <c r="V37" s="9">
        <f t="shared" si="0"/>
        <v>-4.3402761285463507</v>
      </c>
      <c r="W37" s="9"/>
      <c r="X37" s="9"/>
      <c r="Y37" s="9">
        <f>O37+Z37</f>
        <v>5.77</v>
      </c>
      <c r="Z37" s="9">
        <v>4.3</v>
      </c>
      <c r="AA37" s="5" t="s">
        <v>12</v>
      </c>
      <c r="AB37" s="7" t="s">
        <v>1123</v>
      </c>
      <c r="AC37" s="5" t="s">
        <v>13</v>
      </c>
      <c r="AD37" s="3">
        <v>9</v>
      </c>
      <c r="AE37" s="5" t="s">
        <v>14</v>
      </c>
      <c r="AF37" s="5" t="s">
        <v>97</v>
      </c>
      <c r="AG37" s="5" t="s">
        <v>14</v>
      </c>
      <c r="AH37" s="5" t="s">
        <v>14</v>
      </c>
      <c r="AI37" s="5" t="s">
        <v>14</v>
      </c>
      <c r="AJ37" s="5" t="s">
        <v>8</v>
      </c>
      <c r="AK37" s="5" t="s">
        <v>165</v>
      </c>
      <c r="AL37" s="5" t="s">
        <v>8</v>
      </c>
      <c r="AM37" s="5">
        <v>2015</v>
      </c>
      <c r="AN37" s="5" t="s">
        <v>166</v>
      </c>
      <c r="AO37" s="5" t="s">
        <v>166</v>
      </c>
      <c r="AP37" s="5" t="s">
        <v>161</v>
      </c>
      <c r="AQ37" s="5" t="s">
        <v>167</v>
      </c>
      <c r="AR37" s="23">
        <v>7.19E-10</v>
      </c>
      <c r="AS37" s="23"/>
      <c r="AT37" s="23"/>
      <c r="AU37" s="23">
        <v>4.08E-7</v>
      </c>
      <c r="AZ37" s="20">
        <v>5.4799999999999997E-5</v>
      </c>
      <c r="BC37" s="5">
        <v>1.66E-2</v>
      </c>
      <c r="BD37" s="58">
        <f>LN(AZ37/BC37)</f>
        <v>-5.7134677803906646</v>
      </c>
      <c r="BI37" s="20">
        <v>3.5800000000000003E-5</v>
      </c>
      <c r="BL37" s="5">
        <v>6.6400000000000001E-3</v>
      </c>
      <c r="BM37" s="58">
        <f>LN(BI37/BL37)</f>
        <v>-5.222919349063825</v>
      </c>
      <c r="CP37" s="24">
        <v>4.2899999999999996E-6</v>
      </c>
      <c r="CS37" s="5">
        <v>1.49E-3</v>
      </c>
      <c r="DK37" s="5">
        <v>1.9E-2</v>
      </c>
      <c r="DN37" s="5">
        <v>1.68</v>
      </c>
      <c r="DO37" s="12">
        <v>5.2399999999999999E-3</v>
      </c>
      <c r="DP37" s="12"/>
      <c r="DQ37" s="12"/>
      <c r="DR37" s="12">
        <v>1.07</v>
      </c>
      <c r="EI37" s="18">
        <v>1.3200000000000001E-8</v>
      </c>
      <c r="EL37" s="20">
        <v>2.0400000000000001E-5</v>
      </c>
      <c r="EM37" s="5">
        <v>7.07</v>
      </c>
      <c r="EP37" s="5">
        <v>3650</v>
      </c>
      <c r="EQ37" s="20">
        <v>1.77E-5</v>
      </c>
      <c r="ER37" s="20"/>
      <c r="ES37" s="20"/>
      <c r="ET37" s="20">
        <v>5.64E-3</v>
      </c>
    </row>
    <row r="38" spans="1:186" ht="13.15" hidden="1" customHeight="1" x14ac:dyDescent="0.2">
      <c r="A38" s="3" t="s">
        <v>101</v>
      </c>
      <c r="B38" s="4" t="s">
        <v>160</v>
      </c>
      <c r="C38" s="28">
        <v>2017</v>
      </c>
      <c r="D38" s="16">
        <v>15</v>
      </c>
      <c r="E38" s="16">
        <v>2</v>
      </c>
      <c r="F38" s="5" t="s">
        <v>1051</v>
      </c>
      <c r="G38" s="5" t="s">
        <v>168</v>
      </c>
      <c r="H38" s="5" t="s">
        <v>5</v>
      </c>
      <c r="I38" s="5" t="s">
        <v>43</v>
      </c>
      <c r="J38" s="5" t="s">
        <v>25</v>
      </c>
      <c r="K38" s="48" t="s">
        <v>1045</v>
      </c>
      <c r="L38" s="5" t="s">
        <v>8</v>
      </c>
      <c r="M38" s="5" t="s">
        <v>9</v>
      </c>
      <c r="N38" s="7">
        <v>1.47</v>
      </c>
      <c r="O38" s="7">
        <v>1.47</v>
      </c>
      <c r="P38" s="7" t="s">
        <v>162</v>
      </c>
      <c r="Q38" s="5" t="s">
        <v>39</v>
      </c>
      <c r="R38" s="5" t="s">
        <v>27</v>
      </c>
      <c r="S38" s="5" t="s">
        <v>164</v>
      </c>
      <c r="T38" s="5" t="s">
        <v>1335</v>
      </c>
      <c r="U38" s="9">
        <f>86.1/1000</f>
        <v>8.6099999999999996E-2</v>
      </c>
      <c r="V38" s="9">
        <f t="shared" si="0"/>
        <v>-4.2049179480684602</v>
      </c>
      <c r="W38" s="9"/>
      <c r="X38" s="9"/>
      <c r="Y38" s="9">
        <f>O38+Z38</f>
        <v>5.77</v>
      </c>
      <c r="Z38" s="9">
        <v>4.3</v>
      </c>
      <c r="AA38" s="5" t="s">
        <v>12</v>
      </c>
      <c r="AB38" s="7" t="s">
        <v>1123</v>
      </c>
      <c r="AC38" s="5" t="s">
        <v>13</v>
      </c>
      <c r="AD38" s="3">
        <v>9</v>
      </c>
      <c r="AE38" s="5" t="s">
        <v>14</v>
      </c>
      <c r="AF38" s="5" t="s">
        <v>97</v>
      </c>
      <c r="AG38" s="5" t="s">
        <v>14</v>
      </c>
      <c r="AH38" s="5" t="s">
        <v>14</v>
      </c>
      <c r="AI38" s="5" t="s">
        <v>14</v>
      </c>
      <c r="AJ38" s="5" t="s">
        <v>8</v>
      </c>
      <c r="AK38" s="5" t="s">
        <v>165</v>
      </c>
      <c r="AL38" s="5" t="s">
        <v>8</v>
      </c>
      <c r="AM38" s="5">
        <v>2015</v>
      </c>
      <c r="AN38" s="5" t="s">
        <v>166</v>
      </c>
      <c r="AO38" s="5" t="s">
        <v>166</v>
      </c>
      <c r="AP38" s="5" t="s">
        <v>161</v>
      </c>
      <c r="AQ38" s="5" t="s">
        <v>167</v>
      </c>
      <c r="AR38" s="23">
        <v>8.1499999999999998E-10</v>
      </c>
      <c r="AS38" s="23"/>
      <c r="AT38" s="23"/>
      <c r="AU38" s="23">
        <v>4.08E-7</v>
      </c>
      <c r="AZ38" s="20">
        <v>5.4300000000000003E-7</v>
      </c>
      <c r="BC38" s="5">
        <v>1.66E-2</v>
      </c>
      <c r="BD38" s="58">
        <f>LN(AZ38/BC38)</f>
        <v>-10.327803933392836</v>
      </c>
      <c r="BI38" s="20">
        <v>4.0200000000000001E-5</v>
      </c>
      <c r="BL38" s="5">
        <v>6.6400000000000001E-3</v>
      </c>
      <c r="BM38" s="58">
        <f>LN(BI38/BL38)</f>
        <v>-5.1070002468455042</v>
      </c>
      <c r="CP38" s="24">
        <v>3.18E-6</v>
      </c>
      <c r="CS38" s="5">
        <v>1.49E-3</v>
      </c>
      <c r="DK38" s="9">
        <v>2.1999999999999999E-2</v>
      </c>
      <c r="DN38" s="5">
        <v>1.68</v>
      </c>
      <c r="DO38" s="12">
        <v>5.8199999999999997E-3</v>
      </c>
      <c r="DP38" s="12"/>
      <c r="DQ38" s="12"/>
      <c r="DR38" s="12">
        <v>1.07</v>
      </c>
      <c r="EI38" s="18">
        <f>0.0000000111</f>
        <v>1.11E-8</v>
      </c>
      <c r="EL38" s="20">
        <v>2.0400000000000001E-5</v>
      </c>
      <c r="EM38" s="5">
        <v>7.45</v>
      </c>
      <c r="EP38" s="5">
        <v>3650</v>
      </c>
      <c r="EQ38" s="20">
        <v>1.8700000000000001E-5</v>
      </c>
      <c r="ER38" s="20"/>
      <c r="ES38" s="20"/>
      <c r="ET38" s="20">
        <v>5.64E-3</v>
      </c>
    </row>
    <row r="39" spans="1:186" ht="13.15" hidden="1" customHeight="1" x14ac:dyDescent="0.2">
      <c r="A39" s="3" t="s">
        <v>101</v>
      </c>
      <c r="B39" s="4" t="s">
        <v>160</v>
      </c>
      <c r="C39" s="28">
        <v>2017</v>
      </c>
      <c r="D39" s="16">
        <v>15</v>
      </c>
      <c r="E39" s="16">
        <v>1</v>
      </c>
      <c r="F39" s="5" t="s">
        <v>1051</v>
      </c>
      <c r="G39" s="5" t="s">
        <v>163</v>
      </c>
      <c r="H39" s="5" t="s">
        <v>5</v>
      </c>
      <c r="I39" s="5" t="s">
        <v>43</v>
      </c>
      <c r="J39" s="5" t="s">
        <v>25</v>
      </c>
      <c r="K39" s="48" t="s">
        <v>1045</v>
      </c>
      <c r="L39" s="5" t="s">
        <v>8</v>
      </c>
      <c r="M39" s="5" t="s">
        <v>9</v>
      </c>
      <c r="N39" s="7">
        <v>1.47</v>
      </c>
      <c r="O39" s="7">
        <v>1.47</v>
      </c>
      <c r="P39" s="7" t="s">
        <v>162</v>
      </c>
      <c r="Q39" s="5" t="s">
        <v>39</v>
      </c>
      <c r="R39" s="5" t="s">
        <v>27</v>
      </c>
      <c r="S39" s="5" t="s">
        <v>164</v>
      </c>
      <c r="T39" s="5" t="s">
        <v>1335</v>
      </c>
      <c r="U39" s="9">
        <f>3800/1000</f>
        <v>3.8</v>
      </c>
      <c r="V39" s="9">
        <f t="shared" si="0"/>
        <v>-0.41767101378766813</v>
      </c>
      <c r="W39" s="9"/>
      <c r="X39" s="9"/>
      <c r="Y39" s="9">
        <f>O39+Z39</f>
        <v>5.77</v>
      </c>
      <c r="Z39" s="9">
        <v>4.3</v>
      </c>
      <c r="AA39" s="5" t="s">
        <v>12</v>
      </c>
      <c r="AB39" s="7" t="s">
        <v>1123</v>
      </c>
      <c r="AC39" s="5" t="s">
        <v>13</v>
      </c>
      <c r="AD39" s="3">
        <v>9</v>
      </c>
      <c r="AE39" s="5" t="s">
        <v>14</v>
      </c>
      <c r="AF39" s="5" t="s">
        <v>97</v>
      </c>
      <c r="AG39" s="5" t="s">
        <v>14</v>
      </c>
      <c r="AH39" s="5" t="s">
        <v>14</v>
      </c>
      <c r="AI39" s="5" t="s">
        <v>14</v>
      </c>
      <c r="AJ39" s="5" t="s">
        <v>8</v>
      </c>
      <c r="AK39" s="5" t="s">
        <v>165</v>
      </c>
      <c r="AL39" s="5" t="s">
        <v>8</v>
      </c>
      <c r="AM39" s="5">
        <v>2015</v>
      </c>
      <c r="AN39" s="5" t="s">
        <v>166</v>
      </c>
      <c r="AO39" s="5" t="s">
        <v>166</v>
      </c>
      <c r="AP39" s="5" t="s">
        <v>161</v>
      </c>
      <c r="AQ39" s="5" t="s">
        <v>167</v>
      </c>
      <c r="AR39" s="23">
        <v>4.1600000000000002E-8</v>
      </c>
      <c r="AS39" s="23"/>
      <c r="AT39" s="23"/>
      <c r="AU39" s="23">
        <v>4.08E-7</v>
      </c>
      <c r="AZ39" s="20">
        <v>3.4499999999999999E-3</v>
      </c>
      <c r="BC39" s="5">
        <v>1.66E-2</v>
      </c>
      <c r="BD39" s="58">
        <f>LN(AZ39/BC39)</f>
        <v>-1.5710284643192292</v>
      </c>
      <c r="BI39" s="20">
        <v>1.91E-3</v>
      </c>
      <c r="BL39" s="5">
        <v>6.6400000000000001E-3</v>
      </c>
      <c r="BM39" s="58">
        <f>LN(BI39/BL39)</f>
        <v>-1.2460087214298039</v>
      </c>
      <c r="CP39" s="24">
        <v>2.1600000000000001E-2</v>
      </c>
      <c r="CS39" s="5">
        <v>1.49E-3</v>
      </c>
      <c r="DK39" s="5">
        <v>1.04</v>
      </c>
      <c r="DN39" s="5">
        <v>1.68</v>
      </c>
      <c r="DO39" s="12">
        <v>0.28699999999999998</v>
      </c>
      <c r="DP39" s="12"/>
      <c r="DQ39" s="12"/>
      <c r="DR39" s="12">
        <v>1.07</v>
      </c>
      <c r="EI39" s="18">
        <f>0.000845/1000</f>
        <v>8.4500000000000006E-7</v>
      </c>
      <c r="EL39" s="20">
        <v>2.0400000000000001E-5</v>
      </c>
      <c r="EM39" s="5">
        <v>403</v>
      </c>
      <c r="EP39" s="5">
        <v>3650</v>
      </c>
      <c r="EQ39" s="20">
        <v>1E-3</v>
      </c>
      <c r="ER39" s="20"/>
      <c r="ES39" s="20"/>
      <c r="ET39" s="20">
        <v>5.64E-3</v>
      </c>
    </row>
    <row r="40" spans="1:186" ht="13.15" hidden="1" customHeight="1" x14ac:dyDescent="0.2">
      <c r="A40" s="3" t="s">
        <v>1</v>
      </c>
      <c r="B40" s="4" t="s">
        <v>170</v>
      </c>
      <c r="C40" s="28">
        <v>2017</v>
      </c>
      <c r="D40" s="16">
        <v>16</v>
      </c>
      <c r="E40" s="16">
        <v>1</v>
      </c>
      <c r="F40" s="5" t="s">
        <v>1054</v>
      </c>
      <c r="G40" s="5" t="s">
        <v>172</v>
      </c>
      <c r="H40" s="5" t="s">
        <v>5</v>
      </c>
      <c r="I40" s="5" t="s">
        <v>173</v>
      </c>
      <c r="J40" s="5" t="s">
        <v>90</v>
      </c>
      <c r="K40" s="5" t="s">
        <v>1046</v>
      </c>
      <c r="L40" s="5" t="s">
        <v>107</v>
      </c>
      <c r="M40" s="5" t="s">
        <v>9</v>
      </c>
      <c r="N40" s="7">
        <f>1.47+0.44</f>
        <v>1.91</v>
      </c>
      <c r="O40" s="7">
        <v>1.49</v>
      </c>
      <c r="P40" s="7" t="s">
        <v>115</v>
      </c>
      <c r="Q40" s="5" t="s">
        <v>39</v>
      </c>
      <c r="R40" s="5" t="s">
        <v>27</v>
      </c>
      <c r="S40" s="5" t="s">
        <v>96</v>
      </c>
      <c r="T40" s="5" t="s">
        <v>1335</v>
      </c>
      <c r="U40" s="9">
        <f>1.95+N40</f>
        <v>3.86</v>
      </c>
      <c r="V40" s="9">
        <f t="shared" si="0"/>
        <v>-0.55739274144747619</v>
      </c>
      <c r="W40" s="9"/>
      <c r="X40" s="9"/>
      <c r="Y40" s="9">
        <f>5.25+O40</f>
        <v>6.74</v>
      </c>
      <c r="Z40" s="9"/>
      <c r="AA40" s="5" t="s">
        <v>12</v>
      </c>
      <c r="AB40" s="62" t="s">
        <v>1043</v>
      </c>
      <c r="AC40" s="5" t="s">
        <v>13</v>
      </c>
      <c r="AD40" s="3">
        <v>9</v>
      </c>
      <c r="AE40" s="5" t="s">
        <v>8</v>
      </c>
      <c r="AF40" s="5" t="s">
        <v>1282</v>
      </c>
      <c r="AG40" s="5" t="s">
        <v>8</v>
      </c>
      <c r="AH40" s="5" t="s">
        <v>8</v>
      </c>
      <c r="AI40" s="5" t="s">
        <v>14</v>
      </c>
      <c r="AJ40" s="5" t="s">
        <v>8</v>
      </c>
      <c r="AK40" s="5" t="s">
        <v>84</v>
      </c>
      <c r="AL40" s="5" t="s">
        <v>8</v>
      </c>
      <c r="AM40" s="5">
        <v>2010</v>
      </c>
      <c r="AN40" s="5" t="s">
        <v>67</v>
      </c>
      <c r="AO40" s="5" t="s">
        <v>67</v>
      </c>
      <c r="AP40" s="5" t="s">
        <v>171</v>
      </c>
      <c r="AQ40" s="5" t="s">
        <v>174</v>
      </c>
      <c r="BD40" s="58"/>
      <c r="BM40" s="58"/>
      <c r="DC40" s="5">
        <v>26.6</v>
      </c>
      <c r="DF40" s="5">
        <v>90</v>
      </c>
    </row>
    <row r="41" spans="1:186" ht="13.15" hidden="1" customHeight="1" x14ac:dyDescent="0.2">
      <c r="A41" s="3" t="s">
        <v>1</v>
      </c>
      <c r="B41" s="4" t="s">
        <v>175</v>
      </c>
      <c r="C41" s="28">
        <v>2017</v>
      </c>
      <c r="D41" s="16">
        <v>17</v>
      </c>
      <c r="E41" s="16">
        <v>3</v>
      </c>
      <c r="F41" s="63" t="s">
        <v>1278</v>
      </c>
      <c r="G41" s="5" t="s">
        <v>177</v>
      </c>
      <c r="H41" s="5" t="s">
        <v>93</v>
      </c>
      <c r="I41" s="5" t="s">
        <v>182</v>
      </c>
      <c r="J41" s="5" t="s">
        <v>1260</v>
      </c>
      <c r="K41" s="48" t="s">
        <v>726</v>
      </c>
      <c r="L41" s="5" t="s">
        <v>8</v>
      </c>
      <c r="M41" s="5" t="s">
        <v>179</v>
      </c>
      <c r="N41" s="7">
        <v>0</v>
      </c>
      <c r="O41" s="7">
        <v>1.81</v>
      </c>
      <c r="P41" s="7" t="s">
        <v>22</v>
      </c>
      <c r="Q41" s="5" t="s">
        <v>39</v>
      </c>
      <c r="R41" s="5" t="s">
        <v>27</v>
      </c>
      <c r="S41" s="5" t="s">
        <v>180</v>
      </c>
      <c r="T41" s="5" t="s">
        <v>1335</v>
      </c>
      <c r="U41" s="9">
        <v>8.66</v>
      </c>
      <c r="V41" s="9">
        <f t="shared" si="0"/>
        <v>-0.5827702546141037</v>
      </c>
      <c r="W41" s="9"/>
      <c r="X41" s="9"/>
      <c r="Y41" s="9">
        <f>Z41+O41</f>
        <v>15.51</v>
      </c>
      <c r="Z41" s="9">
        <v>13.7</v>
      </c>
      <c r="AA41" s="5" t="s">
        <v>12</v>
      </c>
      <c r="AB41" s="7" t="s">
        <v>1044</v>
      </c>
      <c r="AC41" s="5" t="s">
        <v>74</v>
      </c>
      <c r="AD41" s="3">
        <v>6</v>
      </c>
      <c r="AE41" s="5" t="s">
        <v>8</v>
      </c>
      <c r="AF41" s="5" t="s">
        <v>1298</v>
      </c>
      <c r="AG41" s="5" t="s">
        <v>8</v>
      </c>
      <c r="AH41" s="5" t="s">
        <v>14</v>
      </c>
      <c r="AI41" s="5" t="s">
        <v>8</v>
      </c>
      <c r="AJ41" s="5" t="s">
        <v>14</v>
      </c>
      <c r="AK41" s="5" t="s">
        <v>165</v>
      </c>
      <c r="AL41" s="5" t="s">
        <v>8</v>
      </c>
      <c r="AM41" s="5" t="s">
        <v>159</v>
      </c>
      <c r="AN41" s="5" t="s">
        <v>67</v>
      </c>
      <c r="AO41" s="5" t="s">
        <v>67</v>
      </c>
      <c r="AP41" s="5" t="s">
        <v>176</v>
      </c>
      <c r="AQ41" s="5" t="s">
        <v>181</v>
      </c>
      <c r="AZ41" s="5">
        <v>0.04</v>
      </c>
      <c r="BC41" s="5">
        <v>2.6599999999999999E-2</v>
      </c>
      <c r="BD41" s="58">
        <f>LN(AZ41/BC41)</f>
        <v>0.40796823832628298</v>
      </c>
      <c r="BI41" s="5">
        <v>0.03</v>
      </c>
      <c r="BL41" s="5">
        <v>1.55E-2</v>
      </c>
      <c r="BM41" s="58">
        <f>LN(BI41/BL41)</f>
        <v>0.66035735773695436</v>
      </c>
    </row>
    <row r="42" spans="1:186" ht="13.15" hidden="1" customHeight="1" x14ac:dyDescent="0.2">
      <c r="A42" s="3" t="s">
        <v>1</v>
      </c>
      <c r="B42" s="4" t="s">
        <v>175</v>
      </c>
      <c r="C42" s="28">
        <v>2017</v>
      </c>
      <c r="D42" s="16">
        <v>17</v>
      </c>
      <c r="E42" s="16">
        <v>2</v>
      </c>
      <c r="F42" s="63" t="s">
        <v>1278</v>
      </c>
      <c r="G42" s="5" t="s">
        <v>177</v>
      </c>
      <c r="H42" s="5" t="s">
        <v>93</v>
      </c>
      <c r="I42" s="5" t="s">
        <v>182</v>
      </c>
      <c r="J42" s="5" t="s">
        <v>1260</v>
      </c>
      <c r="K42" s="48" t="s">
        <v>726</v>
      </c>
      <c r="L42" s="5" t="s">
        <v>8</v>
      </c>
      <c r="M42" s="5" t="s">
        <v>179</v>
      </c>
      <c r="N42" s="7">
        <v>0</v>
      </c>
      <c r="O42" s="7">
        <v>1.81</v>
      </c>
      <c r="P42" s="7" t="s">
        <v>22</v>
      </c>
      <c r="Q42" s="5" t="s">
        <v>39</v>
      </c>
      <c r="R42" s="5" t="s">
        <v>27</v>
      </c>
      <c r="S42" s="5" t="s">
        <v>180</v>
      </c>
      <c r="T42" s="5" t="s">
        <v>1335</v>
      </c>
      <c r="U42" s="9">
        <v>12.34</v>
      </c>
      <c r="V42" s="9">
        <f t="shared" si="0"/>
        <v>-0.22863895871120565</v>
      </c>
      <c r="W42" s="9"/>
      <c r="X42" s="9"/>
      <c r="Y42" s="9">
        <f>Z42+O42</f>
        <v>15.51</v>
      </c>
      <c r="Z42" s="9">
        <v>13.7</v>
      </c>
      <c r="AA42" s="5" t="s">
        <v>12</v>
      </c>
      <c r="AB42" s="62" t="s">
        <v>1043</v>
      </c>
      <c r="AC42" s="5" t="s">
        <v>13</v>
      </c>
      <c r="AD42" s="3">
        <v>3</v>
      </c>
      <c r="AE42" s="5" t="s">
        <v>8</v>
      </c>
      <c r="AF42" s="5" t="s">
        <v>1279</v>
      </c>
      <c r="AG42" s="5" t="s">
        <v>8</v>
      </c>
      <c r="AH42" s="5" t="s">
        <v>8</v>
      </c>
      <c r="AI42" s="5" t="s">
        <v>8</v>
      </c>
      <c r="AJ42" s="5" t="s">
        <v>8</v>
      </c>
      <c r="AK42" s="5" t="s">
        <v>165</v>
      </c>
      <c r="AL42" s="5" t="s">
        <v>8</v>
      </c>
      <c r="AM42" s="5" t="s">
        <v>159</v>
      </c>
      <c r="AN42" s="5" t="s">
        <v>67</v>
      </c>
      <c r="AO42" s="5" t="s">
        <v>67</v>
      </c>
      <c r="AP42" s="5" t="s">
        <v>176</v>
      </c>
      <c r="AQ42" s="5" t="s">
        <v>181</v>
      </c>
      <c r="AZ42" s="5">
        <v>7.0000000000000007E-2</v>
      </c>
      <c r="BC42" s="5">
        <v>2.6599999999999999E-2</v>
      </c>
      <c r="BD42" s="58">
        <f>LN(AZ42/BC42)</f>
        <v>0.9675840262617057</v>
      </c>
      <c r="BI42" s="5">
        <v>0.04</v>
      </c>
      <c r="BL42" s="5">
        <v>1.55E-2</v>
      </c>
      <c r="BM42" s="58">
        <f>LN(BI42/BL42)</f>
        <v>0.94803943018873538</v>
      </c>
    </row>
    <row r="43" spans="1:186" ht="13.15" hidden="1" customHeight="1" x14ac:dyDescent="0.2">
      <c r="A43" s="3" t="s">
        <v>1</v>
      </c>
      <c r="B43" s="4" t="s">
        <v>175</v>
      </c>
      <c r="C43" s="28">
        <v>2017</v>
      </c>
      <c r="D43" s="16">
        <v>17</v>
      </c>
      <c r="E43" s="16">
        <v>1</v>
      </c>
      <c r="F43" s="63" t="s">
        <v>1278</v>
      </c>
      <c r="G43" s="5" t="s">
        <v>177</v>
      </c>
      <c r="H43" s="5" t="s">
        <v>93</v>
      </c>
      <c r="I43" s="5" t="s">
        <v>178</v>
      </c>
      <c r="J43" s="5" t="s">
        <v>1260</v>
      </c>
      <c r="K43" s="5" t="s">
        <v>726</v>
      </c>
      <c r="L43" s="5" t="s">
        <v>8</v>
      </c>
      <c r="M43" s="5" t="s">
        <v>179</v>
      </c>
      <c r="N43" s="7">
        <v>0</v>
      </c>
      <c r="O43" s="7">
        <v>1.81</v>
      </c>
      <c r="P43" s="7" t="s">
        <v>22</v>
      </c>
      <c r="Q43" s="5" t="s">
        <v>39</v>
      </c>
      <c r="R43" s="5" t="s">
        <v>27</v>
      </c>
      <c r="S43" s="5" t="s">
        <v>180</v>
      </c>
      <c r="T43" s="5" t="s">
        <v>1335</v>
      </c>
      <c r="U43" s="9">
        <v>14.9</v>
      </c>
      <c r="V43" s="9">
        <f t="shared" si="0"/>
        <v>-4.0123764237033913E-2</v>
      </c>
      <c r="W43" s="9"/>
      <c r="X43" s="9"/>
      <c r="Y43" s="9">
        <f>Z43+O43</f>
        <v>15.51</v>
      </c>
      <c r="Z43" s="9">
        <v>13.7</v>
      </c>
      <c r="AA43" s="5" t="s">
        <v>12</v>
      </c>
      <c r="AB43" s="62" t="s">
        <v>1043</v>
      </c>
      <c r="AC43" s="5" t="s">
        <v>13</v>
      </c>
      <c r="AD43" s="3">
        <v>3</v>
      </c>
      <c r="AE43" s="5" t="s">
        <v>8</v>
      </c>
      <c r="AF43" s="5" t="s">
        <v>1279</v>
      </c>
      <c r="AG43" s="5" t="s">
        <v>8</v>
      </c>
      <c r="AH43" s="5" t="s">
        <v>8</v>
      </c>
      <c r="AI43" s="5" t="s">
        <v>8</v>
      </c>
      <c r="AJ43" s="5" t="s">
        <v>8</v>
      </c>
      <c r="AK43" s="5" t="s">
        <v>165</v>
      </c>
      <c r="AL43" s="5" t="s">
        <v>8</v>
      </c>
      <c r="AM43" s="5" t="s">
        <v>159</v>
      </c>
      <c r="AN43" s="5" t="s">
        <v>67</v>
      </c>
      <c r="AO43" s="5" t="s">
        <v>67</v>
      </c>
      <c r="AP43" s="5" t="s">
        <v>176</v>
      </c>
      <c r="AQ43" s="5" t="s">
        <v>181</v>
      </c>
      <c r="AZ43" s="5">
        <v>0.09</v>
      </c>
      <c r="BC43" s="5">
        <v>2.6599999999999999E-2</v>
      </c>
      <c r="BD43" s="58">
        <f>LN(AZ43/BC43)</f>
        <v>1.2188984545426116</v>
      </c>
      <c r="BI43" s="5">
        <v>0.05</v>
      </c>
      <c r="BL43" s="5">
        <v>1.55E-2</v>
      </c>
      <c r="BM43" s="58">
        <f>LN(BI43/BL43)</f>
        <v>1.1711829815029453</v>
      </c>
    </row>
    <row r="44" spans="1:186" ht="13.15" hidden="1" customHeight="1" x14ac:dyDescent="0.2">
      <c r="A44" s="3" t="s">
        <v>1</v>
      </c>
      <c r="B44" s="4" t="s">
        <v>183</v>
      </c>
      <c r="C44" s="28">
        <v>2018</v>
      </c>
      <c r="D44" s="16">
        <v>18</v>
      </c>
      <c r="E44" s="16">
        <v>1</v>
      </c>
      <c r="F44" s="5" t="s">
        <v>1060</v>
      </c>
      <c r="G44" s="5" t="s">
        <v>98</v>
      </c>
      <c r="H44" s="5" t="s">
        <v>93</v>
      </c>
      <c r="I44" s="5" t="s">
        <v>185</v>
      </c>
      <c r="J44" s="5" t="s">
        <v>25</v>
      </c>
      <c r="K44" s="48" t="s">
        <v>1045</v>
      </c>
      <c r="L44" s="5" t="s">
        <v>8</v>
      </c>
      <c r="M44" s="5" t="s">
        <v>9</v>
      </c>
      <c r="N44" s="7">
        <v>1.81</v>
      </c>
      <c r="O44" s="7">
        <v>1.81</v>
      </c>
      <c r="P44" s="7" t="s">
        <v>22</v>
      </c>
      <c r="Q44" s="5" t="s">
        <v>39</v>
      </c>
      <c r="R44" s="5" t="s">
        <v>18</v>
      </c>
      <c r="S44" s="5" t="s">
        <v>96</v>
      </c>
      <c r="T44" s="5" t="s">
        <v>1335</v>
      </c>
      <c r="U44" s="9">
        <f>4.87+N44</f>
        <v>6.68</v>
      </c>
      <c r="V44" s="9">
        <f t="shared" si="0"/>
        <v>-0.36887566067587224</v>
      </c>
      <c r="W44" s="9"/>
      <c r="X44" s="9"/>
      <c r="Y44" s="9">
        <f>7.85+O44</f>
        <v>9.66</v>
      </c>
      <c r="Z44" s="9"/>
      <c r="AA44" s="5" t="s">
        <v>12</v>
      </c>
      <c r="AB44" s="7" t="s">
        <v>1123</v>
      </c>
      <c r="AC44" s="5" t="s">
        <v>13</v>
      </c>
      <c r="AD44" s="3">
        <v>9</v>
      </c>
      <c r="AE44" s="5" t="s">
        <v>14</v>
      </c>
      <c r="AF44" s="5" t="s">
        <v>186</v>
      </c>
      <c r="AG44" s="5" t="s">
        <v>8</v>
      </c>
      <c r="AH44" s="5" t="s">
        <v>8</v>
      </c>
      <c r="AI44" s="5" t="s">
        <v>8</v>
      </c>
      <c r="AJ44" s="5" t="s">
        <v>8</v>
      </c>
      <c r="AK44" s="5" t="s">
        <v>187</v>
      </c>
      <c r="AL44" s="5" t="s">
        <v>8</v>
      </c>
      <c r="AM44" s="5" t="s">
        <v>188</v>
      </c>
      <c r="AN44" s="5" t="s">
        <v>18</v>
      </c>
      <c r="AO44" s="5" t="s">
        <v>18</v>
      </c>
      <c r="AP44" s="5" t="s">
        <v>184</v>
      </c>
      <c r="AQ44" s="5" t="s">
        <v>189</v>
      </c>
      <c r="BD44" s="58"/>
      <c r="BM44" s="58"/>
    </row>
    <row r="45" spans="1:186" ht="13.15" hidden="1" customHeight="1" x14ac:dyDescent="0.2">
      <c r="A45" s="3" t="s">
        <v>1</v>
      </c>
      <c r="B45" s="4" t="s">
        <v>190</v>
      </c>
      <c r="C45" s="28">
        <v>2018</v>
      </c>
      <c r="D45" s="16">
        <v>19</v>
      </c>
      <c r="E45" s="16">
        <v>1</v>
      </c>
      <c r="F45" s="5" t="s">
        <v>1086</v>
      </c>
      <c r="G45" s="5" t="s">
        <v>193</v>
      </c>
      <c r="H45" s="5" t="s">
        <v>93</v>
      </c>
      <c r="I45" s="5" t="s">
        <v>6</v>
      </c>
      <c r="J45" s="5" t="s">
        <v>7</v>
      </c>
      <c r="K45" s="48" t="s">
        <v>1046</v>
      </c>
      <c r="L45" s="5" t="s">
        <v>1049</v>
      </c>
      <c r="M45" s="5" t="s">
        <v>9</v>
      </c>
      <c r="N45" s="7">
        <v>2.15</v>
      </c>
      <c r="O45" s="7">
        <v>2.15</v>
      </c>
      <c r="P45" s="7" t="s">
        <v>192</v>
      </c>
      <c r="Q45" s="5" t="s">
        <v>39</v>
      </c>
      <c r="R45" s="5" t="s">
        <v>67</v>
      </c>
      <c r="S45" s="5" t="s">
        <v>194</v>
      </c>
      <c r="T45" s="5" t="s">
        <v>1335</v>
      </c>
      <c r="U45" s="9">
        <f>1.4+N45</f>
        <v>3.55</v>
      </c>
      <c r="V45" s="9">
        <f t="shared" si="0"/>
        <v>-0.51644361607021394</v>
      </c>
      <c r="W45" s="9"/>
      <c r="X45" s="9"/>
      <c r="Y45" s="9">
        <f>3.8+O45</f>
        <v>5.9499999999999993</v>
      </c>
      <c r="Z45" s="9"/>
      <c r="AA45" s="5" t="s">
        <v>12</v>
      </c>
      <c r="AB45" s="7" t="s">
        <v>1123</v>
      </c>
      <c r="AC45" s="5" t="s">
        <v>13</v>
      </c>
      <c r="AD45" s="3">
        <v>9</v>
      </c>
      <c r="AE45" s="5" t="s">
        <v>14</v>
      </c>
      <c r="AF45" s="5" t="s">
        <v>195</v>
      </c>
      <c r="AG45" s="5" t="s">
        <v>8</v>
      </c>
      <c r="AH45" s="5" t="s">
        <v>14</v>
      </c>
      <c r="AI45" s="5" t="s">
        <v>8</v>
      </c>
      <c r="AJ45" s="5" t="s">
        <v>8</v>
      </c>
      <c r="AK45" s="5" t="s">
        <v>196</v>
      </c>
      <c r="AL45" s="5" t="s">
        <v>8</v>
      </c>
      <c r="AM45" s="5">
        <v>2017</v>
      </c>
      <c r="AN45" s="5" t="s">
        <v>18</v>
      </c>
      <c r="AO45" s="5" t="s">
        <v>1028</v>
      </c>
      <c r="AP45" s="5" t="s">
        <v>191</v>
      </c>
      <c r="AQ45" s="5" t="s">
        <v>197</v>
      </c>
      <c r="AR45" s="5">
        <v>1.4000000000000001E-7</v>
      </c>
      <c r="AU45" s="5">
        <v>2.7000000000000001E-7</v>
      </c>
      <c r="AZ45" s="5">
        <v>4.7E-2</v>
      </c>
      <c r="BC45" s="5">
        <v>2.1000000000000001E-2</v>
      </c>
      <c r="BD45" s="58">
        <f>LN(AZ45/BC45)</f>
        <v>0.80562516398663564</v>
      </c>
      <c r="BM45" s="58"/>
      <c r="BN45" s="5">
        <v>1.2E-2</v>
      </c>
      <c r="BQ45" s="5">
        <v>1.4999999999999999E-2</v>
      </c>
      <c r="CT45" s="5">
        <v>74.400000000000006</v>
      </c>
      <c r="CW45" s="5">
        <v>110.1</v>
      </c>
      <c r="CX45" s="59">
        <f>LN(CT45/CW45)</f>
        <v>-0.39193310188958796</v>
      </c>
      <c r="DG45" s="5">
        <v>2.6</v>
      </c>
      <c r="DJ45" s="5">
        <v>9.6000000000000002E-2</v>
      </c>
      <c r="EA45" s="5">
        <v>0.32</v>
      </c>
      <c r="EB45" s="12">
        <f>LN(EA45/ED45)</f>
        <v>1.5786662537673468</v>
      </c>
      <c r="ED45" s="5">
        <v>6.6000000000000003E-2</v>
      </c>
      <c r="EY45" s="5">
        <v>0.06</v>
      </c>
      <c r="FB45" s="5">
        <v>8.6E-3</v>
      </c>
      <c r="FG45" s="5">
        <v>9.1999999999999998E-3</v>
      </c>
      <c r="FJ45" s="5">
        <v>5.1000000000000004E-3</v>
      </c>
      <c r="FO45" s="5">
        <v>0.13</v>
      </c>
      <c r="FR45" s="5">
        <v>7.7999999999999996E-3</v>
      </c>
      <c r="FS45" s="5">
        <v>8.8999999999999995E-4</v>
      </c>
      <c r="FV45" s="5">
        <v>4.8000000000000001E-4</v>
      </c>
      <c r="GA45" s="5">
        <v>0.51</v>
      </c>
      <c r="GD45" s="5">
        <v>2.4</v>
      </c>
    </row>
    <row r="46" spans="1:186" ht="13.15" hidden="1" customHeight="1" x14ac:dyDescent="0.2">
      <c r="A46" s="3" t="s">
        <v>1</v>
      </c>
      <c r="B46" s="4" t="s">
        <v>198</v>
      </c>
      <c r="C46" s="28">
        <v>2018</v>
      </c>
      <c r="D46" s="16">
        <v>20</v>
      </c>
      <c r="E46" s="16">
        <v>1</v>
      </c>
      <c r="F46" s="5" t="s">
        <v>1055</v>
      </c>
      <c r="G46" s="5" t="s">
        <v>200</v>
      </c>
      <c r="H46" s="5" t="s">
        <v>93</v>
      </c>
      <c r="I46" s="5" t="s">
        <v>37</v>
      </c>
      <c r="J46" s="5" t="s">
        <v>25</v>
      </c>
      <c r="K46" s="48" t="s">
        <v>1045</v>
      </c>
      <c r="L46" s="5" t="s">
        <v>8</v>
      </c>
      <c r="M46" s="5" t="s">
        <v>9</v>
      </c>
      <c r="N46" s="7">
        <v>3.1</v>
      </c>
      <c r="O46" s="7">
        <v>3.1</v>
      </c>
      <c r="P46" s="7" t="s">
        <v>71</v>
      </c>
      <c r="Q46" s="5" t="s">
        <v>201</v>
      </c>
      <c r="R46" s="5" t="s">
        <v>27</v>
      </c>
      <c r="S46" s="5" t="s">
        <v>53</v>
      </c>
      <c r="T46" s="5" t="s">
        <v>1335</v>
      </c>
      <c r="U46" s="9">
        <f>-1+N46</f>
        <v>2.1</v>
      </c>
      <c r="V46" s="9">
        <f t="shared" si="0"/>
        <v>-0.76214005204689672</v>
      </c>
      <c r="W46" s="9"/>
      <c r="X46" s="9"/>
      <c r="Y46" s="9">
        <f>1.4+O46</f>
        <v>4.5</v>
      </c>
      <c r="Z46" s="9"/>
      <c r="AA46" s="5" t="s">
        <v>12</v>
      </c>
      <c r="AB46" s="7" t="s">
        <v>1123</v>
      </c>
      <c r="AC46" s="5" t="s">
        <v>202</v>
      </c>
      <c r="AD46" s="29">
        <v>9</v>
      </c>
      <c r="AE46" s="5" t="s">
        <v>14</v>
      </c>
      <c r="AF46" s="5" t="s">
        <v>65</v>
      </c>
      <c r="AG46" s="5" t="s">
        <v>14</v>
      </c>
      <c r="AH46" s="5" t="s">
        <v>8</v>
      </c>
      <c r="AI46" s="5" t="s">
        <v>14</v>
      </c>
      <c r="AJ46" s="5" t="s">
        <v>14</v>
      </c>
      <c r="AK46" s="5" t="s">
        <v>1028</v>
      </c>
      <c r="AL46" s="5" t="s">
        <v>8</v>
      </c>
      <c r="AM46" s="5" t="s">
        <v>203</v>
      </c>
      <c r="AN46" s="5" t="s">
        <v>18</v>
      </c>
      <c r="AO46" s="5" t="s">
        <v>18</v>
      </c>
      <c r="AP46" s="5" t="s">
        <v>199</v>
      </c>
      <c r="AQ46" s="5" t="s">
        <v>204</v>
      </c>
      <c r="BD46" s="58"/>
      <c r="BM46" s="58"/>
    </row>
    <row r="47" spans="1:186" ht="13.15" hidden="1" customHeight="1" x14ac:dyDescent="0.2">
      <c r="A47" s="3" t="s">
        <v>1</v>
      </c>
      <c r="B47" s="4" t="s">
        <v>198</v>
      </c>
      <c r="C47" s="28">
        <v>2018</v>
      </c>
      <c r="D47" s="16">
        <v>20</v>
      </c>
      <c r="E47" s="16">
        <v>2</v>
      </c>
      <c r="F47" s="5" t="s">
        <v>1055</v>
      </c>
      <c r="G47" s="5" t="s">
        <v>200</v>
      </c>
      <c r="H47" s="5" t="s">
        <v>93</v>
      </c>
      <c r="I47" s="5" t="s">
        <v>6</v>
      </c>
      <c r="J47" s="5" t="s">
        <v>7</v>
      </c>
      <c r="K47" s="48" t="s">
        <v>1046</v>
      </c>
      <c r="L47" s="5" t="s">
        <v>1049</v>
      </c>
      <c r="M47" s="5" t="s">
        <v>9</v>
      </c>
      <c r="N47" s="7">
        <v>3.1</v>
      </c>
      <c r="O47" s="7">
        <v>3.1</v>
      </c>
      <c r="P47" s="7" t="s">
        <v>71</v>
      </c>
      <c r="Q47" s="5" t="s">
        <v>201</v>
      </c>
      <c r="R47" s="5" t="s">
        <v>27</v>
      </c>
      <c r="S47" s="5" t="s">
        <v>53</v>
      </c>
      <c r="T47" s="5" t="s">
        <v>1335</v>
      </c>
      <c r="U47" s="9">
        <f>-0.5+N47</f>
        <v>2.6</v>
      </c>
      <c r="V47" s="9">
        <f t="shared" si="0"/>
        <v>-0.5485659517488376</v>
      </c>
      <c r="W47" s="9"/>
      <c r="X47" s="9"/>
      <c r="Y47" s="9">
        <f>1.4+O47</f>
        <v>4.5</v>
      </c>
      <c r="Z47" s="9"/>
      <c r="AA47" s="5" t="s">
        <v>12</v>
      </c>
      <c r="AB47" s="7" t="s">
        <v>1123</v>
      </c>
      <c r="AC47" s="5" t="s">
        <v>202</v>
      </c>
      <c r="AD47" s="3">
        <v>9</v>
      </c>
      <c r="AE47" s="5" t="s">
        <v>14</v>
      </c>
      <c r="AF47" s="5" t="s">
        <v>65</v>
      </c>
      <c r="AG47" s="5" t="s">
        <v>14</v>
      </c>
      <c r="AH47" s="5" t="s">
        <v>8</v>
      </c>
      <c r="AI47" s="5" t="s">
        <v>14</v>
      </c>
      <c r="AJ47" s="5" t="s">
        <v>14</v>
      </c>
      <c r="AK47" s="5" t="s">
        <v>1028</v>
      </c>
      <c r="AL47" s="5" t="s">
        <v>8</v>
      </c>
      <c r="AM47" s="5" t="s">
        <v>203</v>
      </c>
      <c r="AN47" s="5" t="s">
        <v>18</v>
      </c>
      <c r="AO47" s="5" t="s">
        <v>18</v>
      </c>
      <c r="AP47" s="5" t="s">
        <v>199</v>
      </c>
      <c r="AQ47" s="5" t="s">
        <v>204</v>
      </c>
      <c r="BD47" s="58"/>
      <c r="BM47" s="58"/>
    </row>
    <row r="48" spans="1:186" ht="13.15" hidden="1" customHeight="1" x14ac:dyDescent="0.2">
      <c r="A48" s="3" t="s">
        <v>1</v>
      </c>
      <c r="B48" s="4" t="s">
        <v>205</v>
      </c>
      <c r="C48" s="28">
        <v>2018</v>
      </c>
      <c r="D48" s="16">
        <v>21</v>
      </c>
      <c r="E48" s="16">
        <v>1</v>
      </c>
      <c r="F48" s="63" t="s">
        <v>1055</v>
      </c>
      <c r="G48" s="5" t="s">
        <v>207</v>
      </c>
      <c r="H48" s="5" t="s">
        <v>93</v>
      </c>
      <c r="I48" s="5" t="s">
        <v>208</v>
      </c>
      <c r="J48" s="5" t="s">
        <v>90</v>
      </c>
      <c r="K48" s="48" t="s">
        <v>1046</v>
      </c>
      <c r="L48" s="5" t="s">
        <v>1049</v>
      </c>
      <c r="M48" s="5" t="s">
        <v>9</v>
      </c>
      <c r="N48" s="7">
        <v>0</v>
      </c>
      <c r="O48" s="7">
        <v>3.1</v>
      </c>
      <c r="P48" s="7" t="s">
        <v>71</v>
      </c>
      <c r="Q48" s="5" t="s">
        <v>209</v>
      </c>
      <c r="R48" s="5" t="s">
        <v>27</v>
      </c>
      <c r="S48" s="5" t="s">
        <v>53</v>
      </c>
      <c r="T48" s="5" t="s">
        <v>1335</v>
      </c>
      <c r="U48" s="9">
        <v>0.48</v>
      </c>
      <c r="V48" s="9">
        <f t="shared" si="0"/>
        <v>-2.2380465718564744</v>
      </c>
      <c r="W48" s="9"/>
      <c r="X48" s="9"/>
      <c r="Y48" s="9">
        <f>1400/1000+O48</f>
        <v>4.5</v>
      </c>
      <c r="Z48" s="9"/>
      <c r="AA48" s="5" t="s">
        <v>12</v>
      </c>
      <c r="AB48" s="7" t="s">
        <v>1044</v>
      </c>
      <c r="AC48" s="5" t="s">
        <v>74</v>
      </c>
      <c r="AD48" s="3">
        <v>9</v>
      </c>
      <c r="AE48" s="5" t="s">
        <v>14</v>
      </c>
      <c r="AF48" s="5" t="s">
        <v>97</v>
      </c>
      <c r="AG48" s="5" t="s">
        <v>14</v>
      </c>
      <c r="AH48" s="5" t="s">
        <v>8</v>
      </c>
      <c r="AI48" s="5" t="s">
        <v>14</v>
      </c>
      <c r="AJ48" s="5" t="s">
        <v>8</v>
      </c>
      <c r="AK48" s="5" t="s">
        <v>210</v>
      </c>
      <c r="AL48" s="5" t="s">
        <v>8</v>
      </c>
      <c r="AM48" s="5">
        <v>2017</v>
      </c>
      <c r="AN48" s="5" t="s">
        <v>67</v>
      </c>
      <c r="AO48" s="5" t="s">
        <v>67</v>
      </c>
      <c r="AP48" s="5" t="s">
        <v>206</v>
      </c>
      <c r="AQ48" s="5" t="s">
        <v>212</v>
      </c>
      <c r="AR48" s="1">
        <v>6.9999999999999999E-6</v>
      </c>
      <c r="AU48" s="20">
        <v>4.3000000000000002E-5</v>
      </c>
      <c r="AY48" s="17"/>
      <c r="AZ48" s="17">
        <v>3.7000000000000002E-3</v>
      </c>
      <c r="BA48" s="17"/>
      <c r="BB48" s="17"/>
      <c r="BC48" s="17">
        <v>3.8E-3</v>
      </c>
      <c r="BD48" s="58">
        <f>LN(AZ48/BC48)</f>
        <v>-2.6668247082161294E-2</v>
      </c>
      <c r="BI48" s="25">
        <v>3.8999999999999998E-3</v>
      </c>
      <c r="BJ48" s="25"/>
      <c r="BK48" s="25"/>
      <c r="BL48" s="25">
        <v>2.9999999999999997E-4</v>
      </c>
      <c r="BM48" s="58">
        <f>LN(BI48/BL48)</f>
        <v>2.5649493574615367</v>
      </c>
      <c r="DK48" s="5">
        <v>0.45</v>
      </c>
      <c r="DL48" s="9"/>
      <c r="DM48" s="9"/>
      <c r="DN48" s="9">
        <v>0.03</v>
      </c>
      <c r="DO48" s="9">
        <v>0.43</v>
      </c>
      <c r="DR48" s="9">
        <v>0.03</v>
      </c>
      <c r="EI48" s="24">
        <v>3.6799999999999999E-6</v>
      </c>
      <c r="EL48" s="18">
        <v>2E-8</v>
      </c>
      <c r="EM48" s="9">
        <v>950</v>
      </c>
      <c r="EN48" s="9"/>
      <c r="EO48" s="9"/>
      <c r="EP48" s="9">
        <v>130</v>
      </c>
      <c r="EQ48" s="9">
        <v>8</v>
      </c>
      <c r="ER48" s="9"/>
      <c r="ES48" s="9"/>
      <c r="ET48" s="9">
        <v>0.1</v>
      </c>
      <c r="EU48" s="9"/>
      <c r="EY48" s="17">
        <v>5.9699999999999996E-3</v>
      </c>
      <c r="EZ48" s="17"/>
      <c r="FA48" s="17"/>
      <c r="FB48" s="17">
        <v>2.3E-3</v>
      </c>
    </row>
    <row r="49" spans="1:186" ht="13.15" hidden="1" customHeight="1" x14ac:dyDescent="0.2">
      <c r="A49" s="3" t="s">
        <v>1</v>
      </c>
      <c r="B49" s="4" t="s">
        <v>205</v>
      </c>
      <c r="C49" s="28">
        <v>2018</v>
      </c>
      <c r="D49" s="16">
        <v>21</v>
      </c>
      <c r="E49" s="16">
        <v>2</v>
      </c>
      <c r="F49" s="63" t="s">
        <v>1055</v>
      </c>
      <c r="G49" s="5" t="s">
        <v>213</v>
      </c>
      <c r="H49" s="5" t="s">
        <v>93</v>
      </c>
      <c r="I49" s="5" t="s">
        <v>208</v>
      </c>
      <c r="J49" s="5" t="s">
        <v>90</v>
      </c>
      <c r="K49" s="5" t="s">
        <v>1046</v>
      </c>
      <c r="L49" s="5" t="s">
        <v>1049</v>
      </c>
      <c r="M49" s="5" t="s">
        <v>9</v>
      </c>
      <c r="N49" s="7">
        <v>0</v>
      </c>
      <c r="O49" s="7">
        <v>3.1</v>
      </c>
      <c r="P49" s="7" t="s">
        <v>71</v>
      </c>
      <c r="Q49" s="5" t="s">
        <v>209</v>
      </c>
      <c r="R49" s="5" t="s">
        <v>27</v>
      </c>
      <c r="S49" s="5" t="s">
        <v>53</v>
      </c>
      <c r="T49" s="5" t="s">
        <v>1335</v>
      </c>
      <c r="U49" s="9">
        <v>0.79</v>
      </c>
      <c r="V49" s="9">
        <f t="shared" si="0"/>
        <v>-1.7397997302973438</v>
      </c>
      <c r="W49" s="9"/>
      <c r="X49" s="9"/>
      <c r="Y49" s="9">
        <f>1400/1000+O49</f>
        <v>4.5</v>
      </c>
      <c r="Z49" s="9"/>
      <c r="AA49" s="5" t="s">
        <v>12</v>
      </c>
      <c r="AB49" s="7" t="s">
        <v>1123</v>
      </c>
      <c r="AC49" s="5" t="s">
        <v>13</v>
      </c>
      <c r="AD49" s="3">
        <v>9</v>
      </c>
      <c r="AE49" s="5" t="s">
        <v>14</v>
      </c>
      <c r="AF49" s="5" t="s">
        <v>97</v>
      </c>
      <c r="AG49" s="5" t="s">
        <v>14</v>
      </c>
      <c r="AH49" s="5" t="s">
        <v>8</v>
      </c>
      <c r="AI49" s="5" t="s">
        <v>14</v>
      </c>
      <c r="AJ49" s="5" t="s">
        <v>8</v>
      </c>
      <c r="AK49" s="5" t="s">
        <v>210</v>
      </c>
      <c r="AL49" s="5" t="s">
        <v>8</v>
      </c>
      <c r="AM49" s="5">
        <v>2011</v>
      </c>
      <c r="AN49" s="5" t="s">
        <v>67</v>
      </c>
      <c r="AO49" s="5" t="s">
        <v>67</v>
      </c>
      <c r="AP49" s="5" t="s">
        <v>206</v>
      </c>
      <c r="AQ49" s="5" t="s">
        <v>212</v>
      </c>
      <c r="AR49" s="1">
        <v>1.0499999999999999E-6</v>
      </c>
      <c r="AU49" s="20">
        <v>4.3000000000000002E-5</v>
      </c>
      <c r="AY49" s="17"/>
      <c r="AZ49" s="17">
        <v>3.5999999999999999E-3</v>
      </c>
      <c r="BA49" s="17"/>
      <c r="BB49" s="17"/>
      <c r="BC49" s="17">
        <v>3.8E-3</v>
      </c>
      <c r="BD49" s="58">
        <f>LN(AZ49/BC49)</f>
        <v>-5.4067221270275821E-2</v>
      </c>
      <c r="BI49" s="25">
        <v>3.3E-3</v>
      </c>
      <c r="BJ49" s="25"/>
      <c r="BK49" s="25"/>
      <c r="BL49" s="25">
        <v>2.9999999999999997E-4</v>
      </c>
      <c r="BM49" s="58">
        <f>LN(BI49/BL49)</f>
        <v>2.3978952727983707</v>
      </c>
      <c r="DK49" s="5">
        <v>0.36</v>
      </c>
      <c r="DL49" s="9"/>
      <c r="DM49" s="9"/>
      <c r="DN49" s="9">
        <v>0.03</v>
      </c>
      <c r="DO49" s="9">
        <v>0.18</v>
      </c>
      <c r="DR49" s="9">
        <v>0.03</v>
      </c>
      <c r="EI49" s="24">
        <v>4.7999999999999996E-7</v>
      </c>
      <c r="EL49" s="18">
        <v>2E-8</v>
      </c>
      <c r="EM49" s="9">
        <v>380</v>
      </c>
      <c r="EN49" s="9"/>
      <c r="EO49" s="9"/>
      <c r="EP49" s="9">
        <v>130</v>
      </c>
      <c r="EQ49" s="9">
        <v>4.7</v>
      </c>
      <c r="ER49" s="9"/>
      <c r="ES49" s="9"/>
      <c r="ET49" s="9">
        <v>0.1</v>
      </c>
      <c r="EU49" s="9"/>
      <c r="EY49" s="17">
        <v>1.2999999999999999E-4</v>
      </c>
      <c r="EZ49" s="17"/>
      <c r="FA49" s="17"/>
      <c r="FB49" s="17">
        <v>2.3E-3</v>
      </c>
    </row>
    <row r="50" spans="1:186" ht="13.15" hidden="1" customHeight="1" x14ac:dyDescent="0.2">
      <c r="A50" s="3" t="s">
        <v>1</v>
      </c>
      <c r="B50" s="4" t="s">
        <v>205</v>
      </c>
      <c r="C50" s="28">
        <v>2018</v>
      </c>
      <c r="D50" s="16">
        <v>21</v>
      </c>
      <c r="E50" s="16">
        <v>3</v>
      </c>
      <c r="F50" s="63" t="s">
        <v>1055</v>
      </c>
      <c r="G50" s="5" t="s">
        <v>214</v>
      </c>
      <c r="H50" s="5" t="s">
        <v>93</v>
      </c>
      <c r="I50" s="5" t="s">
        <v>208</v>
      </c>
      <c r="J50" s="5" t="s">
        <v>90</v>
      </c>
      <c r="K50" s="48" t="s">
        <v>1046</v>
      </c>
      <c r="L50" s="5" t="s">
        <v>1049</v>
      </c>
      <c r="M50" s="5" t="s">
        <v>9</v>
      </c>
      <c r="N50" s="7">
        <v>0</v>
      </c>
      <c r="O50" s="7">
        <v>3.1</v>
      </c>
      <c r="P50" s="7" t="s">
        <v>71</v>
      </c>
      <c r="Q50" s="5" t="s">
        <v>209</v>
      </c>
      <c r="R50" s="5" t="s">
        <v>27</v>
      </c>
      <c r="S50" s="5" t="s">
        <v>53</v>
      </c>
      <c r="T50" s="5" t="s">
        <v>1335</v>
      </c>
      <c r="U50" s="9">
        <v>1.3</v>
      </c>
      <c r="V50" s="9">
        <f t="shared" si="0"/>
        <v>-1.2417131323087829</v>
      </c>
      <c r="W50" s="9"/>
      <c r="X50" s="9"/>
      <c r="Y50" s="9">
        <f>1400/1000+O50</f>
        <v>4.5</v>
      </c>
      <c r="Z50" s="9"/>
      <c r="AA50" s="5" t="s">
        <v>12</v>
      </c>
      <c r="AB50" s="7" t="s">
        <v>1123</v>
      </c>
      <c r="AC50" s="5" t="s">
        <v>13</v>
      </c>
      <c r="AD50" s="3">
        <v>9</v>
      </c>
      <c r="AE50" s="5" t="s">
        <v>14</v>
      </c>
      <c r="AF50" s="5" t="s">
        <v>97</v>
      </c>
      <c r="AG50" s="5" t="s">
        <v>14</v>
      </c>
      <c r="AH50" s="5" t="s">
        <v>8</v>
      </c>
      <c r="AI50" s="5" t="s">
        <v>14</v>
      </c>
      <c r="AJ50" s="5" t="s">
        <v>8</v>
      </c>
      <c r="AK50" s="5" t="s">
        <v>210</v>
      </c>
      <c r="AL50" s="5" t="s">
        <v>8</v>
      </c>
      <c r="AM50" s="5">
        <v>2012</v>
      </c>
      <c r="AN50" s="5" t="s">
        <v>67</v>
      </c>
      <c r="AO50" s="5" t="s">
        <v>67</v>
      </c>
      <c r="AP50" s="5" t="s">
        <v>206</v>
      </c>
      <c r="AQ50" s="5" t="s">
        <v>212</v>
      </c>
      <c r="AR50" s="26">
        <v>1.9999999999999999E-7</v>
      </c>
      <c r="AU50" s="20">
        <v>4.3000000000000002E-5</v>
      </c>
      <c r="AY50" s="17"/>
      <c r="AZ50" s="17">
        <v>5.3E-3</v>
      </c>
      <c r="BA50" s="17"/>
      <c r="BB50" s="17"/>
      <c r="BC50" s="17">
        <v>3.8E-3</v>
      </c>
      <c r="BD50" s="58">
        <f>LN(AZ50/BC50)</f>
        <v>0.33270575382573614</v>
      </c>
      <c r="BI50" s="25">
        <v>5.7999999999999996E-3</v>
      </c>
      <c r="BJ50" s="25"/>
      <c r="BK50" s="25"/>
      <c r="BL50" s="25">
        <v>2.9999999999999997E-4</v>
      </c>
      <c r="BM50" s="58">
        <f>LN(BI50/BL50)</f>
        <v>2.9618307218783095</v>
      </c>
      <c r="DK50" s="5">
        <v>0.62</v>
      </c>
      <c r="DL50" s="9"/>
      <c r="DM50" s="9"/>
      <c r="DN50" s="9">
        <v>0.03</v>
      </c>
      <c r="DO50" s="9">
        <v>0.62</v>
      </c>
      <c r="DR50" s="9">
        <v>0.03</v>
      </c>
      <c r="EI50" s="24">
        <v>7.5100000000000001E-6</v>
      </c>
      <c r="EL50" s="18">
        <v>2E-8</v>
      </c>
      <c r="EM50" s="9">
        <v>1800</v>
      </c>
      <c r="EN50" s="9"/>
      <c r="EO50" s="9"/>
      <c r="EP50" s="9">
        <v>130</v>
      </c>
      <c r="EQ50" s="9">
        <v>9.4</v>
      </c>
      <c r="ER50" s="9"/>
      <c r="ES50" s="9"/>
      <c r="ET50" s="9">
        <v>0.1</v>
      </c>
      <c r="EU50" s="9"/>
      <c r="EY50" s="17">
        <v>3.7499999999999999E-3</v>
      </c>
      <c r="EZ50" s="17"/>
      <c r="FA50" s="17"/>
      <c r="FB50" s="17">
        <v>2.3E-3</v>
      </c>
    </row>
    <row r="51" spans="1:186" ht="13.15" hidden="1" customHeight="1" x14ac:dyDescent="0.2">
      <c r="A51" s="3" t="s">
        <v>1</v>
      </c>
      <c r="B51" s="4" t="s">
        <v>215</v>
      </c>
      <c r="C51" s="28">
        <v>2018</v>
      </c>
      <c r="D51" s="16">
        <v>22</v>
      </c>
      <c r="E51" s="16">
        <v>2</v>
      </c>
      <c r="F51" s="63" t="s">
        <v>1054</v>
      </c>
      <c r="G51" s="5" t="s">
        <v>222</v>
      </c>
      <c r="H51" s="5" t="s">
        <v>5</v>
      </c>
      <c r="I51" s="5" t="s">
        <v>223</v>
      </c>
      <c r="J51" s="5" t="s">
        <v>7</v>
      </c>
      <c r="K51" s="5" t="s">
        <v>1046</v>
      </c>
      <c r="L51" s="5" t="s">
        <v>1049</v>
      </c>
      <c r="M51" s="5" t="s">
        <v>9</v>
      </c>
      <c r="N51" s="7">
        <v>0</v>
      </c>
      <c r="O51" s="7">
        <v>1.49</v>
      </c>
      <c r="P51" s="7" t="s">
        <v>115</v>
      </c>
      <c r="Q51" s="5" t="s">
        <v>39</v>
      </c>
      <c r="R51" s="5" t="s">
        <v>27</v>
      </c>
      <c r="S51" s="5" t="s">
        <v>219</v>
      </c>
      <c r="T51" s="5" t="s">
        <v>1335</v>
      </c>
      <c r="U51" s="9">
        <v>2.34</v>
      </c>
      <c r="V51" s="9">
        <f t="shared" si="0"/>
        <v>-0.6693622755365034</v>
      </c>
      <c r="W51" s="9"/>
      <c r="X51" s="9"/>
      <c r="Y51" s="9">
        <f>Z51+O51</f>
        <v>4.57</v>
      </c>
      <c r="Z51" s="9">
        <v>3.08</v>
      </c>
      <c r="AA51" s="5" t="s">
        <v>12</v>
      </c>
      <c r="AB51" s="7" t="s">
        <v>1044</v>
      </c>
      <c r="AC51" s="5" t="s">
        <v>13</v>
      </c>
      <c r="AD51" s="3">
        <v>9</v>
      </c>
      <c r="AE51" s="5" t="s">
        <v>14</v>
      </c>
      <c r="AF51" s="5" t="s">
        <v>83</v>
      </c>
      <c r="AG51" s="5" t="s">
        <v>14</v>
      </c>
      <c r="AH51" s="5" t="s">
        <v>14</v>
      </c>
      <c r="AI51" s="5" t="s">
        <v>14</v>
      </c>
      <c r="AJ51" s="5" t="s">
        <v>14</v>
      </c>
      <c r="AK51" s="5" t="s">
        <v>1029</v>
      </c>
      <c r="AL51" s="5" t="s">
        <v>8</v>
      </c>
      <c r="AM51" s="5">
        <v>2013</v>
      </c>
      <c r="AN51" s="5" t="s">
        <v>67</v>
      </c>
      <c r="AO51" s="5" t="s">
        <v>67</v>
      </c>
      <c r="AP51" s="5" t="s">
        <v>216</v>
      </c>
      <c r="AQ51" s="5" t="s">
        <v>221</v>
      </c>
      <c r="BD51" s="58"/>
      <c r="BM51" s="58"/>
    </row>
    <row r="52" spans="1:186" ht="13.15" hidden="1" customHeight="1" x14ac:dyDescent="0.2">
      <c r="A52" s="3" t="s">
        <v>1</v>
      </c>
      <c r="B52" s="4" t="s">
        <v>215</v>
      </c>
      <c r="C52" s="28">
        <v>2018</v>
      </c>
      <c r="D52" s="16">
        <v>22</v>
      </c>
      <c r="E52" s="16">
        <v>1</v>
      </c>
      <c r="F52" s="63" t="s">
        <v>1054</v>
      </c>
      <c r="G52" s="5" t="s">
        <v>217</v>
      </c>
      <c r="H52" s="5" t="s">
        <v>5</v>
      </c>
      <c r="I52" s="5" t="s">
        <v>218</v>
      </c>
      <c r="J52" s="5" t="s">
        <v>1260</v>
      </c>
      <c r="K52" s="5" t="s">
        <v>726</v>
      </c>
      <c r="L52" s="5" t="s">
        <v>8</v>
      </c>
      <c r="M52" s="5" t="s">
        <v>9</v>
      </c>
      <c r="N52" s="7">
        <v>0</v>
      </c>
      <c r="O52" s="7">
        <v>1.49</v>
      </c>
      <c r="P52" s="7" t="s">
        <v>115</v>
      </c>
      <c r="Q52" s="5" t="s">
        <v>39</v>
      </c>
      <c r="R52" s="5" t="s">
        <v>27</v>
      </c>
      <c r="S52" s="5" t="s">
        <v>219</v>
      </c>
      <c r="T52" s="5" t="s">
        <v>1335</v>
      </c>
      <c r="U52" s="9">
        <v>0.66700000000000004</v>
      </c>
      <c r="V52" s="9">
        <f t="shared" si="0"/>
        <v>-1.9244784379726265</v>
      </c>
      <c r="W52" s="9"/>
      <c r="X52" s="9"/>
      <c r="Y52" s="9">
        <f>Z52+O52</f>
        <v>4.57</v>
      </c>
      <c r="Z52" s="9">
        <v>3.08</v>
      </c>
      <c r="AA52" s="5" t="s">
        <v>12</v>
      </c>
      <c r="AB52" s="7" t="s">
        <v>1123</v>
      </c>
      <c r="AC52" s="5" t="s">
        <v>13</v>
      </c>
      <c r="AD52" s="3">
        <v>9</v>
      </c>
      <c r="AE52" s="5" t="s">
        <v>14</v>
      </c>
      <c r="AF52" s="5" t="s">
        <v>83</v>
      </c>
      <c r="AG52" s="5" t="s">
        <v>8</v>
      </c>
      <c r="AH52" s="5" t="s">
        <v>8</v>
      </c>
      <c r="AI52" s="5" t="s">
        <v>8</v>
      </c>
      <c r="AJ52" s="5" t="s">
        <v>8</v>
      </c>
      <c r="AK52" s="5" t="s">
        <v>1029</v>
      </c>
      <c r="AL52" s="5" t="s">
        <v>8</v>
      </c>
      <c r="AM52" s="5" t="s">
        <v>220</v>
      </c>
      <c r="AN52" s="5" t="s">
        <v>67</v>
      </c>
      <c r="AO52" s="5" t="s">
        <v>67</v>
      </c>
      <c r="AP52" s="5" t="s">
        <v>216</v>
      </c>
      <c r="AQ52" s="5" t="s">
        <v>221</v>
      </c>
      <c r="BD52" s="58"/>
      <c r="BM52" s="58"/>
    </row>
    <row r="53" spans="1:186" ht="13.15" hidden="1" customHeight="1" x14ac:dyDescent="0.2">
      <c r="A53" s="3" t="s">
        <v>1</v>
      </c>
      <c r="B53" s="4" t="s">
        <v>224</v>
      </c>
      <c r="C53" s="28">
        <v>2018</v>
      </c>
      <c r="D53" s="16">
        <v>23</v>
      </c>
      <c r="E53" s="16">
        <v>1</v>
      </c>
      <c r="F53" s="63" t="s">
        <v>1054</v>
      </c>
      <c r="G53" s="5" t="s">
        <v>226</v>
      </c>
      <c r="H53" s="5" t="s">
        <v>5</v>
      </c>
      <c r="I53" s="5" t="s">
        <v>227</v>
      </c>
      <c r="J53" s="5" t="s">
        <v>1260</v>
      </c>
      <c r="K53" s="5" t="s">
        <v>1045</v>
      </c>
      <c r="L53" s="5" t="s">
        <v>8</v>
      </c>
      <c r="M53" s="5" t="s">
        <v>9</v>
      </c>
      <c r="N53" s="7">
        <v>0</v>
      </c>
      <c r="O53" s="7">
        <v>1.49</v>
      </c>
      <c r="P53" s="7" t="s">
        <v>115</v>
      </c>
      <c r="Q53" s="5" t="s">
        <v>39</v>
      </c>
      <c r="R53" s="5" t="s">
        <v>27</v>
      </c>
      <c r="S53" s="5" t="s">
        <v>219</v>
      </c>
      <c r="T53" s="5" t="s">
        <v>1335</v>
      </c>
      <c r="U53" s="9">
        <v>5.3</v>
      </c>
      <c r="V53" s="9">
        <f t="shared" si="0"/>
        <v>0.14819361565196265</v>
      </c>
      <c r="W53" s="9"/>
      <c r="X53" s="9"/>
      <c r="Y53" s="9">
        <f>Z53+O53</f>
        <v>4.57</v>
      </c>
      <c r="Z53" s="9">
        <v>3.08</v>
      </c>
      <c r="AA53" s="5" t="s">
        <v>12</v>
      </c>
      <c r="AB53" s="7" t="s">
        <v>1123</v>
      </c>
      <c r="AC53" s="5" t="s">
        <v>13</v>
      </c>
      <c r="AD53" s="3">
        <v>9</v>
      </c>
      <c r="AE53" s="5" t="s">
        <v>14</v>
      </c>
      <c r="AF53" s="5" t="s">
        <v>1332</v>
      </c>
      <c r="AG53" s="5" t="s">
        <v>8</v>
      </c>
      <c r="AH53" s="5" t="s">
        <v>14</v>
      </c>
      <c r="AI53" s="5" t="s">
        <v>8</v>
      </c>
      <c r="AJ53" s="5" t="s">
        <v>8</v>
      </c>
      <c r="AK53" s="5" t="s">
        <v>228</v>
      </c>
      <c r="AL53" s="5" t="s">
        <v>8</v>
      </c>
      <c r="AM53" s="5" t="s">
        <v>229</v>
      </c>
      <c r="AN53" s="5" t="s">
        <v>67</v>
      </c>
      <c r="AO53" s="5" t="s">
        <v>67</v>
      </c>
      <c r="AP53" s="5" t="s">
        <v>225</v>
      </c>
      <c r="AQ53" s="5" t="s">
        <v>230</v>
      </c>
      <c r="AR53" s="24">
        <v>1.36E-5</v>
      </c>
      <c r="AU53" s="42">
        <v>4.8800000000000003E-7</v>
      </c>
      <c r="AZ53" s="17">
        <v>0.73</v>
      </c>
      <c r="BC53" s="17">
        <v>9.4999999999999998E-3</v>
      </c>
      <c r="BD53" s="58">
        <f>LN(AZ53/BC53)</f>
        <v>4.341752735535942</v>
      </c>
      <c r="BI53" s="25">
        <v>0.16800000000000001</v>
      </c>
      <c r="BL53" s="25">
        <v>9.9200000000000004E-4</v>
      </c>
      <c r="BM53" s="58">
        <f>LN(BI53/BL53)</f>
        <v>5.1319961511005232</v>
      </c>
      <c r="CT53" s="5">
        <v>227</v>
      </c>
      <c r="CW53" s="5">
        <v>66.92</v>
      </c>
      <c r="CX53" s="59">
        <f>LN(CT53/CW53)</f>
        <v>1.2214521413627795</v>
      </c>
      <c r="EY53" s="17">
        <v>4.8000000000000001E-2</v>
      </c>
      <c r="FB53" s="17">
        <v>6.1899999999999998E-4</v>
      </c>
    </row>
    <row r="54" spans="1:186" ht="13.15" hidden="1" customHeight="1" x14ac:dyDescent="0.2">
      <c r="A54" s="3" t="s">
        <v>1</v>
      </c>
      <c r="B54" s="4" t="s">
        <v>231</v>
      </c>
      <c r="C54" s="28">
        <v>2019</v>
      </c>
      <c r="D54" s="16">
        <v>24</v>
      </c>
      <c r="E54" s="16">
        <v>3</v>
      </c>
      <c r="F54" s="63" t="s">
        <v>1057</v>
      </c>
      <c r="G54" s="5" t="s">
        <v>16</v>
      </c>
      <c r="H54" s="5" t="s">
        <v>5</v>
      </c>
      <c r="I54" s="5" t="s">
        <v>59</v>
      </c>
      <c r="J54" s="5" t="s">
        <v>7</v>
      </c>
      <c r="K54" s="5" t="s">
        <v>1046</v>
      </c>
      <c r="L54" s="5" t="s">
        <v>1049</v>
      </c>
      <c r="M54" s="5" t="s">
        <v>9</v>
      </c>
      <c r="N54" s="7">
        <v>1.736</v>
      </c>
      <c r="O54" s="7">
        <v>1.49</v>
      </c>
      <c r="P54" s="7" t="s">
        <v>4</v>
      </c>
      <c r="Q54" s="5" t="s">
        <v>39</v>
      </c>
      <c r="R54" s="5" t="s">
        <v>27</v>
      </c>
      <c r="S54" s="5" t="s">
        <v>96</v>
      </c>
      <c r="T54" s="5" t="s">
        <v>1335</v>
      </c>
      <c r="U54" s="9">
        <v>0.9</v>
      </c>
      <c r="V54" s="9">
        <f t="shared" si="0"/>
        <v>-1.9731546711618788</v>
      </c>
      <c r="W54" s="9"/>
      <c r="X54" s="9"/>
      <c r="Y54" s="9">
        <f>6.72-N54+O54</f>
        <v>6.4740000000000002</v>
      </c>
      <c r="Z54" s="9"/>
      <c r="AA54" s="5" t="s">
        <v>12</v>
      </c>
      <c r="AB54" s="7" t="s">
        <v>1123</v>
      </c>
      <c r="AC54" s="5" t="s">
        <v>13</v>
      </c>
      <c r="AD54" s="3">
        <v>9</v>
      </c>
      <c r="AE54" s="5" t="s">
        <v>14</v>
      </c>
      <c r="AF54" s="5" t="s">
        <v>15</v>
      </c>
      <c r="AG54" s="5" t="s">
        <v>14</v>
      </c>
      <c r="AH54" s="5" t="s">
        <v>8</v>
      </c>
      <c r="AI54" s="5" t="s">
        <v>14</v>
      </c>
      <c r="AJ54" s="5" t="s">
        <v>8</v>
      </c>
      <c r="AK54" s="5" t="s">
        <v>1028</v>
      </c>
      <c r="AL54" s="5" t="s">
        <v>14</v>
      </c>
      <c r="AM54" s="5" t="s">
        <v>234</v>
      </c>
      <c r="AN54" s="5" t="s">
        <v>44</v>
      </c>
      <c r="AO54" s="5" t="s">
        <v>44</v>
      </c>
      <c r="AP54" s="5" t="s">
        <v>232</v>
      </c>
      <c r="AQ54" s="19" t="s">
        <v>233</v>
      </c>
      <c r="BD54" s="58"/>
      <c r="BM54" s="58"/>
    </row>
    <row r="55" spans="1:186" ht="13.15" hidden="1" customHeight="1" x14ac:dyDescent="0.2">
      <c r="A55" s="3" t="s">
        <v>1</v>
      </c>
      <c r="B55" s="4" t="s">
        <v>231</v>
      </c>
      <c r="C55" s="28">
        <v>2019</v>
      </c>
      <c r="D55" s="16">
        <v>24</v>
      </c>
      <c r="E55" s="16">
        <v>2</v>
      </c>
      <c r="F55" s="63" t="s">
        <v>1054</v>
      </c>
      <c r="G55" s="5" t="s">
        <v>16</v>
      </c>
      <c r="H55" s="5" t="s">
        <v>5</v>
      </c>
      <c r="I55" s="5" t="s">
        <v>59</v>
      </c>
      <c r="J55" s="5" t="s">
        <v>7</v>
      </c>
      <c r="K55" s="5" t="s">
        <v>1046</v>
      </c>
      <c r="L55" s="5" t="s">
        <v>1049</v>
      </c>
      <c r="M55" s="5" t="s">
        <v>9</v>
      </c>
      <c r="N55" s="7">
        <v>1.49</v>
      </c>
      <c r="O55" s="7">
        <v>1.49</v>
      </c>
      <c r="P55" s="7" t="s">
        <v>115</v>
      </c>
      <c r="Q55" s="5" t="s">
        <v>39</v>
      </c>
      <c r="R55" s="5" t="s">
        <v>27</v>
      </c>
      <c r="S55" s="5" t="s">
        <v>96</v>
      </c>
      <c r="T55" s="5" t="s">
        <v>1335</v>
      </c>
      <c r="U55" s="9">
        <f>0.95+N55</f>
        <v>2.44</v>
      </c>
      <c r="V55" s="9">
        <f t="shared" si="0"/>
        <v>-0.90142670924200563</v>
      </c>
      <c r="W55" s="9"/>
      <c r="X55" s="9"/>
      <c r="Y55" s="9">
        <f>6.01</f>
        <v>6.01</v>
      </c>
      <c r="Z55" s="9"/>
      <c r="AA55" s="5" t="s">
        <v>12</v>
      </c>
      <c r="AB55" s="7" t="s">
        <v>1123</v>
      </c>
      <c r="AC55" s="5" t="s">
        <v>13</v>
      </c>
      <c r="AD55" s="3">
        <v>9</v>
      </c>
      <c r="AE55" s="5" t="s">
        <v>8</v>
      </c>
      <c r="AF55" s="5" t="s">
        <v>1281</v>
      </c>
      <c r="AG55" s="5" t="s">
        <v>14</v>
      </c>
      <c r="AH55" s="5" t="s">
        <v>8</v>
      </c>
      <c r="AI55" s="5" t="s">
        <v>14</v>
      </c>
      <c r="AJ55" s="5" t="s">
        <v>8</v>
      </c>
      <c r="AK55" s="5" t="s">
        <v>1028</v>
      </c>
      <c r="AL55" s="5" t="s">
        <v>14</v>
      </c>
      <c r="AM55" s="5" t="s">
        <v>235</v>
      </c>
      <c r="AN55" s="5" t="s">
        <v>44</v>
      </c>
      <c r="AO55" s="5" t="s">
        <v>44</v>
      </c>
      <c r="AP55" s="5" t="s">
        <v>232</v>
      </c>
      <c r="AQ55" s="19" t="s">
        <v>233</v>
      </c>
      <c r="BD55" s="58"/>
      <c r="BM55" s="58"/>
    </row>
    <row r="56" spans="1:186" ht="13.15" hidden="1" customHeight="1" x14ac:dyDescent="0.2">
      <c r="A56" s="3" t="s">
        <v>1</v>
      </c>
      <c r="B56" s="4" t="s">
        <v>231</v>
      </c>
      <c r="C56" s="28">
        <v>2019</v>
      </c>
      <c r="D56" s="16">
        <v>24</v>
      </c>
      <c r="E56" s="16">
        <v>1</v>
      </c>
      <c r="F56" s="63" t="s">
        <v>1055</v>
      </c>
      <c r="G56" s="5" t="s">
        <v>200</v>
      </c>
      <c r="H56" s="5" t="s">
        <v>5</v>
      </c>
      <c r="I56" s="5" t="s">
        <v>46</v>
      </c>
      <c r="J56" s="5" t="s">
        <v>90</v>
      </c>
      <c r="K56" s="5" t="s">
        <v>1046</v>
      </c>
      <c r="L56" s="5" t="s">
        <v>1049</v>
      </c>
      <c r="M56" s="5" t="s">
        <v>9</v>
      </c>
      <c r="N56" s="7">
        <v>3.09</v>
      </c>
      <c r="O56" s="7">
        <v>3.14</v>
      </c>
      <c r="P56" s="7" t="s">
        <v>71</v>
      </c>
      <c r="Q56" s="5" t="s">
        <v>39</v>
      </c>
      <c r="R56" s="5" t="s">
        <v>27</v>
      </c>
      <c r="S56" s="5" t="s">
        <v>96</v>
      </c>
      <c r="T56" s="5" t="s">
        <v>1335</v>
      </c>
      <c r="U56" s="9">
        <v>0.35</v>
      </c>
      <c r="V56" s="9">
        <f t="shared" si="0"/>
        <v>-2.4849066497880004</v>
      </c>
      <c r="W56" s="9"/>
      <c r="X56" s="9"/>
      <c r="Y56" s="9">
        <v>4.2</v>
      </c>
      <c r="Z56" s="9"/>
      <c r="AA56" s="5" t="s">
        <v>12</v>
      </c>
      <c r="AB56" s="7" t="s">
        <v>1044</v>
      </c>
      <c r="AC56" s="5" t="s">
        <v>74</v>
      </c>
      <c r="AD56" s="3">
        <v>9</v>
      </c>
      <c r="AE56" s="5" t="s">
        <v>8</v>
      </c>
      <c r="AF56" s="5" t="s">
        <v>1280</v>
      </c>
      <c r="AG56" s="5" t="s">
        <v>14</v>
      </c>
      <c r="AH56" s="5" t="s">
        <v>8</v>
      </c>
      <c r="AI56" s="5" t="s">
        <v>14</v>
      </c>
      <c r="AJ56" s="5" t="s">
        <v>8</v>
      </c>
      <c r="AK56" s="5" t="s">
        <v>1028</v>
      </c>
      <c r="AL56" s="5" t="s">
        <v>14</v>
      </c>
      <c r="AM56" s="5">
        <v>2013</v>
      </c>
      <c r="AN56" s="5" t="s">
        <v>44</v>
      </c>
      <c r="AO56" s="5" t="s">
        <v>44</v>
      </c>
      <c r="AP56" s="5" t="s">
        <v>232</v>
      </c>
      <c r="AQ56" s="19" t="s">
        <v>233</v>
      </c>
      <c r="BD56" s="58"/>
      <c r="BM56" s="58"/>
    </row>
    <row r="57" spans="1:186" ht="13.15" hidden="1" customHeight="1" x14ac:dyDescent="0.2">
      <c r="A57" s="3" t="s">
        <v>1</v>
      </c>
      <c r="B57" s="4" t="s">
        <v>231</v>
      </c>
      <c r="C57" s="28">
        <v>2019</v>
      </c>
      <c r="D57" s="16">
        <v>24</v>
      </c>
      <c r="E57" s="16">
        <v>1</v>
      </c>
      <c r="F57" s="63" t="s">
        <v>1057</v>
      </c>
      <c r="G57" s="5" t="s">
        <v>16</v>
      </c>
      <c r="H57" s="5" t="s">
        <v>5</v>
      </c>
      <c r="I57" s="5" t="s">
        <v>46</v>
      </c>
      <c r="J57" s="5" t="s">
        <v>90</v>
      </c>
      <c r="K57" s="48" t="s">
        <v>1046</v>
      </c>
      <c r="L57" s="5" t="s">
        <v>1049</v>
      </c>
      <c r="M57" s="5" t="s">
        <v>9</v>
      </c>
      <c r="N57" s="7">
        <v>1.736</v>
      </c>
      <c r="O57" s="7">
        <v>1.49</v>
      </c>
      <c r="P57" s="7" t="s">
        <v>4</v>
      </c>
      <c r="Q57" s="5" t="s">
        <v>39</v>
      </c>
      <c r="R57" s="5" t="s">
        <v>27</v>
      </c>
      <c r="S57" s="5" t="s">
        <v>96</v>
      </c>
      <c r="T57" s="5" t="s">
        <v>1335</v>
      </c>
      <c r="U57" s="9">
        <v>0.75</v>
      </c>
      <c r="V57" s="9">
        <f t="shared" si="0"/>
        <v>-2.1554762279558335</v>
      </c>
      <c r="W57" s="9"/>
      <c r="X57" s="9"/>
      <c r="Y57" s="9">
        <f>6.72-N57+O57</f>
        <v>6.4740000000000002</v>
      </c>
      <c r="Z57" s="9"/>
      <c r="AA57" s="5" t="s">
        <v>12</v>
      </c>
      <c r="AB57" s="7" t="s">
        <v>1123</v>
      </c>
      <c r="AC57" s="5" t="s">
        <v>13</v>
      </c>
      <c r="AD57" s="3">
        <v>9</v>
      </c>
      <c r="AE57" s="5" t="s">
        <v>14</v>
      </c>
      <c r="AF57" s="5" t="s">
        <v>15</v>
      </c>
      <c r="AG57" s="5" t="s">
        <v>14</v>
      </c>
      <c r="AH57" s="5" t="s">
        <v>8</v>
      </c>
      <c r="AI57" s="5" t="s">
        <v>14</v>
      </c>
      <c r="AJ57" s="5" t="s">
        <v>8</v>
      </c>
      <c r="AK57" s="5" t="s">
        <v>1028</v>
      </c>
      <c r="AL57" s="5" t="s">
        <v>14</v>
      </c>
      <c r="AM57" s="5" t="s">
        <v>234</v>
      </c>
      <c r="AN57" s="5" t="s">
        <v>44</v>
      </c>
      <c r="AO57" s="5" t="s">
        <v>44</v>
      </c>
      <c r="AP57" s="5" t="s">
        <v>232</v>
      </c>
      <c r="AQ57" s="19" t="s">
        <v>233</v>
      </c>
      <c r="BD57" s="58"/>
      <c r="BM57" s="58"/>
    </row>
    <row r="58" spans="1:186" ht="13.15" hidden="1" customHeight="1" x14ac:dyDescent="0.2">
      <c r="A58" s="3" t="s">
        <v>1</v>
      </c>
      <c r="B58" s="4" t="s">
        <v>231</v>
      </c>
      <c r="C58" s="28">
        <v>2019</v>
      </c>
      <c r="D58" s="16">
        <v>24</v>
      </c>
      <c r="E58" s="16">
        <v>3</v>
      </c>
      <c r="F58" s="63" t="s">
        <v>1054</v>
      </c>
      <c r="G58" s="5" t="s">
        <v>16</v>
      </c>
      <c r="H58" s="5" t="s">
        <v>5</v>
      </c>
      <c r="I58" s="5" t="s">
        <v>46</v>
      </c>
      <c r="J58" s="5" t="s">
        <v>90</v>
      </c>
      <c r="K58" s="48" t="s">
        <v>1046</v>
      </c>
      <c r="L58" s="5" t="s">
        <v>1049</v>
      </c>
      <c r="M58" s="5" t="s">
        <v>9</v>
      </c>
      <c r="N58" s="7">
        <v>1.49</v>
      </c>
      <c r="O58" s="7">
        <v>1.49</v>
      </c>
      <c r="P58" s="7" t="s">
        <v>115</v>
      </c>
      <c r="Q58" s="5" t="s">
        <v>39</v>
      </c>
      <c r="R58" s="5" t="s">
        <v>27</v>
      </c>
      <c r="S58" s="5" t="s">
        <v>96</v>
      </c>
      <c r="T58" s="5" t="s">
        <v>1335</v>
      </c>
      <c r="U58" s="9">
        <f>0.9+N58</f>
        <v>2.39</v>
      </c>
      <c r="V58" s="9">
        <f t="shared" si="0"/>
        <v>-0.92213138260369687</v>
      </c>
      <c r="W58" s="9"/>
      <c r="X58" s="9"/>
      <c r="Y58" s="9">
        <v>6.01</v>
      </c>
      <c r="Z58" s="9"/>
      <c r="AA58" s="5" t="s">
        <v>12</v>
      </c>
      <c r="AB58" s="7" t="s">
        <v>1123</v>
      </c>
      <c r="AC58" s="5" t="s">
        <v>13</v>
      </c>
      <c r="AD58" s="3">
        <v>9</v>
      </c>
      <c r="AE58" s="5" t="s">
        <v>8</v>
      </c>
      <c r="AF58" s="5" t="s">
        <v>1281</v>
      </c>
      <c r="AG58" s="5" t="s">
        <v>14</v>
      </c>
      <c r="AH58" s="5" t="s">
        <v>8</v>
      </c>
      <c r="AI58" s="5" t="s">
        <v>14</v>
      </c>
      <c r="AJ58" s="5" t="s">
        <v>8</v>
      </c>
      <c r="AK58" s="5" t="s">
        <v>1028</v>
      </c>
      <c r="AL58" s="5" t="s">
        <v>14</v>
      </c>
      <c r="AM58" s="5" t="s">
        <v>235</v>
      </c>
      <c r="AN58" s="5" t="s">
        <v>44</v>
      </c>
      <c r="AO58" s="5" t="s">
        <v>44</v>
      </c>
      <c r="AP58" s="5" t="s">
        <v>232</v>
      </c>
      <c r="AQ58" s="19" t="s">
        <v>233</v>
      </c>
      <c r="BD58" s="58"/>
      <c r="BM58" s="58"/>
    </row>
    <row r="59" spans="1:186" ht="13.15" hidden="1" customHeight="1" x14ac:dyDescent="0.2">
      <c r="A59" s="3" t="s">
        <v>1</v>
      </c>
      <c r="B59" s="5" t="s">
        <v>1031</v>
      </c>
      <c r="C59" s="28">
        <v>2020</v>
      </c>
      <c r="D59" s="16">
        <v>25</v>
      </c>
      <c r="E59" s="16">
        <v>1</v>
      </c>
      <c r="F59" s="5" t="s">
        <v>1032</v>
      </c>
      <c r="G59" s="5" t="s">
        <v>1033</v>
      </c>
      <c r="H59" s="5" t="s">
        <v>93</v>
      </c>
      <c r="I59" s="5" t="s">
        <v>1034</v>
      </c>
      <c r="J59" s="5" t="s">
        <v>25</v>
      </c>
      <c r="K59" s="5" t="s">
        <v>1045</v>
      </c>
      <c r="L59" s="5" t="s">
        <v>8</v>
      </c>
      <c r="M59" s="5" t="s">
        <v>9</v>
      </c>
      <c r="N59" s="7">
        <v>0</v>
      </c>
      <c r="O59" s="7">
        <v>1.69</v>
      </c>
      <c r="P59" s="50" t="s">
        <v>1035</v>
      </c>
      <c r="Q59" s="48" t="s">
        <v>309</v>
      </c>
      <c r="R59" s="48" t="s">
        <v>1028</v>
      </c>
      <c r="S59" s="48" t="s">
        <v>96</v>
      </c>
      <c r="T59" s="5" t="s">
        <v>1335</v>
      </c>
      <c r="U59" s="9">
        <v>2.52</v>
      </c>
      <c r="V59" s="9">
        <f t="shared" si="0"/>
        <v>-0.32277339226305102</v>
      </c>
      <c r="W59" s="9"/>
      <c r="X59" s="9"/>
      <c r="Y59" s="9">
        <f>1.79+O59</f>
        <v>3.48</v>
      </c>
      <c r="Z59" s="9"/>
      <c r="AA59" s="5" t="s">
        <v>12</v>
      </c>
      <c r="AB59" s="7" t="s">
        <v>1123</v>
      </c>
      <c r="AC59" s="5" t="s">
        <v>13</v>
      </c>
      <c r="AD59" s="3">
        <v>9</v>
      </c>
      <c r="AE59" s="5" t="s">
        <v>14</v>
      </c>
      <c r="AF59" s="5" t="s">
        <v>97</v>
      </c>
      <c r="AG59" s="5" t="s">
        <v>14</v>
      </c>
      <c r="AH59" s="5" t="s">
        <v>14</v>
      </c>
      <c r="AI59" s="5" t="s">
        <v>14</v>
      </c>
      <c r="AJ59" s="5" t="s">
        <v>14</v>
      </c>
      <c r="AK59" s="5" t="s">
        <v>363</v>
      </c>
      <c r="AL59" s="5" t="s">
        <v>8</v>
      </c>
      <c r="AM59" s="5" t="s">
        <v>1036</v>
      </c>
      <c r="AN59" s="5" t="s">
        <v>27</v>
      </c>
      <c r="AO59" s="5" t="s">
        <v>1028</v>
      </c>
      <c r="AP59" s="5" t="s">
        <v>1125</v>
      </c>
      <c r="AQ59" s="5" t="s">
        <v>1037</v>
      </c>
      <c r="AR59" s="9">
        <v>1.15E-7</v>
      </c>
      <c r="AU59" s="9">
        <v>7.7999999999999997E-8</v>
      </c>
      <c r="AZ59" s="5">
        <v>8.1717969999999997E-3</v>
      </c>
      <c r="BC59" s="5">
        <v>6.0780610000000001E-3</v>
      </c>
      <c r="BI59" s="5">
        <v>7.8389400000000004E-4</v>
      </c>
      <c r="BL59" s="5">
        <v>4.1891299999999998E-4</v>
      </c>
      <c r="BM59" s="59">
        <f>LN(BI59/BL59)</f>
        <v>0.62661054599683974</v>
      </c>
      <c r="DK59" s="5">
        <v>0.61190343000000003</v>
      </c>
      <c r="DN59" s="5">
        <v>0.43471187</v>
      </c>
      <c r="DO59" s="5">
        <v>2.0566023999999999E-2</v>
      </c>
      <c r="DR59" s="5">
        <v>1.2544207999999999E-2</v>
      </c>
      <c r="EM59" s="5">
        <v>1.8866094999999999E-2</v>
      </c>
      <c r="EP59" s="5">
        <v>1.2498356E-2</v>
      </c>
      <c r="EQ59" s="5">
        <v>1.3427299999999999E-4</v>
      </c>
      <c r="ET59" s="5">
        <v>1.1281399999999999E-4</v>
      </c>
      <c r="EY59" s="5">
        <v>5.2971110000000002E-3</v>
      </c>
      <c r="FB59" s="5">
        <v>5.0654599999999999E-3</v>
      </c>
      <c r="FG59" s="5">
        <v>4.5611030000000004E-3</v>
      </c>
      <c r="FJ59" s="5">
        <v>2.2130829999999998E-3</v>
      </c>
      <c r="FK59" s="5">
        <v>0.19295201000000001</v>
      </c>
      <c r="FN59" s="5">
        <v>0.1451461</v>
      </c>
      <c r="FO59" s="5">
        <v>4.7759696999999997E-2</v>
      </c>
      <c r="FR59" s="5">
        <v>7.4453280000000002E-3</v>
      </c>
      <c r="FS59" s="5">
        <v>2.4991199999999997E-4</v>
      </c>
      <c r="FV59" s="5">
        <v>1.3994100000000001E-4</v>
      </c>
      <c r="FW59" s="5">
        <v>3.2031812999999999E-2</v>
      </c>
      <c r="FZ59" s="5">
        <v>6.0617776999999998E-2</v>
      </c>
      <c r="GA59" s="5">
        <v>0.54646788999999996</v>
      </c>
      <c r="GD59" s="5">
        <v>1.1672442999999999</v>
      </c>
    </row>
    <row r="60" spans="1:186" ht="13.15" hidden="1" customHeight="1" x14ac:dyDescent="0.2">
      <c r="A60" s="3" t="s">
        <v>1</v>
      </c>
      <c r="B60" s="4" t="s">
        <v>236</v>
      </c>
      <c r="C60" s="28">
        <v>2020</v>
      </c>
      <c r="D60" s="16">
        <v>26</v>
      </c>
      <c r="E60" s="16">
        <v>1</v>
      </c>
      <c r="F60" s="5" t="s">
        <v>1079</v>
      </c>
      <c r="G60" s="5" t="s">
        <v>98</v>
      </c>
      <c r="H60" s="5" t="s">
        <v>93</v>
      </c>
      <c r="I60" s="5" t="s">
        <v>185</v>
      </c>
      <c r="J60" s="5" t="s">
        <v>25</v>
      </c>
      <c r="K60" s="5" t="s">
        <v>726</v>
      </c>
      <c r="L60" s="5" t="s">
        <v>8</v>
      </c>
      <c r="M60" s="5" t="s">
        <v>9</v>
      </c>
      <c r="N60" s="7">
        <v>0</v>
      </c>
      <c r="O60" s="7">
        <v>1.639</v>
      </c>
      <c r="P60" s="7" t="s">
        <v>238</v>
      </c>
      <c r="Q60" s="5" t="s">
        <v>39</v>
      </c>
      <c r="R60" s="5" t="s">
        <v>1028</v>
      </c>
      <c r="S60" s="5" t="s">
        <v>96</v>
      </c>
      <c r="T60" s="5" t="s">
        <v>1335</v>
      </c>
      <c r="U60" s="9">
        <v>4.57</v>
      </c>
      <c r="V60" s="9">
        <f t="shared" si="0"/>
        <v>-0.83661265501596194</v>
      </c>
      <c r="W60" s="9"/>
      <c r="X60" s="9"/>
      <c r="Y60" s="9">
        <f>8.911+O60</f>
        <v>10.549999999999999</v>
      </c>
      <c r="Z60" s="9"/>
      <c r="AA60" s="5" t="s">
        <v>12</v>
      </c>
      <c r="AB60" s="7" t="s">
        <v>1123</v>
      </c>
      <c r="AC60" s="5" t="s">
        <v>13</v>
      </c>
      <c r="AD60" s="3">
        <v>9</v>
      </c>
      <c r="AE60" s="5" t="s">
        <v>14</v>
      </c>
      <c r="AF60" s="5" t="s">
        <v>83</v>
      </c>
      <c r="AG60" s="5" t="s">
        <v>14</v>
      </c>
      <c r="AH60" s="5" t="s">
        <v>8</v>
      </c>
      <c r="AI60" s="5" t="s">
        <v>8</v>
      </c>
      <c r="AJ60" s="5" t="s">
        <v>8</v>
      </c>
      <c r="AK60" s="5" t="s">
        <v>84</v>
      </c>
      <c r="AL60" s="5" t="s">
        <v>8</v>
      </c>
      <c r="AM60" s="5">
        <v>2019</v>
      </c>
      <c r="AN60" s="5" t="s">
        <v>137</v>
      </c>
      <c r="AO60" s="5" t="s">
        <v>137</v>
      </c>
      <c r="AP60" s="5" t="s">
        <v>237</v>
      </c>
      <c r="AQ60" s="5" t="s">
        <v>239</v>
      </c>
      <c r="BD60" s="58"/>
      <c r="BM60" s="58"/>
      <c r="CH60" s="5">
        <v>5.52</v>
      </c>
      <c r="CK60" s="5">
        <v>179.62</v>
      </c>
    </row>
    <row r="61" spans="1:186" ht="13.15" hidden="1" customHeight="1" x14ac:dyDescent="0.25">
      <c r="A61" s="3" t="s">
        <v>329</v>
      </c>
      <c r="B61" s="65" t="s">
        <v>1252</v>
      </c>
      <c r="C61" s="28">
        <v>2023</v>
      </c>
      <c r="D61" s="16">
        <v>128</v>
      </c>
      <c r="E61" s="16">
        <v>1</v>
      </c>
      <c r="F61" t="s">
        <v>1253</v>
      </c>
      <c r="G61" s="5" t="s">
        <v>1256</v>
      </c>
      <c r="H61" s="5" t="s">
        <v>1257</v>
      </c>
      <c r="I61" s="5" t="s">
        <v>1255</v>
      </c>
      <c r="J61" s="5" t="s">
        <v>631</v>
      </c>
      <c r="K61" s="5" t="s">
        <v>1046</v>
      </c>
      <c r="L61" s="5" t="s">
        <v>8</v>
      </c>
      <c r="M61" s="5" t="s">
        <v>61</v>
      </c>
      <c r="N61" s="7">
        <v>1.5</v>
      </c>
      <c r="O61" s="8">
        <f>((10*12.01)/192.2)*(44/12)</f>
        <v>2.2911897329171005</v>
      </c>
      <c r="P61" s="7" t="s">
        <v>866</v>
      </c>
      <c r="Q61" s="5" t="s">
        <v>309</v>
      </c>
      <c r="R61" s="5" t="s">
        <v>67</v>
      </c>
      <c r="S61" s="5" t="s">
        <v>1251</v>
      </c>
      <c r="T61" s="5" t="s">
        <v>1335</v>
      </c>
      <c r="U61" s="9">
        <f>2.5+N61</f>
        <v>4</v>
      </c>
      <c r="V61" s="9">
        <f t="shared" ref="V61:V124" si="4">LN(U61/Y61)</f>
        <v>-0.27406282501899354</v>
      </c>
      <c r="Y61" s="9">
        <f>2.97+O61</f>
        <v>5.2611897329171011</v>
      </c>
      <c r="AA61" s="5" t="s">
        <v>12</v>
      </c>
      <c r="AB61" s="7" t="s">
        <v>1044</v>
      </c>
      <c r="AC61" s="5" t="s">
        <v>74</v>
      </c>
      <c r="AD61" s="5">
        <v>9</v>
      </c>
      <c r="AE61" s="5" t="s">
        <v>14</v>
      </c>
      <c r="AF61" s="5" t="s">
        <v>29</v>
      </c>
      <c r="AG61" s="5" t="s">
        <v>8</v>
      </c>
      <c r="AH61" s="5" t="s">
        <v>8</v>
      </c>
      <c r="AI61" s="5" t="s">
        <v>8</v>
      </c>
      <c r="AJ61" s="5" t="s">
        <v>14</v>
      </c>
      <c r="AK61" s="5" t="s">
        <v>196</v>
      </c>
      <c r="AL61" s="5" t="s">
        <v>14</v>
      </c>
      <c r="AM61" s="5" t="s">
        <v>1254</v>
      </c>
      <c r="AN61" s="5" t="s">
        <v>67</v>
      </c>
      <c r="AO61" s="5" t="s">
        <v>67</v>
      </c>
      <c r="AP61" s="5" t="s">
        <v>1259</v>
      </c>
      <c r="AQ61" s="5" t="s">
        <v>1258</v>
      </c>
      <c r="BM61" s="59"/>
    </row>
    <row r="62" spans="1:186" ht="13.15" hidden="1" customHeight="1" x14ac:dyDescent="0.25">
      <c r="A62" s="3" t="s">
        <v>329</v>
      </c>
      <c r="B62" s="65" t="s">
        <v>1268</v>
      </c>
      <c r="C62" s="28">
        <v>2013</v>
      </c>
      <c r="D62" s="16">
        <v>130</v>
      </c>
      <c r="E62" s="16">
        <v>1</v>
      </c>
      <c r="F62" s="5" t="s">
        <v>1270</v>
      </c>
      <c r="G62" s="5" t="s">
        <v>1272</v>
      </c>
      <c r="H62" s="5" t="s">
        <v>93</v>
      </c>
      <c r="I62" s="5" t="s">
        <v>59</v>
      </c>
      <c r="J62" s="5" t="s">
        <v>7</v>
      </c>
      <c r="K62" s="5" t="s">
        <v>1046</v>
      </c>
      <c r="L62" s="5" t="s">
        <v>52</v>
      </c>
      <c r="M62" s="5" t="s">
        <v>9</v>
      </c>
      <c r="N62" s="85">
        <v>1.4327157180117016</v>
      </c>
      <c r="O62" s="85">
        <v>1.4327157180117016</v>
      </c>
      <c r="P62" s="7" t="s">
        <v>1273</v>
      </c>
      <c r="Q62" s="5" t="s">
        <v>309</v>
      </c>
      <c r="R62" s="5" t="s">
        <v>67</v>
      </c>
      <c r="S62" s="5" t="s">
        <v>767</v>
      </c>
      <c r="T62" s="5" t="s">
        <v>1335</v>
      </c>
      <c r="U62" s="9">
        <f>-0.09+N62</f>
        <v>1.3427157180117015</v>
      </c>
      <c r="V62" s="9">
        <f t="shared" si="4"/>
        <v>-0.7880311109522754</v>
      </c>
      <c r="Y62" s="9">
        <f>O62+1.52</f>
        <v>2.9527157180117016</v>
      </c>
      <c r="AA62" s="5" t="s">
        <v>12</v>
      </c>
      <c r="AB62" s="7" t="s">
        <v>1043</v>
      </c>
      <c r="AC62" s="5" t="s">
        <v>632</v>
      </c>
      <c r="AD62" s="5">
        <v>9</v>
      </c>
      <c r="AE62" s="5" t="s">
        <v>8</v>
      </c>
      <c r="AF62" s="5" t="s">
        <v>1274</v>
      </c>
      <c r="AG62" s="5" t="s">
        <v>14</v>
      </c>
      <c r="AH62" s="5" t="s">
        <v>14</v>
      </c>
      <c r="AI62" s="5" t="s">
        <v>14</v>
      </c>
      <c r="AJ62" s="5" t="s">
        <v>14</v>
      </c>
      <c r="AK62" s="5" t="s">
        <v>822</v>
      </c>
      <c r="AL62" s="5" t="s">
        <v>8</v>
      </c>
      <c r="AM62" s="5" t="s">
        <v>1271</v>
      </c>
      <c r="AN62" s="5" t="s">
        <v>67</v>
      </c>
      <c r="AO62" s="5" t="s">
        <v>44</v>
      </c>
      <c r="AP62" s="5" t="s">
        <v>1269</v>
      </c>
      <c r="AQ62" s="5" t="s">
        <v>1275</v>
      </c>
      <c r="BM62" s="59"/>
      <c r="CT62" s="5">
        <v>13.8</v>
      </c>
      <c r="CW62" s="5">
        <v>44.8</v>
      </c>
      <c r="CX62" s="59">
        <f>LN(CT62/CW62)</f>
        <v>-1.1775395472577803</v>
      </c>
    </row>
    <row r="63" spans="1:186" s="114" customFormat="1" ht="13.15" hidden="1" customHeight="1" x14ac:dyDescent="0.2">
      <c r="A63" s="114" t="s">
        <v>329</v>
      </c>
      <c r="B63" s="115" t="s">
        <v>386</v>
      </c>
      <c r="C63" s="116">
        <v>2017</v>
      </c>
      <c r="D63" s="117">
        <v>46</v>
      </c>
      <c r="E63" s="117">
        <v>2</v>
      </c>
      <c r="F63" s="139" t="s">
        <v>1084</v>
      </c>
      <c r="G63" s="19" t="s">
        <v>392</v>
      </c>
      <c r="H63" s="5" t="s">
        <v>5</v>
      </c>
      <c r="I63" s="5" t="s">
        <v>37</v>
      </c>
      <c r="J63" s="5" t="s">
        <v>25</v>
      </c>
      <c r="K63" s="5" t="s">
        <v>1045</v>
      </c>
      <c r="L63" s="5" t="s">
        <v>8</v>
      </c>
      <c r="M63" s="5" t="s">
        <v>61</v>
      </c>
      <c r="N63" s="7">
        <v>1.87</v>
      </c>
      <c r="O63" s="7">
        <v>1.87</v>
      </c>
      <c r="P63" s="118" t="s">
        <v>391</v>
      </c>
      <c r="Q63" s="114" t="s">
        <v>309</v>
      </c>
      <c r="R63" s="114" t="s">
        <v>18</v>
      </c>
      <c r="S63" s="114" t="s">
        <v>383</v>
      </c>
      <c r="T63" s="114" t="s">
        <v>1335</v>
      </c>
      <c r="U63" s="119">
        <f>N63+0.53</f>
        <v>2.4000000000000004</v>
      </c>
      <c r="V63" s="119">
        <f t="shared" si="4"/>
        <v>-0.64404446755221323</v>
      </c>
      <c r="W63" s="119"/>
      <c r="X63" s="119"/>
      <c r="Y63" s="119">
        <f>2.7+O63</f>
        <v>4.57</v>
      </c>
      <c r="Z63" s="119"/>
      <c r="AA63" s="114" t="s">
        <v>12</v>
      </c>
      <c r="AB63" s="118" t="s">
        <v>1123</v>
      </c>
      <c r="AC63" s="114" t="s">
        <v>13</v>
      </c>
      <c r="AD63" s="114">
        <v>9</v>
      </c>
      <c r="AE63" s="114" t="s">
        <v>14</v>
      </c>
      <c r="AF63" s="114" t="s">
        <v>97</v>
      </c>
      <c r="AG63" s="114" t="s">
        <v>14</v>
      </c>
      <c r="AH63" s="114" t="s">
        <v>8</v>
      </c>
      <c r="AI63" s="114" t="s">
        <v>8</v>
      </c>
      <c r="AJ63" s="114" t="s">
        <v>8</v>
      </c>
      <c r="AK63" s="114" t="s">
        <v>116</v>
      </c>
      <c r="AL63" s="114" t="s">
        <v>8</v>
      </c>
      <c r="AM63" s="114" t="s">
        <v>389</v>
      </c>
      <c r="AN63" s="114" t="s">
        <v>18</v>
      </c>
      <c r="AO63" s="114" t="s">
        <v>18</v>
      </c>
      <c r="AP63" s="121" t="s">
        <v>387</v>
      </c>
      <c r="AQ63" s="114" t="s">
        <v>390</v>
      </c>
      <c r="BD63" s="123"/>
      <c r="BM63" s="123"/>
      <c r="CX63" s="125"/>
    </row>
    <row r="64" spans="1:186" ht="13.15" hidden="1" customHeight="1" x14ac:dyDescent="0.25">
      <c r="A64" s="3" t="s">
        <v>329</v>
      </c>
      <c r="B64" s="65" t="s">
        <v>507</v>
      </c>
      <c r="C64" s="28">
        <v>2017</v>
      </c>
      <c r="D64" s="16">
        <v>64</v>
      </c>
      <c r="E64" s="16">
        <v>1</v>
      </c>
      <c r="F64" s="5" t="s">
        <v>1069</v>
      </c>
      <c r="G64" s="5" t="s">
        <v>509</v>
      </c>
      <c r="H64" s="5" t="s">
        <v>93</v>
      </c>
      <c r="I64" s="5" t="s">
        <v>510</v>
      </c>
      <c r="J64" s="5" t="s">
        <v>7</v>
      </c>
      <c r="K64" s="5" t="s">
        <v>1046</v>
      </c>
      <c r="L64" s="5" t="s">
        <v>1049</v>
      </c>
      <c r="M64" s="5" t="s">
        <v>9</v>
      </c>
      <c r="N64" s="85">
        <v>0</v>
      </c>
      <c r="O64" s="85">
        <v>3.13</v>
      </c>
      <c r="P64" s="7" t="s">
        <v>869</v>
      </c>
      <c r="Q64" s="5" t="s">
        <v>309</v>
      </c>
      <c r="R64" s="5" t="s">
        <v>27</v>
      </c>
      <c r="S64" s="5" t="s">
        <v>413</v>
      </c>
      <c r="T64" s="5" t="s">
        <v>1335</v>
      </c>
      <c r="U64" s="9">
        <v>1.524</v>
      </c>
      <c r="V64" s="9">
        <f t="shared" si="4"/>
        <v>-1.2273201683229269</v>
      </c>
      <c r="W64" s="9"/>
      <c r="X64" s="9"/>
      <c r="Y64" s="9">
        <f>2.07+O64</f>
        <v>5.1999999999999993</v>
      </c>
      <c r="Z64" s="9">
        <v>2.0699999999999998</v>
      </c>
      <c r="AA64" s="5" t="s">
        <v>12</v>
      </c>
      <c r="AB64" s="62" t="s">
        <v>1043</v>
      </c>
      <c r="AC64" s="5" t="s">
        <v>13</v>
      </c>
      <c r="AD64" s="3">
        <v>9</v>
      </c>
      <c r="AE64" s="5" t="s">
        <v>8</v>
      </c>
      <c r="AF64" s="5" t="s">
        <v>1301</v>
      </c>
      <c r="AG64" s="19" t="s">
        <v>8</v>
      </c>
      <c r="AH64" s="19" t="s">
        <v>8</v>
      </c>
      <c r="AI64" s="19" t="s">
        <v>8</v>
      </c>
      <c r="AJ64" s="19" t="s">
        <v>8</v>
      </c>
      <c r="AK64" s="5" t="s">
        <v>187</v>
      </c>
      <c r="AL64" s="5" t="s">
        <v>8</v>
      </c>
      <c r="AM64" s="5" t="s">
        <v>364</v>
      </c>
      <c r="AN64" s="5" t="s">
        <v>511</v>
      </c>
      <c r="AO64" s="5" t="s">
        <v>1028</v>
      </c>
      <c r="AP64" s="19" t="s">
        <v>508</v>
      </c>
      <c r="AQ64" s="19" t="s">
        <v>512</v>
      </c>
      <c r="BD64" s="58"/>
      <c r="BM64" s="58"/>
    </row>
    <row r="65" spans="1:202" s="103" customFormat="1" ht="13.15" hidden="1" customHeight="1" x14ac:dyDescent="0.2">
      <c r="A65" s="114" t="s">
        <v>329</v>
      </c>
      <c r="B65" s="115" t="s">
        <v>386</v>
      </c>
      <c r="C65" s="116">
        <v>2017</v>
      </c>
      <c r="D65" s="117">
        <v>46</v>
      </c>
      <c r="E65" s="117">
        <v>1</v>
      </c>
      <c r="F65" s="139" t="s">
        <v>1051</v>
      </c>
      <c r="G65" s="19" t="s">
        <v>388</v>
      </c>
      <c r="H65" s="5" t="s">
        <v>5</v>
      </c>
      <c r="I65" s="5" t="s">
        <v>37</v>
      </c>
      <c r="J65" s="5" t="s">
        <v>25</v>
      </c>
      <c r="K65" s="5" t="s">
        <v>1045</v>
      </c>
      <c r="L65" s="5" t="s">
        <v>8</v>
      </c>
      <c r="M65" s="5" t="s">
        <v>61</v>
      </c>
      <c r="N65" s="7">
        <v>1.45</v>
      </c>
      <c r="O65" s="7">
        <v>1.46</v>
      </c>
      <c r="P65" s="118" t="s">
        <v>162</v>
      </c>
      <c r="Q65" s="114" t="s">
        <v>309</v>
      </c>
      <c r="R65" s="114" t="s">
        <v>18</v>
      </c>
      <c r="S65" s="114" t="s">
        <v>383</v>
      </c>
      <c r="T65" s="114" t="s">
        <v>1335</v>
      </c>
      <c r="U65" s="119">
        <f>0.65+N65</f>
        <v>2.1</v>
      </c>
      <c r="V65" s="119">
        <f t="shared" si="4"/>
        <v>-0.43978985064923887</v>
      </c>
      <c r="W65" s="119"/>
      <c r="X65" s="119"/>
      <c r="Y65" s="119">
        <f>1.8+O65</f>
        <v>3.26</v>
      </c>
      <c r="Z65" s="119"/>
      <c r="AA65" s="114" t="s">
        <v>12</v>
      </c>
      <c r="AB65" s="118" t="s">
        <v>1123</v>
      </c>
      <c r="AC65" s="114" t="s">
        <v>13</v>
      </c>
      <c r="AD65" s="114">
        <v>9</v>
      </c>
      <c r="AE65" s="114" t="s">
        <v>14</v>
      </c>
      <c r="AF65" s="114" t="s">
        <v>97</v>
      </c>
      <c r="AG65" s="114" t="s">
        <v>14</v>
      </c>
      <c r="AH65" s="114" t="s">
        <v>8</v>
      </c>
      <c r="AI65" s="114" t="s">
        <v>8</v>
      </c>
      <c r="AJ65" s="114" t="s">
        <v>8</v>
      </c>
      <c r="AK65" s="114" t="s">
        <v>116</v>
      </c>
      <c r="AL65" s="114" t="s">
        <v>8</v>
      </c>
      <c r="AM65" s="114" t="s">
        <v>389</v>
      </c>
      <c r="AN65" s="114" t="s">
        <v>18</v>
      </c>
      <c r="AO65" s="114" t="s">
        <v>18</v>
      </c>
      <c r="AP65" s="121" t="s">
        <v>387</v>
      </c>
      <c r="AQ65" s="114" t="s">
        <v>390</v>
      </c>
      <c r="AR65" s="114"/>
      <c r="AS65" s="114"/>
      <c r="AT65" s="114"/>
      <c r="AU65" s="114"/>
      <c r="AV65" s="114"/>
      <c r="AW65" s="114"/>
      <c r="AX65" s="114"/>
      <c r="AY65" s="114"/>
      <c r="AZ65" s="114"/>
      <c r="BA65" s="114"/>
      <c r="BB65" s="114"/>
      <c r="BC65" s="114"/>
      <c r="BD65" s="123"/>
      <c r="BE65" s="114"/>
      <c r="BF65" s="114"/>
      <c r="BG65" s="114"/>
      <c r="BH65" s="114"/>
      <c r="BI65" s="114"/>
      <c r="BJ65" s="114"/>
      <c r="BK65" s="114"/>
      <c r="BL65" s="114"/>
      <c r="BM65" s="123"/>
      <c r="BN65" s="114"/>
      <c r="BO65" s="114"/>
      <c r="BP65" s="114"/>
      <c r="BQ65" s="114"/>
      <c r="BR65" s="114"/>
      <c r="BS65" s="114"/>
      <c r="BT65" s="114"/>
      <c r="BU65" s="114"/>
      <c r="BV65" s="114"/>
      <c r="BW65" s="114"/>
      <c r="BX65" s="114"/>
      <c r="BY65" s="114"/>
      <c r="BZ65" s="114"/>
      <c r="CA65" s="114"/>
      <c r="CB65" s="114"/>
      <c r="CC65" s="114"/>
      <c r="CD65" s="114"/>
      <c r="CE65" s="114"/>
      <c r="CF65" s="114"/>
      <c r="CG65" s="114"/>
      <c r="CH65" s="114"/>
      <c r="CI65" s="114"/>
      <c r="CJ65" s="114"/>
      <c r="CK65" s="114"/>
      <c r="CL65" s="114"/>
      <c r="CM65" s="114"/>
      <c r="CN65" s="114"/>
      <c r="CO65" s="114"/>
      <c r="CP65" s="114"/>
      <c r="CQ65" s="114"/>
      <c r="CR65" s="114"/>
      <c r="CS65" s="114"/>
      <c r="CT65" s="114"/>
      <c r="CU65" s="114"/>
      <c r="CV65" s="114"/>
      <c r="CW65" s="114"/>
      <c r="CX65" s="125"/>
      <c r="CY65" s="114"/>
      <c r="CZ65" s="114"/>
      <c r="DA65" s="114"/>
      <c r="DB65" s="114"/>
      <c r="DC65" s="114"/>
      <c r="DD65" s="114"/>
      <c r="DE65" s="114"/>
      <c r="DF65" s="114"/>
      <c r="DG65" s="114"/>
      <c r="DH65" s="114"/>
      <c r="DI65" s="114"/>
      <c r="DJ65" s="114"/>
      <c r="DK65" s="114"/>
      <c r="DL65" s="114"/>
      <c r="DM65" s="114"/>
      <c r="DN65" s="114"/>
      <c r="DO65" s="114"/>
      <c r="DP65" s="114"/>
      <c r="DQ65" s="114"/>
      <c r="DR65" s="114"/>
      <c r="DS65" s="114"/>
      <c r="DT65" s="114"/>
      <c r="DU65" s="114"/>
      <c r="DV65" s="114"/>
      <c r="DW65" s="114"/>
      <c r="DX65" s="114"/>
      <c r="DY65" s="114"/>
      <c r="DZ65" s="114"/>
      <c r="EA65" s="114"/>
      <c r="EB65" s="114"/>
      <c r="EC65" s="114"/>
      <c r="ED65" s="114"/>
      <c r="EE65" s="114"/>
      <c r="EF65" s="114"/>
      <c r="EG65" s="114"/>
      <c r="EH65" s="114"/>
      <c r="EI65" s="114"/>
      <c r="EJ65" s="114"/>
      <c r="EK65" s="114"/>
      <c r="EL65" s="114"/>
      <c r="EM65" s="114"/>
      <c r="EN65" s="114"/>
      <c r="EO65" s="114"/>
      <c r="EP65" s="114"/>
      <c r="EQ65" s="114"/>
      <c r="ER65" s="114"/>
      <c r="ES65" s="114"/>
      <c r="ET65" s="114"/>
      <c r="EU65" s="114"/>
      <c r="EV65" s="114"/>
      <c r="EW65" s="114"/>
      <c r="EX65" s="114"/>
      <c r="EY65" s="114"/>
      <c r="EZ65" s="114"/>
      <c r="FA65" s="114"/>
      <c r="FB65" s="114"/>
      <c r="FC65" s="114"/>
      <c r="FD65" s="114"/>
      <c r="FE65" s="114"/>
      <c r="FF65" s="114"/>
      <c r="FG65" s="114"/>
      <c r="FH65" s="114"/>
      <c r="FI65" s="114"/>
      <c r="FJ65" s="114"/>
      <c r="FK65" s="114"/>
      <c r="FL65" s="114"/>
      <c r="FM65" s="114"/>
      <c r="FN65" s="114"/>
      <c r="FO65" s="114"/>
      <c r="FP65" s="114"/>
      <c r="FQ65" s="114"/>
      <c r="FR65" s="114"/>
      <c r="FS65" s="114"/>
      <c r="FT65" s="114"/>
      <c r="FU65" s="114"/>
      <c r="FV65" s="114"/>
      <c r="FW65" s="114"/>
      <c r="FX65" s="114"/>
      <c r="FY65" s="114"/>
      <c r="FZ65" s="114"/>
      <c r="GA65" s="114"/>
      <c r="GB65" s="114"/>
      <c r="GC65" s="114"/>
      <c r="GD65" s="114"/>
      <c r="GE65" s="114"/>
      <c r="GF65" s="114"/>
      <c r="GG65" s="114"/>
      <c r="GH65" s="114"/>
      <c r="GI65" s="114"/>
      <c r="GJ65" s="114"/>
      <c r="GK65" s="114"/>
      <c r="GL65" s="114"/>
      <c r="GM65" s="114"/>
      <c r="GN65" s="114"/>
      <c r="GO65" s="114"/>
      <c r="GP65" s="114"/>
      <c r="GQ65" s="114"/>
      <c r="GR65" s="114"/>
      <c r="GS65" s="114"/>
      <c r="GT65" s="114"/>
    </row>
    <row r="66" spans="1:202" ht="13.15" hidden="1" customHeight="1" x14ac:dyDescent="0.2">
      <c r="A66" s="3" t="s">
        <v>329</v>
      </c>
      <c r="B66" s="4" t="s">
        <v>240</v>
      </c>
      <c r="C66" s="28">
        <v>2020</v>
      </c>
      <c r="D66" s="16">
        <v>27</v>
      </c>
      <c r="E66" s="16">
        <v>1</v>
      </c>
      <c r="F66" s="5" t="s">
        <v>1058</v>
      </c>
      <c r="G66" s="5" t="s">
        <v>242</v>
      </c>
      <c r="H66" s="5" t="s">
        <v>5</v>
      </c>
      <c r="I66" s="5" t="s">
        <v>6</v>
      </c>
      <c r="J66" s="5" t="s">
        <v>7</v>
      </c>
      <c r="K66" s="48" t="s">
        <v>1047</v>
      </c>
      <c r="L66" s="5" t="s">
        <v>1049</v>
      </c>
      <c r="M66" s="5" t="s">
        <v>179</v>
      </c>
      <c r="N66" s="7">
        <v>0</v>
      </c>
      <c r="O66" s="7">
        <v>1.83</v>
      </c>
      <c r="P66" s="7" t="s">
        <v>1023</v>
      </c>
      <c r="Q66" s="5" t="s">
        <v>39</v>
      </c>
      <c r="R66" s="5" t="s">
        <v>1028</v>
      </c>
      <c r="S66" s="5" t="s">
        <v>96</v>
      </c>
      <c r="T66" s="5" t="s">
        <v>1336</v>
      </c>
      <c r="U66" s="9">
        <f>0.00446</f>
        <v>4.4600000000000004E-3</v>
      </c>
      <c r="V66" s="9">
        <f t="shared" si="4"/>
        <v>-1.3170271887231229</v>
      </c>
      <c r="W66" s="9"/>
      <c r="X66" s="9"/>
      <c r="Y66" s="9">
        <f>(0.0081)+((O66/1000)*4.67)</f>
        <v>1.6646099999999997E-2</v>
      </c>
      <c r="Z66" s="9"/>
      <c r="AA66" s="5" t="s">
        <v>12</v>
      </c>
      <c r="AB66" s="62" t="s">
        <v>1043</v>
      </c>
      <c r="AC66" s="5" t="s">
        <v>64</v>
      </c>
      <c r="AD66" s="3">
        <v>9</v>
      </c>
      <c r="AE66" s="5" t="s">
        <v>8</v>
      </c>
      <c r="AF66" s="5" t="s">
        <v>1284</v>
      </c>
      <c r="AG66" s="5" t="s">
        <v>8</v>
      </c>
      <c r="AH66" s="5" t="s">
        <v>8</v>
      </c>
      <c r="AI66" s="5" t="s">
        <v>8</v>
      </c>
      <c r="AJ66" s="5" t="s">
        <v>14</v>
      </c>
      <c r="AK66" s="5" t="s">
        <v>84</v>
      </c>
      <c r="AL66" s="5" t="s">
        <v>8</v>
      </c>
      <c r="AM66" s="5" t="s">
        <v>243</v>
      </c>
      <c r="AN66" s="5" t="s">
        <v>1028</v>
      </c>
      <c r="AO66" s="5" t="s">
        <v>1028</v>
      </c>
      <c r="AP66" s="5" t="s">
        <v>241</v>
      </c>
      <c r="AQ66" s="5" t="s">
        <v>244</v>
      </c>
      <c r="BD66" s="58"/>
      <c r="BE66" s="17">
        <f>((0.000135)/5.58)*1000</f>
        <v>2.4193548387096774E-2</v>
      </c>
      <c r="BF66" s="17"/>
      <c r="BG66" s="17"/>
      <c r="BH66" s="17">
        <f>(((0.000611)/4.67)*1000)</f>
        <v>0.13083511777301926</v>
      </c>
      <c r="BI66" s="17">
        <f>((0.00000523)/5.58)*1000</f>
        <v>9.372759856630824E-4</v>
      </c>
      <c r="BL66" s="5">
        <f>(((0.00000352)/4.67)*1000)</f>
        <v>7.5374732334047118E-4</v>
      </c>
      <c r="BM66" s="58">
        <f>LN(BI66/BL66)</f>
        <v>0.21792058375441201</v>
      </c>
      <c r="BR66" s="20">
        <f>((0.00000021)/5.58)*1000</f>
        <v>3.7634408602150534E-5</v>
      </c>
      <c r="BU66" s="20">
        <f>(((0.000000352)/4.67)*1000)</f>
        <v>7.5374732334047097E-5</v>
      </c>
      <c r="CL66" s="9">
        <f>((0.234)/5.58)*1000</f>
        <v>41.935483870967744</v>
      </c>
      <c r="CM66" s="9"/>
      <c r="CN66" s="9"/>
      <c r="CO66" s="9">
        <f>(((0.397)/4.67)*1000)</f>
        <v>85.010706638115636</v>
      </c>
      <c r="EA66" s="5">
        <f>((0.00062)/5.58)*1000</f>
        <v>0.11111111111111112</v>
      </c>
      <c r="EB66" s="12">
        <f>LN(EA66/ED66)</f>
        <v>-3.3904330150749971</v>
      </c>
      <c r="ED66" s="5">
        <f>(((0.0154)/4.67)*1000)</f>
        <v>3.2976445396145611</v>
      </c>
    </row>
    <row r="67" spans="1:202" ht="13.15" hidden="1" customHeight="1" x14ac:dyDescent="0.2">
      <c r="A67" s="3" t="s">
        <v>1</v>
      </c>
      <c r="B67" s="4" t="s">
        <v>248</v>
      </c>
      <c r="C67" s="28">
        <v>2020</v>
      </c>
      <c r="D67" s="16">
        <v>28</v>
      </c>
      <c r="E67" s="16">
        <v>1</v>
      </c>
      <c r="F67" s="5" t="s">
        <v>1060</v>
      </c>
      <c r="G67" s="5" t="s">
        <v>250</v>
      </c>
      <c r="H67" s="5" t="s">
        <v>93</v>
      </c>
      <c r="I67" s="5" t="s">
        <v>251</v>
      </c>
      <c r="J67" s="5" t="s">
        <v>25</v>
      </c>
      <c r="K67" s="5" t="s">
        <v>1045</v>
      </c>
      <c r="L67" s="5" t="s">
        <v>8</v>
      </c>
      <c r="M67" s="5" t="s">
        <v>9</v>
      </c>
      <c r="N67" s="7">
        <v>0</v>
      </c>
      <c r="O67" s="7">
        <v>1.81</v>
      </c>
      <c r="P67" s="7" t="s">
        <v>22</v>
      </c>
      <c r="Q67" s="5" t="s">
        <v>39</v>
      </c>
      <c r="R67" s="5" t="s">
        <v>27</v>
      </c>
      <c r="S67" s="5" t="s">
        <v>96</v>
      </c>
      <c r="T67" s="5" t="s">
        <v>1335</v>
      </c>
      <c r="U67" s="9">
        <f>(W67+X67)/2</f>
        <v>13.794834999999999</v>
      </c>
      <c r="V67" s="9">
        <f t="shared" si="4"/>
        <v>-0.58733941686880575</v>
      </c>
      <c r="W67" s="9">
        <f>9725.62/1000</f>
        <v>9.725620000000001</v>
      </c>
      <c r="X67" s="9">
        <f>17864.05/1000</f>
        <v>17.864049999999999</v>
      </c>
      <c r="Y67" s="9">
        <f>(23009.6/1000)+O67</f>
        <v>24.819599999999998</v>
      </c>
      <c r="Z67" s="9"/>
      <c r="AA67" s="5" t="s">
        <v>12</v>
      </c>
      <c r="AB67" s="7" t="s">
        <v>1123</v>
      </c>
      <c r="AC67" s="5" t="s">
        <v>13</v>
      </c>
      <c r="AD67" s="3">
        <v>9</v>
      </c>
      <c r="AE67" s="5" t="s">
        <v>14</v>
      </c>
      <c r="AF67" s="5" t="s">
        <v>15</v>
      </c>
      <c r="AG67" s="5" t="s">
        <v>14</v>
      </c>
      <c r="AH67" s="5" t="s">
        <v>8</v>
      </c>
      <c r="AI67" s="5" t="s">
        <v>14</v>
      </c>
      <c r="AJ67" s="5" t="s">
        <v>14</v>
      </c>
      <c r="AK67" s="5" t="s">
        <v>84</v>
      </c>
      <c r="AL67" s="5" t="s">
        <v>8</v>
      </c>
      <c r="AM67" s="5" t="s">
        <v>252</v>
      </c>
      <c r="AN67" s="5" t="s">
        <v>67</v>
      </c>
      <c r="AO67" s="5" t="s">
        <v>67</v>
      </c>
      <c r="AP67" s="5" t="s">
        <v>249</v>
      </c>
      <c r="AQ67" s="5" t="s">
        <v>253</v>
      </c>
      <c r="BD67" s="58"/>
      <c r="BM67" s="58"/>
      <c r="DC67" s="5">
        <f>((DD67+DE67)/2)</f>
        <v>165.57609000000002</v>
      </c>
      <c r="DD67" s="5">
        <f>80668.08/1000</f>
        <v>80.668080000000003</v>
      </c>
      <c r="DE67" s="5">
        <f>250484.1/1000</f>
        <v>250.48410000000001</v>
      </c>
      <c r="DF67" s="5">
        <f>104237.1/1000</f>
        <v>104.23710000000001</v>
      </c>
    </row>
    <row r="68" spans="1:202" ht="13.15" hidden="1" customHeight="1" x14ac:dyDescent="0.2">
      <c r="A68" s="3" t="s">
        <v>1</v>
      </c>
      <c r="B68" s="4" t="s">
        <v>254</v>
      </c>
      <c r="C68" s="28">
        <v>2020</v>
      </c>
      <c r="D68" s="16">
        <v>29</v>
      </c>
      <c r="E68" s="16">
        <v>2</v>
      </c>
      <c r="F68" s="5" t="s">
        <v>1051</v>
      </c>
      <c r="G68" s="5" t="s">
        <v>242</v>
      </c>
      <c r="H68" s="5" t="s">
        <v>5</v>
      </c>
      <c r="I68" s="5" t="s">
        <v>37</v>
      </c>
      <c r="J68" s="5" t="s">
        <v>25</v>
      </c>
      <c r="K68" s="48" t="s">
        <v>726</v>
      </c>
      <c r="L68" s="5" t="s">
        <v>8</v>
      </c>
      <c r="M68" s="5" t="s">
        <v>61</v>
      </c>
      <c r="N68" s="7">
        <v>2.91</v>
      </c>
      <c r="O68" s="7">
        <v>1.47</v>
      </c>
      <c r="P68" s="7" t="s">
        <v>162</v>
      </c>
      <c r="Q68" s="5" t="s">
        <v>39</v>
      </c>
      <c r="R68" s="5" t="s">
        <v>27</v>
      </c>
      <c r="S68" s="5" t="s">
        <v>164</v>
      </c>
      <c r="T68" s="5" t="s">
        <v>1335</v>
      </c>
      <c r="U68" s="9">
        <v>7.9</v>
      </c>
      <c r="V68" s="9">
        <f t="shared" si="4"/>
        <v>0.36211466723455066</v>
      </c>
      <c r="W68" s="9">
        <v>6</v>
      </c>
      <c r="X68" s="9">
        <v>9.1999999999999993</v>
      </c>
      <c r="Y68" s="9">
        <f>Z68+O68</f>
        <v>5.5</v>
      </c>
      <c r="Z68" s="9">
        <v>4.03</v>
      </c>
      <c r="AA68" s="5" t="s">
        <v>12</v>
      </c>
      <c r="AB68" s="7" t="s">
        <v>1123</v>
      </c>
      <c r="AC68" s="5" t="s">
        <v>13</v>
      </c>
      <c r="AD68" s="3">
        <v>9</v>
      </c>
      <c r="AE68" s="5" t="s">
        <v>14</v>
      </c>
      <c r="AF68" s="5" t="s">
        <v>97</v>
      </c>
      <c r="AG68" s="5" t="s">
        <v>8</v>
      </c>
      <c r="AH68" s="5" t="s">
        <v>8</v>
      </c>
      <c r="AI68" s="5" t="s">
        <v>14</v>
      </c>
      <c r="AJ68" s="5" t="s">
        <v>14</v>
      </c>
      <c r="AK68" s="5" t="s">
        <v>196</v>
      </c>
      <c r="AL68" s="5" t="s">
        <v>14</v>
      </c>
      <c r="AM68" s="5" t="s">
        <v>258</v>
      </c>
      <c r="AN68" s="5" t="s">
        <v>18</v>
      </c>
      <c r="AO68" s="5" t="s">
        <v>18</v>
      </c>
      <c r="AP68" s="5" t="s">
        <v>255</v>
      </c>
      <c r="AQ68" s="19" t="s">
        <v>257</v>
      </c>
      <c r="AR68" s="20">
        <v>3.3000000000000002E-6</v>
      </c>
      <c r="AS68" s="20">
        <v>2.6000000000000001E-6</v>
      </c>
      <c r="AT68" s="20">
        <v>3.9999999999999998E-6</v>
      </c>
      <c r="AU68" s="20">
        <v>9.7000000000000003E-7</v>
      </c>
      <c r="AZ68" s="12">
        <v>6.4000000000000001E-2</v>
      </c>
      <c r="BA68" s="12">
        <v>3.7999999999999999E-2</v>
      </c>
      <c r="BB68" s="12">
        <v>0.11</v>
      </c>
      <c r="BC68" s="12">
        <v>1.2E-2</v>
      </c>
      <c r="BD68" s="58">
        <f>LN(AZ68/BC68)</f>
        <v>1.6739764335716716</v>
      </c>
      <c r="BI68" s="17">
        <v>3.5000000000000001E-3</v>
      </c>
      <c r="BJ68" s="17">
        <v>1.2999999999999999E-3</v>
      </c>
      <c r="BK68" s="17">
        <v>6.6E-3</v>
      </c>
      <c r="BL68" s="5">
        <v>1.4100000000000001E-4</v>
      </c>
      <c r="BM68" s="58">
        <f>LN(BI68/BL68)</f>
        <v>3.2117583570993369</v>
      </c>
      <c r="BN68" s="17"/>
      <c r="BO68" s="17"/>
      <c r="BP68" s="17"/>
      <c r="BQ68" s="17"/>
      <c r="BR68" s="17">
        <v>0.28999999999999998</v>
      </c>
      <c r="BS68" s="17">
        <v>9.4999999999999998E-3</v>
      </c>
      <c r="BT68" s="17">
        <v>0.82</v>
      </c>
      <c r="BU68" s="17">
        <v>1.29E-2</v>
      </c>
      <c r="BV68" s="9">
        <v>9.5</v>
      </c>
      <c r="BW68" s="9">
        <v>3.7</v>
      </c>
      <c r="BX68" s="9">
        <v>23</v>
      </c>
      <c r="BY68" s="9">
        <v>9.7799999999999998E-2</v>
      </c>
      <c r="BZ68" s="17">
        <v>2.4E-2</v>
      </c>
      <c r="CA68" s="17">
        <v>1.4999999999999999E-2</v>
      </c>
      <c r="CB68" s="17">
        <v>3.5000000000000003E-2</v>
      </c>
      <c r="CC68" s="17">
        <v>4.9100000000000003E-3</v>
      </c>
      <c r="DO68" s="25">
        <v>0.17</v>
      </c>
      <c r="DP68" s="25"/>
      <c r="DQ68" s="25"/>
      <c r="DR68" s="25">
        <v>1.4100000000000001E-4</v>
      </c>
      <c r="EA68" s="9">
        <v>0.15</v>
      </c>
      <c r="EB68" s="12">
        <f>LN(EA68/ED68)</f>
        <v>0.92130327369769927</v>
      </c>
      <c r="EC68" s="9"/>
      <c r="ED68" s="9">
        <v>5.9700000000000003E-2</v>
      </c>
      <c r="EM68" s="12">
        <v>0.46</v>
      </c>
      <c r="EN68" s="12">
        <v>0.22</v>
      </c>
      <c r="EO68" s="12">
        <v>0.95</v>
      </c>
      <c r="EP68" s="12">
        <v>7.0299999999999996E-4</v>
      </c>
      <c r="EQ68" s="12">
        <v>22</v>
      </c>
      <c r="ER68" s="12">
        <v>14</v>
      </c>
      <c r="ES68" s="12">
        <v>37</v>
      </c>
      <c r="ET68" s="12">
        <v>1.2E-2</v>
      </c>
      <c r="GA68" s="9">
        <v>3.1</v>
      </c>
      <c r="GB68" s="9">
        <v>1.9</v>
      </c>
      <c r="GC68" s="9">
        <v>4.5999999999999996</v>
      </c>
      <c r="GD68" s="9">
        <v>1.67</v>
      </c>
      <c r="GE68" s="9">
        <v>1.0999999999999999E-2</v>
      </c>
      <c r="GF68" s="9">
        <v>1.0999999999999999E-2</v>
      </c>
      <c r="GG68" s="9">
        <v>3.1E-2</v>
      </c>
      <c r="GH68" s="9">
        <v>7.8899999999999999E-4</v>
      </c>
      <c r="GI68" s="9">
        <v>0.17</v>
      </c>
      <c r="GJ68" s="9">
        <v>0.17</v>
      </c>
      <c r="GK68" s="9">
        <v>0.33</v>
      </c>
      <c r="GL68" s="9">
        <v>2.1600000000000001E-2</v>
      </c>
    </row>
    <row r="69" spans="1:202" ht="13.15" hidden="1" customHeight="1" x14ac:dyDescent="0.2">
      <c r="A69" s="3" t="s">
        <v>1</v>
      </c>
      <c r="B69" s="4" t="s">
        <v>254</v>
      </c>
      <c r="C69" s="28">
        <v>2020</v>
      </c>
      <c r="D69" s="16">
        <v>29</v>
      </c>
      <c r="E69" s="16">
        <v>1</v>
      </c>
      <c r="F69" s="5" t="s">
        <v>1051</v>
      </c>
      <c r="G69" s="5" t="s">
        <v>242</v>
      </c>
      <c r="H69" s="5" t="s">
        <v>5</v>
      </c>
      <c r="I69" s="5" t="s">
        <v>223</v>
      </c>
      <c r="J69" s="5" t="s">
        <v>7</v>
      </c>
      <c r="K69" s="48" t="s">
        <v>1046</v>
      </c>
      <c r="L69" s="5" t="s">
        <v>60</v>
      </c>
      <c r="M69" s="5" t="s">
        <v>61</v>
      </c>
      <c r="N69" s="7">
        <v>2.5499999999999998</v>
      </c>
      <c r="O69" s="7">
        <v>1.47</v>
      </c>
      <c r="P69" s="7" t="s">
        <v>162</v>
      </c>
      <c r="Q69" s="5" t="s">
        <v>39</v>
      </c>
      <c r="R69" s="5" t="s">
        <v>27</v>
      </c>
      <c r="S69" s="5" t="s">
        <v>164</v>
      </c>
      <c r="T69" s="5" t="s">
        <v>1335</v>
      </c>
      <c r="U69" s="9">
        <v>4.1900000000000004</v>
      </c>
      <c r="V69" s="9">
        <f t="shared" si="4"/>
        <v>-0.27204735830437887</v>
      </c>
      <c r="W69" s="9">
        <v>1.3</v>
      </c>
      <c r="X69" s="9">
        <v>4.8</v>
      </c>
      <c r="Y69" s="9">
        <f>Z69+O69</f>
        <v>5.5</v>
      </c>
      <c r="Z69" s="9">
        <v>4.03</v>
      </c>
      <c r="AA69" s="5" t="s">
        <v>12</v>
      </c>
      <c r="AB69" s="7" t="s">
        <v>1044</v>
      </c>
      <c r="AC69" s="5" t="s">
        <v>74</v>
      </c>
      <c r="AD69" s="3">
        <v>9</v>
      </c>
      <c r="AE69" s="5" t="s">
        <v>14</v>
      </c>
      <c r="AF69" s="5" t="s">
        <v>97</v>
      </c>
      <c r="AG69" s="5" t="s">
        <v>14</v>
      </c>
      <c r="AH69" s="5" t="s">
        <v>8</v>
      </c>
      <c r="AI69" s="5" t="s">
        <v>14</v>
      </c>
      <c r="AJ69" s="5" t="s">
        <v>14</v>
      </c>
      <c r="AK69" s="5" t="s">
        <v>196</v>
      </c>
      <c r="AL69" s="5" t="s">
        <v>14</v>
      </c>
      <c r="AM69" s="5" t="s">
        <v>256</v>
      </c>
      <c r="AN69" s="5" t="s">
        <v>18</v>
      </c>
      <c r="AO69" s="5" t="s">
        <v>18</v>
      </c>
      <c r="AP69" s="5" t="s">
        <v>255</v>
      </c>
      <c r="AQ69" s="19" t="s">
        <v>257</v>
      </c>
      <c r="AR69" s="20">
        <v>2.0000000000000002E-5</v>
      </c>
      <c r="AS69" s="20">
        <v>8.3999999999999992E-6</v>
      </c>
      <c r="AT69" s="20">
        <v>1.5999999999999999E-5</v>
      </c>
      <c r="AU69" s="20">
        <v>9.7000000000000003E-7</v>
      </c>
      <c r="AZ69" s="12">
        <v>7.6999999999999999E-2</v>
      </c>
      <c r="BA69" s="12">
        <v>3.6999999999999998E-2</v>
      </c>
      <c r="BB69" s="12">
        <v>0.13</v>
      </c>
      <c r="BC69" s="12">
        <v>1.2E-2</v>
      </c>
      <c r="BD69" s="58">
        <f>LN(AZ69/BC69)</f>
        <v>1.8588987720656835</v>
      </c>
      <c r="BI69" s="17">
        <v>5.1999999999999997E-5</v>
      </c>
      <c r="BJ69" s="17"/>
      <c r="BK69" s="17"/>
      <c r="BL69" s="5">
        <v>1.4100000000000001E-4</v>
      </c>
      <c r="BM69" s="58">
        <f>LN(BI69/BL69)</f>
        <v>-0.99751617179674112</v>
      </c>
      <c r="BN69" s="17"/>
      <c r="BO69" s="17"/>
      <c r="BP69" s="17"/>
      <c r="BQ69" s="17"/>
      <c r="BR69" s="17">
        <v>4.8000000000000001E-2</v>
      </c>
      <c r="BU69" s="17">
        <v>1.29E-2</v>
      </c>
      <c r="BV69" s="9">
        <v>4.3</v>
      </c>
      <c r="BW69" s="9">
        <v>1E-3</v>
      </c>
      <c r="BX69" s="9">
        <v>13</v>
      </c>
      <c r="BY69" s="9">
        <v>9.7799999999999998E-2</v>
      </c>
      <c r="BZ69" s="17">
        <v>1.7999999999999999E-2</v>
      </c>
      <c r="CA69" s="17">
        <v>5.7999999999999996E-3</v>
      </c>
      <c r="CB69" s="17">
        <v>3.5999999999999997E-2</v>
      </c>
      <c r="CC69" s="17">
        <v>4.9100000000000003E-3</v>
      </c>
      <c r="DO69" s="25">
        <v>0.12</v>
      </c>
      <c r="DP69" s="25"/>
      <c r="DQ69" s="25"/>
      <c r="DR69" s="25">
        <v>1.4100000000000001E-4</v>
      </c>
      <c r="EA69" s="9">
        <v>0.46</v>
      </c>
      <c r="EB69" s="12">
        <f>LN(EA69/ED69)</f>
        <v>2.0418944690845842</v>
      </c>
      <c r="EC69" s="9"/>
      <c r="ED69" s="9">
        <v>5.9700000000000003E-2</v>
      </c>
      <c r="EM69" s="12">
        <v>0.17</v>
      </c>
      <c r="EN69" s="12"/>
      <c r="EO69" s="12"/>
      <c r="EP69" s="12">
        <v>7.0299999999999996E-4</v>
      </c>
      <c r="EQ69" s="12">
        <v>12</v>
      </c>
      <c r="ER69" s="12">
        <v>7.1</v>
      </c>
      <c r="ES69" s="12">
        <v>19</v>
      </c>
      <c r="ET69" s="12">
        <v>1.2E-2</v>
      </c>
      <c r="GA69" s="9">
        <v>1.8</v>
      </c>
      <c r="GB69" s="9">
        <v>1.2</v>
      </c>
      <c r="GC69" s="9">
        <v>2.2000000000000002</v>
      </c>
      <c r="GD69" s="9">
        <v>1.67</v>
      </c>
      <c r="GE69" s="9">
        <v>1.2E-2</v>
      </c>
      <c r="GF69" s="9">
        <v>7.7999999999999996E-3</v>
      </c>
      <c r="GG69" s="9">
        <v>1.7999999999999999E-2</v>
      </c>
      <c r="GH69" s="9">
        <v>7.8899999999999999E-4</v>
      </c>
      <c r="GI69" s="9">
        <v>1.4</v>
      </c>
      <c r="GJ69" s="9">
        <v>0.99</v>
      </c>
      <c r="GK69" s="9">
        <v>1.9</v>
      </c>
      <c r="GL69" s="9">
        <v>2.1600000000000001E-2</v>
      </c>
    </row>
    <row r="70" spans="1:202" ht="13.15" hidden="1" customHeight="1" x14ac:dyDescent="0.2">
      <c r="A70" s="3" t="s">
        <v>259</v>
      </c>
      <c r="B70" s="4" t="s">
        <v>260</v>
      </c>
      <c r="C70" s="28">
        <v>2021</v>
      </c>
      <c r="D70" s="16">
        <v>30</v>
      </c>
      <c r="E70" s="16">
        <v>1</v>
      </c>
      <c r="F70" s="5" t="s">
        <v>1097</v>
      </c>
      <c r="G70" s="5" t="s">
        <v>262</v>
      </c>
      <c r="H70" s="5" t="s">
        <v>93</v>
      </c>
      <c r="I70" s="5" t="s">
        <v>263</v>
      </c>
      <c r="J70" s="5" t="s">
        <v>1260</v>
      </c>
      <c r="K70" s="5" t="s">
        <v>1045</v>
      </c>
      <c r="L70" s="5" t="s">
        <v>8</v>
      </c>
      <c r="M70" s="5" t="s">
        <v>9</v>
      </c>
      <c r="N70" s="7">
        <v>0</v>
      </c>
      <c r="O70" s="7">
        <v>0</v>
      </c>
      <c r="P70" s="7" t="s">
        <v>264</v>
      </c>
      <c r="Q70" s="5" t="s">
        <v>265</v>
      </c>
      <c r="R70" s="5" t="s">
        <v>18</v>
      </c>
      <c r="S70" s="5" t="s">
        <v>266</v>
      </c>
      <c r="T70" s="5" t="s">
        <v>1335</v>
      </c>
      <c r="U70" s="9">
        <v>12</v>
      </c>
      <c r="V70" s="9">
        <f t="shared" si="4"/>
        <v>-0.22314355131420971</v>
      </c>
      <c r="W70" s="9"/>
      <c r="X70" s="9"/>
      <c r="Y70" s="9">
        <v>15</v>
      </c>
      <c r="Z70" s="9"/>
      <c r="AA70" s="5" t="s">
        <v>12</v>
      </c>
      <c r="AB70" s="62" t="s">
        <v>1043</v>
      </c>
      <c r="AC70" s="5" t="s">
        <v>13</v>
      </c>
      <c r="AD70" s="3">
        <v>9</v>
      </c>
      <c r="AE70" s="5" t="s">
        <v>8</v>
      </c>
      <c r="AF70" s="5" t="s">
        <v>29</v>
      </c>
      <c r="AG70" s="5" t="s">
        <v>8</v>
      </c>
      <c r="AH70" s="5" t="s">
        <v>8</v>
      </c>
      <c r="AI70" s="5" t="s">
        <v>8</v>
      </c>
      <c r="AJ70" s="5" t="s">
        <v>8</v>
      </c>
      <c r="AK70" s="5" t="s">
        <v>187</v>
      </c>
      <c r="AL70" s="5" t="s">
        <v>8</v>
      </c>
      <c r="AM70" s="5" t="s">
        <v>1028</v>
      </c>
      <c r="AN70" s="5" t="s">
        <v>18</v>
      </c>
      <c r="AO70" s="5" t="s">
        <v>18</v>
      </c>
      <c r="AP70" s="5" t="s">
        <v>261</v>
      </c>
      <c r="AQ70" s="5" t="s">
        <v>267</v>
      </c>
      <c r="AR70" s="43">
        <v>2.4000000000000001E-11</v>
      </c>
      <c r="AS70" s="43"/>
      <c r="AT70" s="43"/>
      <c r="AU70" s="43">
        <v>9.2000000000000005E-11</v>
      </c>
      <c r="AV70" s="9">
        <v>0.9</v>
      </c>
      <c r="AW70" s="9"/>
      <c r="AX70" s="9"/>
      <c r="AY70" s="9">
        <v>2</v>
      </c>
      <c r="BD70" s="58"/>
      <c r="BE70" s="9">
        <v>5.4</v>
      </c>
      <c r="BF70" s="9"/>
      <c r="BG70" s="9"/>
      <c r="BH70" s="9">
        <v>5.5</v>
      </c>
      <c r="BL70" s="17"/>
      <c r="BM70" s="58"/>
      <c r="BN70" s="17">
        <v>2.3999999999999998E-3</v>
      </c>
      <c r="BO70" s="17"/>
      <c r="BP70" s="17"/>
      <c r="BQ70" s="17">
        <v>2.2000000000000001E-3</v>
      </c>
      <c r="BR70" s="23">
        <v>4.2000000000000004E-9</v>
      </c>
      <c r="BS70" s="23"/>
      <c r="BT70" s="23"/>
      <c r="BU70" s="23">
        <v>6.4000000000000002E-9</v>
      </c>
      <c r="BV70" s="23">
        <v>2.7000000000000001E-7</v>
      </c>
      <c r="BW70" s="23"/>
      <c r="BX70" s="23"/>
      <c r="BY70" s="23">
        <v>2.8999999999999999E-9</v>
      </c>
      <c r="BZ70" s="17">
        <v>5.1999999999999998E-3</v>
      </c>
      <c r="CA70" s="17"/>
      <c r="CB70" s="17"/>
      <c r="CC70" s="17">
        <v>5.4000000000000003E-3</v>
      </c>
    </row>
    <row r="71" spans="1:202" ht="13.15" hidden="1" customHeight="1" x14ac:dyDescent="0.2">
      <c r="A71" s="3" t="s">
        <v>259</v>
      </c>
      <c r="B71" s="4" t="s">
        <v>268</v>
      </c>
      <c r="C71" s="28">
        <v>2019</v>
      </c>
      <c r="D71" s="16">
        <v>31</v>
      </c>
      <c r="E71" s="16">
        <v>1</v>
      </c>
      <c r="F71" s="5" t="s">
        <v>1089</v>
      </c>
      <c r="G71" s="5" t="s">
        <v>262</v>
      </c>
      <c r="H71" s="5" t="s">
        <v>93</v>
      </c>
      <c r="I71" s="5" t="s">
        <v>263</v>
      </c>
      <c r="J71" s="5" t="s">
        <v>1260</v>
      </c>
      <c r="K71" s="48" t="s">
        <v>1045</v>
      </c>
      <c r="L71" s="5" t="s">
        <v>8</v>
      </c>
      <c r="M71" s="5" t="s">
        <v>9</v>
      </c>
      <c r="N71" s="7">
        <v>0</v>
      </c>
      <c r="O71" s="7">
        <v>0</v>
      </c>
      <c r="P71" s="7" t="s">
        <v>264</v>
      </c>
      <c r="Q71" s="5" t="s">
        <v>265</v>
      </c>
      <c r="R71" s="5" t="s">
        <v>18</v>
      </c>
      <c r="S71" s="5" t="s">
        <v>266</v>
      </c>
      <c r="T71" s="5" t="s">
        <v>1335</v>
      </c>
      <c r="U71" s="9">
        <v>3.8</v>
      </c>
      <c r="V71" s="9">
        <f t="shared" si="4"/>
        <v>-0.47328770444692542</v>
      </c>
      <c r="W71" s="9"/>
      <c r="X71" s="9"/>
      <c r="Y71" s="9">
        <v>6.1</v>
      </c>
      <c r="Z71" s="9"/>
      <c r="AA71" s="5" t="s">
        <v>12</v>
      </c>
      <c r="AB71" s="7" t="s">
        <v>1123</v>
      </c>
      <c r="AC71" s="5" t="s">
        <v>13</v>
      </c>
      <c r="AD71" s="3">
        <v>9</v>
      </c>
      <c r="AE71" s="5" t="s">
        <v>14</v>
      </c>
      <c r="AF71" s="5" t="s">
        <v>83</v>
      </c>
      <c r="AG71" s="5" t="s">
        <v>8</v>
      </c>
      <c r="AH71" s="5" t="s">
        <v>8</v>
      </c>
      <c r="AI71" s="5" t="s">
        <v>8</v>
      </c>
      <c r="AJ71" s="5" t="s">
        <v>8</v>
      </c>
      <c r="AK71" s="5" t="s">
        <v>187</v>
      </c>
      <c r="AL71" s="5" t="s">
        <v>8</v>
      </c>
      <c r="AM71" s="5" t="s">
        <v>1028</v>
      </c>
      <c r="AN71" s="5" t="s">
        <v>18</v>
      </c>
      <c r="AO71" s="5" t="s">
        <v>18</v>
      </c>
      <c r="AP71" s="5" t="s">
        <v>269</v>
      </c>
      <c r="AQ71" s="5" t="s">
        <v>270</v>
      </c>
      <c r="AR71" s="44">
        <v>1.9999999999999999E-11</v>
      </c>
      <c r="AS71" s="44"/>
      <c r="AT71" s="44"/>
      <c r="AU71" s="44">
        <v>8.9000000000000003E-11</v>
      </c>
      <c r="AV71" s="9">
        <v>0.2</v>
      </c>
      <c r="AW71" s="9"/>
      <c r="AX71" s="9"/>
      <c r="AY71" s="9">
        <v>0.3</v>
      </c>
      <c r="BD71" s="58"/>
      <c r="BE71" s="5">
        <v>1.3</v>
      </c>
      <c r="BH71" s="5">
        <v>1.3</v>
      </c>
      <c r="BM71" s="58"/>
      <c r="BN71" s="17">
        <v>1.4E-3</v>
      </c>
      <c r="BQ71" s="17">
        <v>1.1000000000000001E-3</v>
      </c>
      <c r="BR71" s="23">
        <v>1.0999999999999999E-9</v>
      </c>
      <c r="BS71" s="23"/>
      <c r="BT71" s="23"/>
      <c r="BU71" s="23">
        <v>1.0999999999999999E-9</v>
      </c>
      <c r="BZ71" s="17">
        <v>1.1999999999999999E-3</v>
      </c>
      <c r="CC71" s="17">
        <v>1.4E-3</v>
      </c>
    </row>
    <row r="72" spans="1:202" ht="13.15" hidden="1" customHeight="1" x14ac:dyDescent="0.2">
      <c r="A72" s="3" t="s">
        <v>259</v>
      </c>
      <c r="B72" s="4" t="s">
        <v>271</v>
      </c>
      <c r="C72" s="28">
        <v>2020</v>
      </c>
      <c r="D72" s="16">
        <v>32</v>
      </c>
      <c r="E72" s="16">
        <v>1</v>
      </c>
      <c r="F72" s="63" t="s">
        <v>1099</v>
      </c>
      <c r="G72" s="5" t="s">
        <v>273</v>
      </c>
      <c r="H72" s="5" t="s">
        <v>93</v>
      </c>
      <c r="I72" s="5" t="s">
        <v>274</v>
      </c>
      <c r="J72" s="5" t="s">
        <v>1260</v>
      </c>
      <c r="K72" s="48" t="s">
        <v>1045</v>
      </c>
      <c r="L72" s="5" t="s">
        <v>8</v>
      </c>
      <c r="M72" s="5" t="s">
        <v>9</v>
      </c>
      <c r="N72" s="7">
        <v>0</v>
      </c>
      <c r="O72" s="7">
        <v>0</v>
      </c>
      <c r="P72" s="7" t="s">
        <v>264</v>
      </c>
      <c r="Q72" s="5" t="s">
        <v>275</v>
      </c>
      <c r="R72" s="5" t="s">
        <v>27</v>
      </c>
      <c r="S72" s="5" t="s">
        <v>276</v>
      </c>
      <c r="T72" s="5" t="s">
        <v>1335</v>
      </c>
      <c r="U72" s="45">
        <v>2.79</v>
      </c>
      <c r="V72" s="9">
        <f t="shared" si="4"/>
        <v>-3.6943515191684324E-2</v>
      </c>
      <c r="W72" s="9"/>
      <c r="X72" s="9"/>
      <c r="Y72" s="9">
        <f t="shared" ref="Y72:Z75" si="5">(4.12+1.67)/2</f>
        <v>2.895</v>
      </c>
      <c r="Z72" s="9">
        <f t="shared" si="5"/>
        <v>2.895</v>
      </c>
      <c r="AA72" s="5" t="s">
        <v>12</v>
      </c>
      <c r="AB72" s="7" t="s">
        <v>1123</v>
      </c>
      <c r="AC72" s="5" t="s">
        <v>13</v>
      </c>
      <c r="AD72" s="3">
        <v>9</v>
      </c>
      <c r="AE72" s="5" t="s">
        <v>14</v>
      </c>
      <c r="AF72" s="5" t="s">
        <v>97</v>
      </c>
      <c r="AG72" s="5" t="s">
        <v>8</v>
      </c>
      <c r="AH72" s="5" t="s">
        <v>8</v>
      </c>
      <c r="AI72" s="5" t="s">
        <v>8</v>
      </c>
      <c r="AJ72" s="5" t="s">
        <v>8</v>
      </c>
      <c r="AK72" s="5" t="s">
        <v>196</v>
      </c>
      <c r="AL72" s="5" t="s">
        <v>8</v>
      </c>
      <c r="AM72" s="5">
        <v>2015</v>
      </c>
      <c r="AN72" s="5" t="s">
        <v>1028</v>
      </c>
      <c r="AO72" s="5" t="s">
        <v>1028</v>
      </c>
      <c r="AP72" s="5" t="s">
        <v>272</v>
      </c>
      <c r="AQ72" s="5" t="s">
        <v>277</v>
      </c>
      <c r="BD72" s="58"/>
      <c r="BM72" s="58"/>
    </row>
    <row r="73" spans="1:202" ht="13.15" hidden="1" customHeight="1" x14ac:dyDescent="0.25">
      <c r="A73" s="3" t="s">
        <v>259</v>
      </c>
      <c r="B73" s="65" t="s">
        <v>271</v>
      </c>
      <c r="C73" s="28">
        <v>2020</v>
      </c>
      <c r="D73" s="16">
        <v>32</v>
      </c>
      <c r="E73" s="16">
        <v>4</v>
      </c>
      <c r="F73" s="63" t="s">
        <v>1101</v>
      </c>
      <c r="G73" s="5" t="s">
        <v>285</v>
      </c>
      <c r="H73" s="5" t="s">
        <v>93</v>
      </c>
      <c r="I73" s="5" t="s">
        <v>284</v>
      </c>
      <c r="J73" s="5" t="s">
        <v>1260</v>
      </c>
      <c r="K73" s="48" t="s">
        <v>1045</v>
      </c>
      <c r="L73" s="5" t="s">
        <v>8</v>
      </c>
      <c r="M73" s="5" t="s">
        <v>9</v>
      </c>
      <c r="N73" s="7">
        <v>0</v>
      </c>
      <c r="O73" s="7">
        <v>0</v>
      </c>
      <c r="P73" s="7" t="s">
        <v>264</v>
      </c>
      <c r="Q73" s="5" t="s">
        <v>275</v>
      </c>
      <c r="R73" s="5" t="s">
        <v>27</v>
      </c>
      <c r="S73" s="5" t="s">
        <v>276</v>
      </c>
      <c r="T73" s="5" t="s">
        <v>1335</v>
      </c>
      <c r="U73" s="46">
        <v>2.97</v>
      </c>
      <c r="V73" s="9">
        <f t="shared" si="4"/>
        <v>2.5576841789649776E-2</v>
      </c>
      <c r="W73" s="9"/>
      <c r="X73" s="9"/>
      <c r="Y73" s="9">
        <f t="shared" si="5"/>
        <v>2.895</v>
      </c>
      <c r="Z73" s="9">
        <f t="shared" si="5"/>
        <v>2.895</v>
      </c>
      <c r="AA73" s="5" t="s">
        <v>12</v>
      </c>
      <c r="AB73" s="7" t="s">
        <v>1123</v>
      </c>
      <c r="AC73" s="5" t="s">
        <v>13</v>
      </c>
      <c r="AD73" s="3">
        <v>9</v>
      </c>
      <c r="AE73" s="5" t="s">
        <v>14</v>
      </c>
      <c r="AF73" s="5" t="s">
        <v>97</v>
      </c>
      <c r="AG73" s="5" t="s">
        <v>8</v>
      </c>
      <c r="AH73" s="5" t="s">
        <v>8</v>
      </c>
      <c r="AI73" s="5" t="s">
        <v>8</v>
      </c>
      <c r="AJ73" s="5" t="s">
        <v>8</v>
      </c>
      <c r="AK73" s="5" t="s">
        <v>196</v>
      </c>
      <c r="AL73" s="5" t="s">
        <v>8</v>
      </c>
      <c r="AM73" s="5" t="s">
        <v>286</v>
      </c>
      <c r="AN73" s="5" t="s">
        <v>1028</v>
      </c>
      <c r="AO73" s="5" t="s">
        <v>1028</v>
      </c>
      <c r="AP73" s="5" t="s">
        <v>272</v>
      </c>
      <c r="AQ73" s="5" t="s">
        <v>277</v>
      </c>
      <c r="BD73" s="58"/>
      <c r="BM73" s="58"/>
    </row>
    <row r="74" spans="1:202" ht="13.15" hidden="1" customHeight="1" x14ac:dyDescent="0.2">
      <c r="A74" s="3" t="s">
        <v>259</v>
      </c>
      <c r="B74" s="4" t="s">
        <v>271</v>
      </c>
      <c r="C74" s="28">
        <v>2020</v>
      </c>
      <c r="D74" s="16">
        <v>32</v>
      </c>
      <c r="E74" s="16">
        <v>2</v>
      </c>
      <c r="F74" s="63" t="s">
        <v>1108</v>
      </c>
      <c r="G74" s="5" t="s">
        <v>278</v>
      </c>
      <c r="H74" s="5" t="s">
        <v>93</v>
      </c>
      <c r="I74" s="5" t="s">
        <v>279</v>
      </c>
      <c r="J74" s="5" t="s">
        <v>1260</v>
      </c>
      <c r="K74" s="48" t="s">
        <v>1045</v>
      </c>
      <c r="L74" s="5" t="s">
        <v>8</v>
      </c>
      <c r="M74" s="5" t="s">
        <v>9</v>
      </c>
      <c r="N74" s="7">
        <v>0</v>
      </c>
      <c r="O74" s="7">
        <v>0</v>
      </c>
      <c r="P74" s="7" t="s">
        <v>264</v>
      </c>
      <c r="Q74" s="5" t="s">
        <v>275</v>
      </c>
      <c r="R74" s="5" t="s">
        <v>27</v>
      </c>
      <c r="S74" s="5" t="s">
        <v>276</v>
      </c>
      <c r="T74" s="5" t="s">
        <v>1335</v>
      </c>
      <c r="U74" s="45">
        <v>8.34</v>
      </c>
      <c r="V74" s="9">
        <f t="shared" si="4"/>
        <v>1.0580781053456969</v>
      </c>
      <c r="W74" s="9"/>
      <c r="X74" s="9"/>
      <c r="Y74" s="9">
        <f t="shared" si="5"/>
        <v>2.895</v>
      </c>
      <c r="Z74" s="9">
        <f t="shared" si="5"/>
        <v>2.895</v>
      </c>
      <c r="AA74" s="5" t="s">
        <v>12</v>
      </c>
      <c r="AB74" s="7" t="s">
        <v>1123</v>
      </c>
      <c r="AC74" s="5" t="s">
        <v>13</v>
      </c>
      <c r="AD74" s="3">
        <v>9</v>
      </c>
      <c r="AE74" s="5" t="s">
        <v>14</v>
      </c>
      <c r="AF74" s="5" t="s">
        <v>97</v>
      </c>
      <c r="AG74" s="5" t="s">
        <v>8</v>
      </c>
      <c r="AH74" s="5" t="s">
        <v>8</v>
      </c>
      <c r="AI74" s="5" t="s">
        <v>8</v>
      </c>
      <c r="AJ74" s="5" t="s">
        <v>8</v>
      </c>
      <c r="AK74" s="5" t="s">
        <v>196</v>
      </c>
      <c r="AL74" s="5" t="s">
        <v>8</v>
      </c>
      <c r="AM74" s="5" t="s">
        <v>280</v>
      </c>
      <c r="AN74" s="5" t="s">
        <v>1028</v>
      </c>
      <c r="AO74" s="5" t="s">
        <v>1028</v>
      </c>
      <c r="AP74" s="5" t="s">
        <v>272</v>
      </c>
      <c r="AQ74" s="5" t="s">
        <v>277</v>
      </c>
      <c r="BD74" s="58"/>
      <c r="BM74" s="58"/>
    </row>
    <row r="75" spans="1:202" ht="13.15" hidden="1" customHeight="1" x14ac:dyDescent="0.2">
      <c r="A75" s="3" t="s">
        <v>259</v>
      </c>
      <c r="B75" s="4" t="s">
        <v>271</v>
      </c>
      <c r="C75" s="28">
        <v>2020</v>
      </c>
      <c r="D75" s="16">
        <v>32</v>
      </c>
      <c r="E75" s="16">
        <v>3</v>
      </c>
      <c r="F75" s="63" t="s">
        <v>1108</v>
      </c>
      <c r="G75" s="5" t="s">
        <v>281</v>
      </c>
      <c r="H75" s="5" t="s">
        <v>93</v>
      </c>
      <c r="I75" s="5" t="s">
        <v>282</v>
      </c>
      <c r="J75" s="5" t="s">
        <v>1260</v>
      </c>
      <c r="K75" s="48" t="s">
        <v>1045</v>
      </c>
      <c r="L75" s="5" t="s">
        <v>8</v>
      </c>
      <c r="M75" s="5" t="s">
        <v>9</v>
      </c>
      <c r="N75" s="8">
        <v>0</v>
      </c>
      <c r="O75" s="8">
        <v>0</v>
      </c>
      <c r="P75" s="8" t="s">
        <v>264</v>
      </c>
      <c r="Q75" s="9" t="s">
        <v>275</v>
      </c>
      <c r="R75" s="9" t="s">
        <v>27</v>
      </c>
      <c r="S75" s="9" t="s">
        <v>276</v>
      </c>
      <c r="T75" s="5" t="s">
        <v>1335</v>
      </c>
      <c r="U75" s="45">
        <v>15.54</v>
      </c>
      <c r="V75" s="9">
        <f t="shared" si="4"/>
        <v>1.6804322339145428</v>
      </c>
      <c r="W75" s="9"/>
      <c r="X75" s="9"/>
      <c r="Y75" s="9">
        <f t="shared" si="5"/>
        <v>2.895</v>
      </c>
      <c r="Z75" s="9">
        <f t="shared" si="5"/>
        <v>2.895</v>
      </c>
      <c r="AA75" s="5" t="s">
        <v>12</v>
      </c>
      <c r="AB75" s="7" t="s">
        <v>1123</v>
      </c>
      <c r="AC75" s="5" t="s">
        <v>13</v>
      </c>
      <c r="AD75" s="3">
        <v>9</v>
      </c>
      <c r="AE75" s="5" t="s">
        <v>14</v>
      </c>
      <c r="AF75" s="5" t="s">
        <v>97</v>
      </c>
      <c r="AG75" s="5" t="s">
        <v>8</v>
      </c>
      <c r="AH75" s="5" t="s">
        <v>8</v>
      </c>
      <c r="AI75" s="5" t="s">
        <v>8</v>
      </c>
      <c r="AJ75" s="5" t="s">
        <v>8</v>
      </c>
      <c r="AK75" s="5" t="s">
        <v>196</v>
      </c>
      <c r="AL75" s="5" t="s">
        <v>8</v>
      </c>
      <c r="AM75" s="5" t="s">
        <v>283</v>
      </c>
      <c r="AN75" s="5" t="s">
        <v>1028</v>
      </c>
      <c r="AO75" s="5" t="s">
        <v>1028</v>
      </c>
      <c r="AP75" s="5" t="s">
        <v>272</v>
      </c>
      <c r="AQ75" s="5" t="s">
        <v>277</v>
      </c>
      <c r="BD75" s="58"/>
      <c r="BM75" s="58"/>
    </row>
    <row r="76" spans="1:202" ht="13.15" hidden="1" customHeight="1" x14ac:dyDescent="0.2">
      <c r="A76" s="3" t="s">
        <v>287</v>
      </c>
      <c r="B76" s="4" t="s">
        <v>288</v>
      </c>
      <c r="C76" s="28">
        <v>2012</v>
      </c>
      <c r="D76" s="16">
        <v>33</v>
      </c>
      <c r="E76" s="16">
        <v>1</v>
      </c>
      <c r="F76" s="63" t="s">
        <v>1072</v>
      </c>
      <c r="G76" s="5" t="s">
        <v>290</v>
      </c>
      <c r="H76" s="5" t="s">
        <v>539</v>
      </c>
      <c r="I76" s="5" t="s">
        <v>291</v>
      </c>
      <c r="J76" s="5" t="s">
        <v>90</v>
      </c>
      <c r="K76" s="48" t="s">
        <v>1046</v>
      </c>
      <c r="L76" s="5" t="s">
        <v>1049</v>
      </c>
      <c r="M76" s="5" t="s">
        <v>9</v>
      </c>
      <c r="N76" s="8">
        <f>0.0138*1.65</f>
        <v>2.2769999999999999E-2</v>
      </c>
      <c r="O76" s="8">
        <v>4.1241415192507805E-2</v>
      </c>
      <c r="P76" s="8" t="s">
        <v>292</v>
      </c>
      <c r="Q76" s="9" t="s">
        <v>293</v>
      </c>
      <c r="R76" s="9" t="s">
        <v>27</v>
      </c>
      <c r="S76" s="9" t="s">
        <v>126</v>
      </c>
      <c r="T76" s="5" t="s">
        <v>1336</v>
      </c>
      <c r="U76" s="9">
        <f>0.9+N76</f>
        <v>0.92276999999999998</v>
      </c>
      <c r="V76" s="9">
        <f t="shared" si="4"/>
        <v>-0.93105657097094652</v>
      </c>
      <c r="W76" s="9"/>
      <c r="X76" s="9"/>
      <c r="Y76" s="9">
        <f>2.3+O76</f>
        <v>2.3412414151925076</v>
      </c>
      <c r="Z76" s="9"/>
      <c r="AA76" s="5" t="s">
        <v>12</v>
      </c>
      <c r="AB76" s="62" t="s">
        <v>1043</v>
      </c>
      <c r="AC76" s="5" t="s">
        <v>13</v>
      </c>
      <c r="AD76" s="3">
        <v>9</v>
      </c>
      <c r="AE76" s="5" t="s">
        <v>8</v>
      </c>
      <c r="AF76" s="5" t="s">
        <v>1286</v>
      </c>
      <c r="AG76" s="5" t="s">
        <v>8</v>
      </c>
      <c r="AH76" s="5" t="s">
        <v>8</v>
      </c>
      <c r="AI76" s="5" t="s">
        <v>8</v>
      </c>
      <c r="AJ76" s="5" t="s">
        <v>8</v>
      </c>
      <c r="AK76" s="5" t="s">
        <v>294</v>
      </c>
      <c r="AL76" s="5" t="s">
        <v>8</v>
      </c>
      <c r="AM76" s="5">
        <v>2011</v>
      </c>
      <c r="AN76" s="5" t="s">
        <v>67</v>
      </c>
      <c r="AO76" s="5" t="s">
        <v>67</v>
      </c>
      <c r="AP76" s="5" t="s">
        <v>289</v>
      </c>
      <c r="AQ76" s="5" t="s">
        <v>296</v>
      </c>
      <c r="BD76" s="58"/>
      <c r="BM76" s="58"/>
      <c r="CT76" s="9">
        <f>44.5</f>
        <v>44.5</v>
      </c>
      <c r="CW76" s="9">
        <v>89.8</v>
      </c>
      <c r="CX76" s="59">
        <f>LN(CT76/CW76)</f>
        <v>-0.70209578613595935</v>
      </c>
    </row>
    <row r="77" spans="1:202" ht="13.15" hidden="1" customHeight="1" x14ac:dyDescent="0.2">
      <c r="A77" s="3" t="s">
        <v>287</v>
      </c>
      <c r="B77" s="4" t="s">
        <v>297</v>
      </c>
      <c r="C77" s="28">
        <v>2014</v>
      </c>
      <c r="D77" s="16">
        <v>34</v>
      </c>
      <c r="E77" s="16">
        <v>2</v>
      </c>
      <c r="F77" s="63" t="s">
        <v>1052</v>
      </c>
      <c r="G77" s="5" t="s">
        <v>299</v>
      </c>
      <c r="H77" s="5" t="s">
        <v>539</v>
      </c>
      <c r="I77" s="5" t="s">
        <v>300</v>
      </c>
      <c r="J77" s="5" t="s">
        <v>7</v>
      </c>
      <c r="K77" s="48" t="s">
        <v>1046</v>
      </c>
      <c r="L77" s="5" t="s">
        <v>1049</v>
      </c>
      <c r="M77" s="5" t="s">
        <v>9</v>
      </c>
      <c r="N77" s="8">
        <f>(0.41*1.4441)+(0.41*0.0513)</f>
        <v>0.61311399999999994</v>
      </c>
      <c r="O77" s="8">
        <v>1.73</v>
      </c>
      <c r="P77" s="8" t="s">
        <v>864</v>
      </c>
      <c r="Q77" s="9" t="s">
        <v>293</v>
      </c>
      <c r="R77" s="9" t="s">
        <v>18</v>
      </c>
      <c r="S77" s="9" t="s">
        <v>301</v>
      </c>
      <c r="T77" s="5" t="s">
        <v>1335</v>
      </c>
      <c r="U77" s="9">
        <f>-0.41+N77</f>
        <v>0.20311399999999996</v>
      </c>
      <c r="V77" s="9">
        <f t="shared" si="4"/>
        <v>-2.7508690780027472</v>
      </c>
      <c r="W77" s="9"/>
      <c r="X77" s="9"/>
      <c r="Y77" s="9">
        <f>1.45+O77</f>
        <v>3.1799999999999997</v>
      </c>
      <c r="Z77" s="9"/>
      <c r="AA77" s="5" t="s">
        <v>12</v>
      </c>
      <c r="AB77" s="62" t="s">
        <v>1043</v>
      </c>
      <c r="AC77" s="5" t="s">
        <v>13</v>
      </c>
      <c r="AD77" s="3">
        <v>3</v>
      </c>
      <c r="AE77" s="5" t="s">
        <v>8</v>
      </c>
      <c r="AF77" s="5" t="s">
        <v>1279</v>
      </c>
      <c r="AG77" s="5" t="s">
        <v>8</v>
      </c>
      <c r="AH77" s="5" t="s">
        <v>8</v>
      </c>
      <c r="AI77" s="5" t="s">
        <v>8</v>
      </c>
      <c r="AJ77" s="5" t="s">
        <v>14</v>
      </c>
      <c r="AK77" s="5" t="s">
        <v>187</v>
      </c>
      <c r="AL77" s="5" t="s">
        <v>8</v>
      </c>
      <c r="AM77" s="5" t="s">
        <v>302</v>
      </c>
      <c r="AN77" s="5" t="s">
        <v>18</v>
      </c>
      <c r="AO77" s="5" t="s">
        <v>18</v>
      </c>
      <c r="AP77" s="5" t="s">
        <v>298</v>
      </c>
      <c r="AQ77" s="5" t="s">
        <v>303</v>
      </c>
      <c r="AR77" s="42">
        <v>1.6999999999999999E-7</v>
      </c>
      <c r="AS77" s="42"/>
      <c r="AT77" s="42"/>
      <c r="AU77" s="42">
        <v>2.2000000000000001E-7</v>
      </c>
      <c r="BD77" s="58"/>
      <c r="BE77" s="9">
        <v>0.32</v>
      </c>
      <c r="BF77" s="9"/>
      <c r="BG77" s="9"/>
      <c r="BH77" s="9">
        <v>1.5</v>
      </c>
      <c r="BM77" s="58"/>
      <c r="BN77" s="17">
        <v>1.09E-2</v>
      </c>
      <c r="BO77" s="17"/>
      <c r="BP77" s="17"/>
      <c r="BQ77" s="17">
        <v>6.0599999999999998E-4</v>
      </c>
      <c r="BZ77" s="17">
        <v>5.8699999999999996E-4</v>
      </c>
      <c r="CA77" s="17"/>
      <c r="CB77" s="17"/>
      <c r="CC77" s="17">
        <v>6.3899999999999998E-3</v>
      </c>
      <c r="CT77" s="5">
        <f>23.01+0.29</f>
        <v>23.3</v>
      </c>
      <c r="CW77" s="5">
        <v>78.790000000000006</v>
      </c>
      <c r="CX77" s="59">
        <f>LN(CT77/CW77)</f>
        <v>-1.2183327246859419</v>
      </c>
      <c r="CY77" s="5">
        <f>17.52+37.55</f>
        <v>55.069999999999993</v>
      </c>
      <c r="DB77" s="5">
        <f>0.01+0.12</f>
        <v>0.13</v>
      </c>
    </row>
    <row r="78" spans="1:202" ht="13.15" hidden="1" customHeight="1" x14ac:dyDescent="0.2">
      <c r="A78" s="3" t="s">
        <v>287</v>
      </c>
      <c r="B78" s="4" t="s">
        <v>297</v>
      </c>
      <c r="C78" s="28">
        <v>2014</v>
      </c>
      <c r="D78" s="16">
        <v>34</v>
      </c>
      <c r="E78" s="16">
        <v>1</v>
      </c>
      <c r="F78" s="63" t="s">
        <v>1053</v>
      </c>
      <c r="G78" s="5" t="s">
        <v>299</v>
      </c>
      <c r="H78" s="5" t="s">
        <v>539</v>
      </c>
      <c r="I78" s="5" t="s">
        <v>300</v>
      </c>
      <c r="J78" s="5" t="s">
        <v>7</v>
      </c>
      <c r="K78" s="48" t="s">
        <v>1046</v>
      </c>
      <c r="L78" s="5" t="s">
        <v>1049</v>
      </c>
      <c r="M78" s="5" t="s">
        <v>9</v>
      </c>
      <c r="N78" s="8">
        <f>(0.41*1.4505)+(0.41*0.1032)</f>
        <v>0.63701699999999994</v>
      </c>
      <c r="O78" s="8">
        <v>1.73</v>
      </c>
      <c r="P78" s="8" t="s">
        <v>864</v>
      </c>
      <c r="Q78" s="9" t="s">
        <v>293</v>
      </c>
      <c r="R78" s="9" t="s">
        <v>18</v>
      </c>
      <c r="S78" s="9" t="s">
        <v>301</v>
      </c>
      <c r="T78" s="5" t="s">
        <v>1335</v>
      </c>
      <c r="U78" s="9">
        <f>-0.41+N78</f>
        <v>0.22701699999999997</v>
      </c>
      <c r="V78" s="9">
        <f t="shared" si="4"/>
        <v>-2.6396115712290844</v>
      </c>
      <c r="W78" s="9"/>
      <c r="X78" s="9"/>
      <c r="Y78" s="9">
        <f>1.45+O78</f>
        <v>3.1799999999999997</v>
      </c>
      <c r="Z78" s="9"/>
      <c r="AA78" s="5" t="s">
        <v>12</v>
      </c>
      <c r="AB78" s="62" t="s">
        <v>1043</v>
      </c>
      <c r="AC78" s="5" t="s">
        <v>13</v>
      </c>
      <c r="AD78" s="3">
        <v>3</v>
      </c>
      <c r="AE78" s="5" t="s">
        <v>8</v>
      </c>
      <c r="AF78" s="5" t="s">
        <v>1279</v>
      </c>
      <c r="AG78" s="5" t="s">
        <v>8</v>
      </c>
      <c r="AH78" s="5" t="s">
        <v>8</v>
      </c>
      <c r="AI78" s="5" t="s">
        <v>8</v>
      </c>
      <c r="AJ78" s="5" t="s">
        <v>14</v>
      </c>
      <c r="AK78" s="5" t="s">
        <v>187</v>
      </c>
      <c r="AL78" s="5" t="s">
        <v>8</v>
      </c>
      <c r="AM78" s="5" t="s">
        <v>302</v>
      </c>
      <c r="AN78" s="5" t="s">
        <v>18</v>
      </c>
      <c r="AO78" s="5" t="s">
        <v>18</v>
      </c>
      <c r="AP78" s="5" t="s">
        <v>298</v>
      </c>
      <c r="AQ78" s="5" t="s">
        <v>303</v>
      </c>
      <c r="AR78" s="42">
        <v>1.04E-7</v>
      </c>
      <c r="AS78" s="42"/>
      <c r="AT78" s="42"/>
      <c r="AU78" s="42">
        <v>2.2000000000000001E-7</v>
      </c>
      <c r="BD78" s="58"/>
      <c r="BE78" s="9">
        <v>0.36</v>
      </c>
      <c r="BF78" s="9"/>
      <c r="BG78" s="9"/>
      <c r="BH78" s="9">
        <v>1.5</v>
      </c>
      <c r="BM78" s="58"/>
      <c r="BN78" s="17">
        <v>9.1999999999999998E-3</v>
      </c>
      <c r="BO78" s="17"/>
      <c r="BP78" s="17"/>
      <c r="BQ78" s="17">
        <v>6.0599999999999998E-4</v>
      </c>
      <c r="BZ78" s="17">
        <v>6.6799999999999997E-4</v>
      </c>
      <c r="CA78" s="17"/>
      <c r="CB78" s="17"/>
      <c r="CC78" s="17">
        <v>6.3899999999999998E-3</v>
      </c>
      <c r="CT78" s="5">
        <f>16.93+0.18</f>
        <v>17.11</v>
      </c>
      <c r="CW78" s="5">
        <v>78.790000000000006</v>
      </c>
      <c r="CX78" s="59">
        <f>LN(CT78/CW78)</f>
        <v>-1.5271229973534948</v>
      </c>
      <c r="CY78" s="5">
        <f>13.37+17.52</f>
        <v>30.89</v>
      </c>
      <c r="DB78" s="5">
        <f>0.01+0.12</f>
        <v>0.13</v>
      </c>
    </row>
    <row r="79" spans="1:202" ht="13.15" hidden="1" customHeight="1" x14ac:dyDescent="0.25">
      <c r="A79" s="3" t="s">
        <v>287</v>
      </c>
      <c r="B79" s="65" t="s">
        <v>304</v>
      </c>
      <c r="C79" s="28">
        <v>2016</v>
      </c>
      <c r="D79" s="16">
        <v>35</v>
      </c>
      <c r="E79" s="16">
        <v>1</v>
      </c>
      <c r="F79" s="63" t="s">
        <v>1093</v>
      </c>
      <c r="G79" s="5" t="s">
        <v>306</v>
      </c>
      <c r="H79" s="5" t="s">
        <v>539</v>
      </c>
      <c r="I79" s="5" t="s">
        <v>307</v>
      </c>
      <c r="J79" s="5" t="s">
        <v>90</v>
      </c>
      <c r="K79" s="5" t="s">
        <v>1046</v>
      </c>
      <c r="L79" s="5" t="s">
        <v>1049</v>
      </c>
      <c r="M79" s="5" t="s">
        <v>61</v>
      </c>
      <c r="N79" s="8">
        <v>0</v>
      </c>
      <c r="O79" s="8">
        <v>0</v>
      </c>
      <c r="P79" s="8" t="s">
        <v>308</v>
      </c>
      <c r="Q79" s="9" t="s">
        <v>309</v>
      </c>
      <c r="R79" s="9" t="s">
        <v>27</v>
      </c>
      <c r="S79" s="9" t="s">
        <v>310</v>
      </c>
      <c r="T79" s="5" t="s">
        <v>1337</v>
      </c>
      <c r="U79" s="9">
        <f>12.76</f>
        <v>12.76</v>
      </c>
      <c r="V79" s="9">
        <f t="shared" si="4"/>
        <v>-0.916290731874155</v>
      </c>
      <c r="W79" s="9"/>
      <c r="X79" s="9"/>
      <c r="Y79" s="9">
        <f>31.9</f>
        <v>31.9</v>
      </c>
      <c r="Z79" s="9"/>
      <c r="AA79" s="5" t="s">
        <v>12</v>
      </c>
      <c r="AB79" s="62" t="s">
        <v>1043</v>
      </c>
      <c r="AC79" s="5" t="s">
        <v>13</v>
      </c>
      <c r="AD79" s="3">
        <v>9</v>
      </c>
      <c r="AE79" s="5" t="s">
        <v>8</v>
      </c>
      <c r="AF79" s="5" t="s">
        <v>29</v>
      </c>
      <c r="AG79" s="5" t="s">
        <v>8</v>
      </c>
      <c r="AH79" s="5" t="s">
        <v>8</v>
      </c>
      <c r="AI79" s="5" t="s">
        <v>8</v>
      </c>
      <c r="AJ79" s="5" t="s">
        <v>8</v>
      </c>
      <c r="AK79" s="5" t="s">
        <v>311</v>
      </c>
      <c r="AL79" s="5" t="s">
        <v>14</v>
      </c>
      <c r="AM79" s="5">
        <v>2012</v>
      </c>
      <c r="AN79" s="5" t="s">
        <v>67</v>
      </c>
      <c r="AO79" s="5" t="s">
        <v>1028</v>
      </c>
      <c r="AP79" s="5" t="s">
        <v>305</v>
      </c>
      <c r="AQ79" s="5" t="s">
        <v>312</v>
      </c>
      <c r="AR79" s="18">
        <f>0.000000936/2.3</f>
        <v>4.069565217391305E-7</v>
      </c>
      <c r="AS79" s="18"/>
      <c r="AT79" s="18"/>
      <c r="AU79" s="18">
        <f>0.00000156/3.1</f>
        <v>5.0322580645161289E-7</v>
      </c>
      <c r="AZ79" s="9">
        <f>0.0835/2.3</f>
        <v>3.6304347826086963E-2</v>
      </c>
      <c r="BA79" s="9"/>
      <c r="BB79" s="9"/>
      <c r="BC79" s="9">
        <f>0.167/3.1</f>
        <v>5.3870967741935484E-2</v>
      </c>
      <c r="BD79" s="58">
        <f>LN(AZ79/BC79)</f>
        <v>-0.39465419200394858</v>
      </c>
      <c r="BI79" s="17">
        <f>0.017/2.3</f>
        <v>7.3913043478260878E-3</v>
      </c>
      <c r="BJ79" s="17"/>
      <c r="BK79" s="17"/>
      <c r="BL79" s="17">
        <f>0.0136/3.1</f>
        <v>4.3870967741935479E-3</v>
      </c>
      <c r="BM79" s="58">
        <f>LN(BI79/BL79)</f>
        <v>0.52163653987020653</v>
      </c>
      <c r="BZ79" s="9">
        <f>0.0678/2.3</f>
        <v>2.9478260869565218E-2</v>
      </c>
      <c r="CA79" s="9"/>
      <c r="CB79" s="9"/>
      <c r="CC79" s="9">
        <f>0.113/3.1</f>
        <v>3.6451612903225808E-2</v>
      </c>
      <c r="DG79" s="9">
        <f>12.7/2.3</f>
        <v>5.5217391304347831</v>
      </c>
      <c r="DH79" s="9"/>
      <c r="DI79" s="9"/>
      <c r="DJ79" s="9">
        <f>0.381/3.1</f>
        <v>0.1229032258064516</v>
      </c>
      <c r="DK79" s="9">
        <f>7.5/2.3</f>
        <v>3.2608695652173916</v>
      </c>
      <c r="DL79" s="9"/>
      <c r="DM79" s="9"/>
      <c r="DN79" s="9">
        <f>15/3.1</f>
        <v>4.838709677419355</v>
      </c>
      <c r="DO79" s="9">
        <f>0.278/2.3</f>
        <v>0.12086956521739133</v>
      </c>
      <c r="DP79" s="9"/>
      <c r="DQ79" s="9"/>
      <c r="DR79" s="9">
        <f>0.2224/3.1</f>
        <v>7.1741935483870964E-2</v>
      </c>
      <c r="EA79" s="9">
        <f>0.572/2.3</f>
        <v>0.24869565217391304</v>
      </c>
      <c r="EB79" s="12">
        <f>LN(EA79/ED79)</f>
        <v>0.13588665029106653</v>
      </c>
      <c r="EC79" s="9"/>
      <c r="ED79" s="9">
        <f>0.673/3.1</f>
        <v>0.21709677419354839</v>
      </c>
      <c r="EM79" s="12">
        <f>0.1495/2.3</f>
        <v>6.5000000000000002E-2</v>
      </c>
      <c r="EN79" s="12"/>
      <c r="EO79" s="12"/>
      <c r="EP79" s="12">
        <f>2.99/3.1</f>
        <v>0.96451612903225814</v>
      </c>
      <c r="EQ79" s="12">
        <f>0.0036/2.3</f>
        <v>1.5652173913043479E-3</v>
      </c>
      <c r="ER79" s="12"/>
      <c r="ES79" s="12"/>
      <c r="ET79" s="12">
        <f>0.036/3.1</f>
        <v>1.1612903225806451E-2</v>
      </c>
      <c r="EY79" s="9">
        <f>0.0678/2.3</f>
        <v>2.9478260869565218E-2</v>
      </c>
      <c r="EZ79" s="9"/>
      <c r="FA79" s="9"/>
      <c r="FB79" s="9">
        <f>0.113/3.1</f>
        <v>3.6451612903225808E-2</v>
      </c>
      <c r="FC79" s="9"/>
      <c r="FD79" s="9"/>
      <c r="FE79" s="9"/>
      <c r="FF79" s="9"/>
      <c r="FG79" s="9"/>
      <c r="FH79" s="9"/>
      <c r="FI79" s="9"/>
      <c r="FJ79" s="9"/>
      <c r="FK79" s="9">
        <f>6.52/2.3</f>
        <v>2.8347826086956522</v>
      </c>
      <c r="FL79" s="9"/>
      <c r="FM79" s="9"/>
      <c r="FN79" s="9">
        <f>10.9/3.1</f>
        <v>3.5161290322580645</v>
      </c>
      <c r="FO79" s="25">
        <f>0.139/2.3</f>
        <v>6.0434782608695663E-2</v>
      </c>
      <c r="FP79" s="25"/>
      <c r="FQ79" s="25"/>
      <c r="FR79" s="25">
        <f>0.0834/3.1</f>
        <v>2.6903225806451613E-2</v>
      </c>
      <c r="FS79" s="25">
        <f>0.00134/2.3</f>
        <v>5.8260869565217397E-4</v>
      </c>
      <c r="FT79" s="25"/>
      <c r="FU79" s="25"/>
      <c r="FV79" s="25">
        <f>0.00223/3.1</f>
        <v>7.1935483870967751E-4</v>
      </c>
      <c r="FW79" s="9">
        <f>0.572/2.3</f>
        <v>0.24869565217391304</v>
      </c>
      <c r="FX79" s="9"/>
      <c r="FY79" s="9"/>
      <c r="FZ79" s="9">
        <f>0.673/3.1</f>
        <v>0.21709677419354839</v>
      </c>
      <c r="GA79" s="9">
        <f>3.03/2.3</f>
        <v>1.317391304347826</v>
      </c>
      <c r="GB79" s="9"/>
      <c r="GC79" s="9"/>
      <c r="GD79" s="9">
        <f>10.1/3.1</f>
        <v>3.258064516129032</v>
      </c>
    </row>
    <row r="80" spans="1:202" ht="13.15" hidden="1" customHeight="1" x14ac:dyDescent="0.2">
      <c r="A80" s="3" t="s">
        <v>287</v>
      </c>
      <c r="B80" s="4" t="s">
        <v>313</v>
      </c>
      <c r="C80" s="28">
        <v>2018</v>
      </c>
      <c r="D80" s="16">
        <v>36</v>
      </c>
      <c r="E80" s="16">
        <v>2</v>
      </c>
      <c r="F80" s="5" t="s">
        <v>1096</v>
      </c>
      <c r="G80" s="5" t="s">
        <v>315</v>
      </c>
      <c r="H80" s="5" t="s">
        <v>539</v>
      </c>
      <c r="I80" s="5" t="s">
        <v>320</v>
      </c>
      <c r="J80" s="5" t="s">
        <v>7</v>
      </c>
      <c r="K80" s="5" t="s">
        <v>1046</v>
      </c>
      <c r="L80" s="5" t="s">
        <v>1049</v>
      </c>
      <c r="M80" s="5" t="s">
        <v>61</v>
      </c>
      <c r="N80" s="8">
        <v>0</v>
      </c>
      <c r="O80" s="8">
        <v>0</v>
      </c>
      <c r="P80" s="8" t="s">
        <v>317</v>
      </c>
      <c r="Q80" s="9" t="s">
        <v>309</v>
      </c>
      <c r="R80" s="9" t="s">
        <v>211</v>
      </c>
      <c r="S80" s="9" t="s">
        <v>318</v>
      </c>
      <c r="T80" s="5" t="s">
        <v>1337</v>
      </c>
      <c r="U80" s="9">
        <f>12.75-0.0244</f>
        <v>12.7256</v>
      </c>
      <c r="V80" s="9">
        <f t="shared" si="4"/>
        <v>-0.82209437800546259</v>
      </c>
      <c r="W80" s="9"/>
      <c r="X80" s="9"/>
      <c r="Y80" s="9">
        <f>28.96-0.00595</f>
        <v>28.954050000000002</v>
      </c>
      <c r="Z80" s="9"/>
      <c r="AA80" s="5" t="s">
        <v>12</v>
      </c>
      <c r="AB80" s="62" t="s">
        <v>1043</v>
      </c>
      <c r="AC80" s="5" t="s">
        <v>632</v>
      </c>
      <c r="AD80" s="3">
        <v>9</v>
      </c>
      <c r="AE80" s="5" t="s">
        <v>8</v>
      </c>
      <c r="AF80" s="5" t="s">
        <v>1287</v>
      </c>
      <c r="AG80" s="5" t="s">
        <v>8</v>
      </c>
      <c r="AH80" s="5" t="s">
        <v>8</v>
      </c>
      <c r="AI80" s="5" t="s">
        <v>8</v>
      </c>
      <c r="AJ80" s="5" t="s">
        <v>8</v>
      </c>
      <c r="AK80" s="5" t="s">
        <v>84</v>
      </c>
      <c r="AL80" s="5" t="s">
        <v>8</v>
      </c>
      <c r="AM80" s="5" t="s">
        <v>1028</v>
      </c>
      <c r="AN80" s="5" t="s">
        <v>67</v>
      </c>
      <c r="AO80" s="5" t="s">
        <v>67</v>
      </c>
      <c r="AP80" s="5" t="s">
        <v>314</v>
      </c>
      <c r="AQ80" s="5" t="s">
        <v>319</v>
      </c>
      <c r="BD80" s="58"/>
      <c r="BM80" s="58"/>
    </row>
    <row r="81" spans="1:202" ht="13.15" hidden="1" customHeight="1" x14ac:dyDescent="0.2">
      <c r="A81" s="3" t="s">
        <v>287</v>
      </c>
      <c r="B81" s="4" t="s">
        <v>313</v>
      </c>
      <c r="C81" s="28">
        <v>2018</v>
      </c>
      <c r="D81" s="16">
        <v>36</v>
      </c>
      <c r="E81" s="16">
        <v>1</v>
      </c>
      <c r="F81" s="5" t="s">
        <v>1096</v>
      </c>
      <c r="G81" s="5" t="s">
        <v>315</v>
      </c>
      <c r="H81" s="5" t="s">
        <v>539</v>
      </c>
      <c r="I81" s="5" t="s">
        <v>316</v>
      </c>
      <c r="J81" s="5" t="s">
        <v>90</v>
      </c>
      <c r="K81" s="5" t="s">
        <v>1046</v>
      </c>
      <c r="L81" s="5" t="s">
        <v>1049</v>
      </c>
      <c r="M81" s="5" t="s">
        <v>61</v>
      </c>
      <c r="N81" s="8">
        <v>0</v>
      </c>
      <c r="O81" s="8">
        <v>0</v>
      </c>
      <c r="P81" s="8" t="s">
        <v>317</v>
      </c>
      <c r="Q81" s="9" t="s">
        <v>309</v>
      </c>
      <c r="R81" s="9" t="s">
        <v>211</v>
      </c>
      <c r="S81" s="9" t="s">
        <v>318</v>
      </c>
      <c r="T81" s="5" t="s">
        <v>1337</v>
      </c>
      <c r="U81" s="9">
        <f>11.83-0.0309</f>
        <v>11.799099999999999</v>
      </c>
      <c r="V81" s="9">
        <f t="shared" si="4"/>
        <v>-0.89768683323109277</v>
      </c>
      <c r="W81" s="9"/>
      <c r="X81" s="9"/>
      <c r="Y81" s="9">
        <f>(28.96-0.00595)</f>
        <v>28.954050000000002</v>
      </c>
      <c r="Z81" s="9"/>
      <c r="AA81" s="5" t="s">
        <v>12</v>
      </c>
      <c r="AB81" s="62" t="s">
        <v>1043</v>
      </c>
      <c r="AC81" s="5" t="s">
        <v>632</v>
      </c>
      <c r="AD81" s="3">
        <v>9</v>
      </c>
      <c r="AE81" s="5" t="s">
        <v>8</v>
      </c>
      <c r="AF81" s="5" t="s">
        <v>1287</v>
      </c>
      <c r="AG81" s="5" t="s">
        <v>8</v>
      </c>
      <c r="AH81" s="5" t="s">
        <v>8</v>
      </c>
      <c r="AI81" s="5" t="s">
        <v>8</v>
      </c>
      <c r="AJ81" s="5" t="s">
        <v>8</v>
      </c>
      <c r="AK81" s="5" t="s">
        <v>84</v>
      </c>
      <c r="AL81" s="5" t="s">
        <v>8</v>
      </c>
      <c r="AM81" s="5" t="s">
        <v>1028</v>
      </c>
      <c r="AN81" s="5" t="s">
        <v>67</v>
      </c>
      <c r="AO81" s="5" t="s">
        <v>67</v>
      </c>
      <c r="AP81" s="5" t="s">
        <v>314</v>
      </c>
      <c r="AQ81" s="5" t="s">
        <v>319</v>
      </c>
      <c r="BD81" s="58"/>
      <c r="BM81" s="58"/>
    </row>
    <row r="82" spans="1:202" ht="13.15" hidden="1" customHeight="1" x14ac:dyDescent="0.25">
      <c r="A82" s="3" t="s">
        <v>287</v>
      </c>
      <c r="B82" s="65" t="s">
        <v>313</v>
      </c>
      <c r="C82" s="28">
        <v>2018</v>
      </c>
      <c r="D82" s="16">
        <v>36</v>
      </c>
      <c r="E82" s="16">
        <v>3</v>
      </c>
      <c r="F82" s="5" t="s">
        <v>1096</v>
      </c>
      <c r="G82" s="5" t="s">
        <v>315</v>
      </c>
      <c r="H82" s="5" t="s">
        <v>539</v>
      </c>
      <c r="I82" s="5" t="s">
        <v>321</v>
      </c>
      <c r="J82" s="5" t="s">
        <v>90</v>
      </c>
      <c r="K82" s="5" t="s">
        <v>1046</v>
      </c>
      <c r="L82" s="5" t="s">
        <v>1049</v>
      </c>
      <c r="M82" s="5" t="s">
        <v>61</v>
      </c>
      <c r="N82" s="8">
        <v>0</v>
      </c>
      <c r="O82" s="8">
        <v>0</v>
      </c>
      <c r="P82" s="8" t="s">
        <v>317</v>
      </c>
      <c r="Q82" s="9" t="s">
        <v>309</v>
      </c>
      <c r="R82" s="9" t="s">
        <v>211</v>
      </c>
      <c r="S82" s="9" t="s">
        <v>318</v>
      </c>
      <c r="T82" s="5" t="s">
        <v>1337</v>
      </c>
      <c r="U82" s="9">
        <f>13.4-0.0278</f>
        <v>13.372200000000001</v>
      </c>
      <c r="V82" s="9">
        <f t="shared" si="4"/>
        <v>-0.77253216553568793</v>
      </c>
      <c r="W82" s="9"/>
      <c r="X82" s="9"/>
      <c r="Y82" s="9">
        <f>(28.96-0.00595)</f>
        <v>28.954050000000002</v>
      </c>
      <c r="Z82" s="9"/>
      <c r="AA82" s="5" t="s">
        <v>12</v>
      </c>
      <c r="AB82" s="62" t="s">
        <v>1043</v>
      </c>
      <c r="AC82" s="5" t="s">
        <v>632</v>
      </c>
      <c r="AD82" s="3">
        <v>9</v>
      </c>
      <c r="AE82" s="5" t="s">
        <v>8</v>
      </c>
      <c r="AF82" s="5" t="s">
        <v>1287</v>
      </c>
      <c r="AG82" s="5" t="s">
        <v>8</v>
      </c>
      <c r="AH82" s="5" t="s">
        <v>8</v>
      </c>
      <c r="AI82" s="5" t="s">
        <v>8</v>
      </c>
      <c r="AJ82" s="5" t="s">
        <v>8</v>
      </c>
      <c r="AK82" s="5" t="s">
        <v>84</v>
      </c>
      <c r="AL82" s="5" t="s">
        <v>8</v>
      </c>
      <c r="AM82" s="5" t="s">
        <v>1028</v>
      </c>
      <c r="AN82" s="5" t="s">
        <v>67</v>
      </c>
      <c r="AO82" s="5" t="s">
        <v>1028</v>
      </c>
      <c r="AP82" s="5" t="s">
        <v>314</v>
      </c>
      <c r="AQ82" s="5" t="s">
        <v>319</v>
      </c>
      <c r="BD82" s="58"/>
      <c r="BM82" s="58"/>
    </row>
    <row r="83" spans="1:202" ht="13.15" hidden="1" customHeight="1" x14ac:dyDescent="0.2">
      <c r="A83" s="3" t="s">
        <v>287</v>
      </c>
      <c r="B83" s="4" t="s">
        <v>322</v>
      </c>
      <c r="C83" s="28">
        <v>2020</v>
      </c>
      <c r="D83" s="16">
        <v>37</v>
      </c>
      <c r="E83" s="16">
        <v>2</v>
      </c>
      <c r="F83" s="63" t="s">
        <v>1065</v>
      </c>
      <c r="G83" s="5" t="s">
        <v>328</v>
      </c>
      <c r="H83" s="5" t="s">
        <v>93</v>
      </c>
      <c r="I83" s="5" t="s">
        <v>43</v>
      </c>
      <c r="J83" s="5" t="s">
        <v>25</v>
      </c>
      <c r="K83" s="5" t="s">
        <v>1045</v>
      </c>
      <c r="L83" s="5" t="s">
        <v>52</v>
      </c>
      <c r="M83" s="5" t="s">
        <v>9</v>
      </c>
      <c r="N83" s="8">
        <v>3.14</v>
      </c>
      <c r="O83" s="8">
        <v>3.14</v>
      </c>
      <c r="P83" s="8" t="s">
        <v>863</v>
      </c>
      <c r="Q83" s="9" t="s">
        <v>309</v>
      </c>
      <c r="R83" s="9" t="s">
        <v>27</v>
      </c>
      <c r="S83" s="9" t="s">
        <v>325</v>
      </c>
      <c r="T83" s="5" t="s">
        <v>1335</v>
      </c>
      <c r="U83" s="9">
        <f>-1.81+N83</f>
        <v>1.33</v>
      </c>
      <c r="V83" s="9">
        <f t="shared" si="4"/>
        <v>-1.3538177724419824</v>
      </c>
      <c r="W83" s="9"/>
      <c r="X83" s="9"/>
      <c r="Y83" s="9">
        <f>2.01+O83</f>
        <v>5.15</v>
      </c>
      <c r="Z83" s="9"/>
      <c r="AA83" s="5" t="s">
        <v>12</v>
      </c>
      <c r="AB83" s="62" t="s">
        <v>1043</v>
      </c>
      <c r="AC83" s="5" t="s">
        <v>13</v>
      </c>
      <c r="AD83" s="3">
        <v>3</v>
      </c>
      <c r="AE83" s="5" t="s">
        <v>8</v>
      </c>
      <c r="AF83" s="5" t="s">
        <v>1279</v>
      </c>
      <c r="AG83" s="5" t="s">
        <v>8</v>
      </c>
      <c r="AH83" s="5" t="s">
        <v>14</v>
      </c>
      <c r="AI83" s="5" t="s">
        <v>8</v>
      </c>
      <c r="AJ83" s="5" t="s">
        <v>14</v>
      </c>
      <c r="AK83" s="5" t="s">
        <v>84</v>
      </c>
      <c r="AL83" s="5" t="s">
        <v>14</v>
      </c>
      <c r="AM83" s="5">
        <v>2018</v>
      </c>
      <c r="AN83" s="5" t="s">
        <v>44</v>
      </c>
      <c r="AO83" s="5" t="s">
        <v>44</v>
      </c>
      <c r="AP83" s="5" t="s">
        <v>323</v>
      </c>
      <c r="AQ83" s="5" t="s">
        <v>327</v>
      </c>
      <c r="AZ83" s="12">
        <v>1.84E-2</v>
      </c>
      <c r="BA83" s="12"/>
      <c r="BB83" s="12"/>
      <c r="BC83" s="12">
        <v>5.2399999999999999E-3</v>
      </c>
      <c r="BD83" s="58">
        <f>LN(AZ83/BC83)</f>
        <v>1.2560291662819891</v>
      </c>
      <c r="BI83" s="25">
        <v>3.9899999999999999E-4</v>
      </c>
      <c r="BJ83" s="25"/>
      <c r="BK83" s="25"/>
      <c r="BL83" s="25">
        <v>2.7900000000000001E-5</v>
      </c>
      <c r="BM83" s="58">
        <f>LN(BI83/BL83)</f>
        <v>2.6603347280625433</v>
      </c>
      <c r="GA83" s="9">
        <v>0.4</v>
      </c>
      <c r="GB83" s="9"/>
      <c r="GC83" s="9"/>
      <c r="GD83" s="9">
        <v>1.57</v>
      </c>
    </row>
    <row r="84" spans="1:202" ht="13.15" hidden="1" customHeight="1" x14ac:dyDescent="0.2">
      <c r="A84" s="3" t="s">
        <v>287</v>
      </c>
      <c r="B84" s="4" t="s">
        <v>322</v>
      </c>
      <c r="C84" s="28">
        <v>2020</v>
      </c>
      <c r="D84" s="16">
        <v>37</v>
      </c>
      <c r="E84" s="16">
        <v>1</v>
      </c>
      <c r="F84" s="63" t="s">
        <v>1065</v>
      </c>
      <c r="G84" s="5" t="s">
        <v>324</v>
      </c>
      <c r="H84" s="5" t="s">
        <v>93</v>
      </c>
      <c r="I84" s="5" t="s">
        <v>43</v>
      </c>
      <c r="J84" s="5" t="s">
        <v>25</v>
      </c>
      <c r="K84" s="5" t="s">
        <v>1045</v>
      </c>
      <c r="L84" s="5" t="s">
        <v>52</v>
      </c>
      <c r="M84" s="5" t="s">
        <v>9</v>
      </c>
      <c r="N84" s="8">
        <v>3.14</v>
      </c>
      <c r="O84" s="8">
        <v>3.14</v>
      </c>
      <c r="P84" s="8" t="s">
        <v>863</v>
      </c>
      <c r="Q84" s="9" t="s">
        <v>309</v>
      </c>
      <c r="R84" s="9" t="s">
        <v>27</v>
      </c>
      <c r="S84" s="9" t="s">
        <v>325</v>
      </c>
      <c r="T84" s="5" t="s">
        <v>1335</v>
      </c>
      <c r="U84" s="9">
        <f>-1.79+N84</f>
        <v>1.35</v>
      </c>
      <c r="V84" s="9">
        <f t="shared" si="4"/>
        <v>-1.3388921222253067</v>
      </c>
      <c r="W84" s="9"/>
      <c r="X84" s="9"/>
      <c r="Y84" s="9">
        <f>2.01+O84</f>
        <v>5.15</v>
      </c>
      <c r="Z84" s="9"/>
      <c r="AA84" s="5" t="s">
        <v>12</v>
      </c>
      <c r="AB84" s="62" t="s">
        <v>1043</v>
      </c>
      <c r="AC84" s="5" t="s">
        <v>13</v>
      </c>
      <c r="AD84" s="3">
        <v>3</v>
      </c>
      <c r="AE84" s="5" t="s">
        <v>8</v>
      </c>
      <c r="AF84" s="5" t="s">
        <v>1279</v>
      </c>
      <c r="AG84" s="5" t="s">
        <v>8</v>
      </c>
      <c r="AH84" s="5" t="s">
        <v>14</v>
      </c>
      <c r="AI84" s="5" t="s">
        <v>8</v>
      </c>
      <c r="AJ84" s="5" t="s">
        <v>14</v>
      </c>
      <c r="AK84" s="5" t="s">
        <v>84</v>
      </c>
      <c r="AL84" s="5" t="s">
        <v>326</v>
      </c>
      <c r="AM84" s="5">
        <v>2018</v>
      </c>
      <c r="AN84" s="5" t="s">
        <v>44</v>
      </c>
      <c r="AO84" s="5" t="s">
        <v>44</v>
      </c>
      <c r="AP84" s="5" t="s">
        <v>323</v>
      </c>
      <c r="AQ84" s="5" t="s">
        <v>327</v>
      </c>
      <c r="AZ84" s="12">
        <v>1.9099999999999999E-2</v>
      </c>
      <c r="BA84" s="12"/>
      <c r="BB84" s="12"/>
      <c r="BC84" s="12">
        <v>5.2399999999999999E-3</v>
      </c>
      <c r="BD84" s="58">
        <f>LN(AZ84/BC84)</f>
        <v>1.2933668367196334</v>
      </c>
      <c r="BI84" s="25">
        <v>4.1300000000000001E-4</v>
      </c>
      <c r="BJ84" s="25"/>
      <c r="BK84" s="25"/>
      <c r="BL84" s="25">
        <v>2.7900000000000001E-5</v>
      </c>
      <c r="BM84" s="58">
        <f>LN(BI84/BL84)</f>
        <v>2.6948209041337128</v>
      </c>
      <c r="GA84" s="9">
        <v>0.41</v>
      </c>
      <c r="GB84" s="9"/>
      <c r="GC84" s="9"/>
      <c r="GD84" s="9">
        <v>1.57</v>
      </c>
    </row>
    <row r="85" spans="1:202" s="145" customFormat="1" ht="13.9" customHeight="1" x14ac:dyDescent="0.25">
      <c r="A85" s="145" t="s">
        <v>329</v>
      </c>
      <c r="B85" s="146" t="s">
        <v>345</v>
      </c>
      <c r="C85" s="147">
        <v>2017</v>
      </c>
      <c r="D85" s="148">
        <v>40</v>
      </c>
      <c r="E85" s="148">
        <v>1</v>
      </c>
      <c r="F85" s="145" t="s">
        <v>862</v>
      </c>
      <c r="G85" s="5" t="s">
        <v>16</v>
      </c>
      <c r="H85" s="5" t="s">
        <v>5</v>
      </c>
      <c r="I85" s="5" t="s">
        <v>347</v>
      </c>
      <c r="J85" s="5" t="s">
        <v>90</v>
      </c>
      <c r="K85" s="5" t="s">
        <v>1046</v>
      </c>
      <c r="L85" s="5" t="s">
        <v>1049</v>
      </c>
      <c r="M85" s="5" t="s">
        <v>9</v>
      </c>
      <c r="N85" s="7">
        <v>1.69</v>
      </c>
      <c r="O85" s="7">
        <v>3.13</v>
      </c>
      <c r="P85" s="150" t="s">
        <v>869</v>
      </c>
      <c r="Q85" s="145" t="s">
        <v>309</v>
      </c>
      <c r="R85" s="145" t="s">
        <v>67</v>
      </c>
      <c r="S85" s="145" t="s">
        <v>348</v>
      </c>
      <c r="T85" s="145" t="s">
        <v>1335</v>
      </c>
      <c r="U85" s="151">
        <f>3+N85</f>
        <v>4.6899999999999995</v>
      </c>
      <c r="V85" s="151">
        <f t="shared" si="4"/>
        <v>-6.9987401653459819E-2</v>
      </c>
      <c r="W85" s="151"/>
      <c r="X85" s="151"/>
      <c r="Y85" s="151">
        <f>1.9+O85</f>
        <v>5.0299999999999994</v>
      </c>
      <c r="Z85" s="151"/>
      <c r="AA85" s="145" t="s">
        <v>12</v>
      </c>
      <c r="AB85" s="150" t="s">
        <v>1123</v>
      </c>
      <c r="AC85" s="145" t="s">
        <v>13</v>
      </c>
      <c r="AD85" s="145">
        <v>9</v>
      </c>
      <c r="AE85" s="145" t="s">
        <v>8</v>
      </c>
      <c r="AF85" s="145" t="s">
        <v>1289</v>
      </c>
      <c r="AG85" s="145" t="s">
        <v>8</v>
      </c>
      <c r="AH85" s="145" t="s">
        <v>8</v>
      </c>
      <c r="AI85" s="145" t="s">
        <v>8</v>
      </c>
      <c r="AJ85" s="145" t="s">
        <v>8</v>
      </c>
      <c r="AK85" s="145" t="s">
        <v>84</v>
      </c>
      <c r="AL85" s="145" t="s">
        <v>8</v>
      </c>
      <c r="AM85" s="145" t="s">
        <v>349</v>
      </c>
      <c r="AN85" s="145" t="s">
        <v>67</v>
      </c>
      <c r="AO85" s="145" t="s">
        <v>67</v>
      </c>
      <c r="AP85" s="145" t="s">
        <v>346</v>
      </c>
      <c r="AQ85" s="145" t="s">
        <v>351</v>
      </c>
      <c r="BD85" s="152"/>
      <c r="BI85" s="153">
        <v>1.8E-3</v>
      </c>
      <c r="BJ85" s="153"/>
      <c r="BK85" s="153"/>
      <c r="BL85" s="153">
        <v>4.0000000000000002E-4</v>
      </c>
      <c r="BM85" s="152">
        <f>LN(BI85/BL85)</f>
        <v>1.5040773967762742</v>
      </c>
      <c r="CT85" s="145">
        <v>38</v>
      </c>
      <c r="CW85" s="145">
        <v>81</v>
      </c>
      <c r="CX85" s="154">
        <f>LN(CT85/CW85)</f>
        <v>-0.75686299494605302</v>
      </c>
    </row>
    <row r="86" spans="1:202" s="145" customFormat="1" ht="13.15" customHeight="1" x14ac:dyDescent="0.2">
      <c r="A86" s="145" t="s">
        <v>329</v>
      </c>
      <c r="B86" s="149" t="s">
        <v>345</v>
      </c>
      <c r="C86" s="147">
        <v>2017</v>
      </c>
      <c r="D86" s="148">
        <v>40</v>
      </c>
      <c r="E86" s="148">
        <v>2</v>
      </c>
      <c r="F86" s="145" t="s">
        <v>862</v>
      </c>
      <c r="G86" s="5" t="s">
        <v>16</v>
      </c>
      <c r="H86" s="5" t="s">
        <v>5</v>
      </c>
      <c r="I86" s="5" t="s">
        <v>352</v>
      </c>
      <c r="J86" s="5" t="s">
        <v>1260</v>
      </c>
      <c r="K86" s="5" t="s">
        <v>726</v>
      </c>
      <c r="L86" s="5" t="s">
        <v>8</v>
      </c>
      <c r="M86" s="5" t="s">
        <v>9</v>
      </c>
      <c r="N86" s="7">
        <v>1.69</v>
      </c>
      <c r="O86" s="7">
        <v>3.13</v>
      </c>
      <c r="P86" s="150" t="s">
        <v>869</v>
      </c>
      <c r="Q86" s="145" t="s">
        <v>309</v>
      </c>
      <c r="R86" s="145" t="s">
        <v>67</v>
      </c>
      <c r="S86" s="145" t="s">
        <v>348</v>
      </c>
      <c r="T86" s="145" t="s">
        <v>1335</v>
      </c>
      <c r="U86" s="151">
        <f>1.5+N86</f>
        <v>3.19</v>
      </c>
      <c r="V86" s="151">
        <f t="shared" si="4"/>
        <v>-0.45539906731489449</v>
      </c>
      <c r="W86" s="151"/>
      <c r="X86" s="151"/>
      <c r="Y86" s="151">
        <f>1.9+O86</f>
        <v>5.0299999999999994</v>
      </c>
      <c r="Z86" s="151"/>
      <c r="AA86" s="145" t="s">
        <v>12</v>
      </c>
      <c r="AB86" s="150" t="s">
        <v>1123</v>
      </c>
      <c r="AC86" s="145" t="s">
        <v>13</v>
      </c>
      <c r="AD86" s="145">
        <v>9</v>
      </c>
      <c r="AE86" s="145" t="s">
        <v>8</v>
      </c>
      <c r="AF86" s="145" t="s">
        <v>1289</v>
      </c>
      <c r="AG86" s="145" t="s">
        <v>8</v>
      </c>
      <c r="AH86" s="145" t="s">
        <v>8</v>
      </c>
      <c r="AI86" s="145" t="s">
        <v>8</v>
      </c>
      <c r="AJ86" s="145" t="s">
        <v>8</v>
      </c>
      <c r="AK86" s="145" t="s">
        <v>84</v>
      </c>
      <c r="AL86" s="145" t="s">
        <v>8</v>
      </c>
      <c r="AM86" s="145" t="s">
        <v>349</v>
      </c>
      <c r="AN86" s="145" t="s">
        <v>67</v>
      </c>
      <c r="AO86" s="145" t="s">
        <v>1028</v>
      </c>
      <c r="AP86" s="145" t="s">
        <v>346</v>
      </c>
      <c r="AQ86" s="145" t="s">
        <v>351</v>
      </c>
      <c r="BD86" s="152"/>
      <c r="BI86" s="153">
        <v>1.4E-3</v>
      </c>
      <c r="BJ86" s="153"/>
      <c r="BK86" s="153"/>
      <c r="BL86" s="153">
        <v>4.0000000000000002E-4</v>
      </c>
      <c r="BM86" s="152">
        <f>LN(BI86/BL86)</f>
        <v>1.2527629684953681</v>
      </c>
      <c r="CT86" s="145">
        <v>37</v>
      </c>
      <c r="CW86" s="145">
        <v>81</v>
      </c>
      <c r="CX86" s="154">
        <f>LN(CT86/CW86)</f>
        <v>-0.78353124202821434</v>
      </c>
      <c r="DG86" s="145">
        <v>1.3</v>
      </c>
      <c r="DJ86" s="145">
        <v>1E-3</v>
      </c>
    </row>
    <row r="87" spans="1:202" ht="13.15" hidden="1" customHeight="1" x14ac:dyDescent="0.2">
      <c r="A87" s="3" t="s">
        <v>329</v>
      </c>
      <c r="B87" s="4" t="s">
        <v>472</v>
      </c>
      <c r="C87" s="28">
        <v>2019</v>
      </c>
      <c r="D87" s="16">
        <v>58</v>
      </c>
      <c r="E87" s="16">
        <v>2</v>
      </c>
      <c r="F87" s="5" t="s">
        <v>1118</v>
      </c>
      <c r="G87" s="19" t="s">
        <v>478</v>
      </c>
      <c r="H87" s="5" t="s">
        <v>93</v>
      </c>
      <c r="I87" s="5" t="s">
        <v>475</v>
      </c>
      <c r="J87" s="5" t="s">
        <v>7</v>
      </c>
      <c r="K87" s="5" t="s">
        <v>1046</v>
      </c>
      <c r="L87" s="5" t="s">
        <v>1049</v>
      </c>
      <c r="M87" s="5" t="s">
        <v>9</v>
      </c>
      <c r="N87" s="7">
        <v>0</v>
      </c>
      <c r="O87" s="7">
        <v>1.49</v>
      </c>
      <c r="P87" s="7" t="s">
        <v>4</v>
      </c>
      <c r="Q87" s="5" t="s">
        <v>309</v>
      </c>
      <c r="R87" s="5" t="s">
        <v>1028</v>
      </c>
      <c r="S87" s="5" t="s">
        <v>455</v>
      </c>
      <c r="T87" s="5" t="s">
        <v>1335</v>
      </c>
      <c r="U87" s="9">
        <v>1.76</v>
      </c>
      <c r="V87" s="9">
        <f t="shared" si="4"/>
        <v>-1.3049487216659381</v>
      </c>
      <c r="W87" s="9"/>
      <c r="X87" s="9"/>
      <c r="Y87" s="9">
        <f>5+O87</f>
        <v>6.49</v>
      </c>
      <c r="Z87" s="9"/>
      <c r="AA87" s="5" t="s">
        <v>12</v>
      </c>
      <c r="AB87" s="62" t="s">
        <v>1043</v>
      </c>
      <c r="AC87" s="5" t="s">
        <v>13</v>
      </c>
      <c r="AD87" s="66">
        <v>2</v>
      </c>
      <c r="AE87" s="5" t="s">
        <v>8</v>
      </c>
      <c r="AF87" s="5" t="s">
        <v>1279</v>
      </c>
      <c r="AG87" s="5" t="s">
        <v>8</v>
      </c>
      <c r="AH87" s="5" t="s">
        <v>8</v>
      </c>
      <c r="AI87" s="5" t="s">
        <v>8</v>
      </c>
      <c r="AJ87" s="5" t="s">
        <v>8</v>
      </c>
      <c r="AK87" s="5" t="s">
        <v>84</v>
      </c>
      <c r="AL87" s="5" t="s">
        <v>8</v>
      </c>
      <c r="AM87" s="5">
        <v>2019</v>
      </c>
      <c r="AN87" s="5" t="s">
        <v>67</v>
      </c>
      <c r="AO87" s="5" t="s">
        <v>1028</v>
      </c>
      <c r="AP87" s="5" t="s">
        <v>473</v>
      </c>
      <c r="AQ87" s="5" t="s">
        <v>477</v>
      </c>
      <c r="BD87" s="58"/>
      <c r="BM87" s="58"/>
    </row>
    <row r="88" spans="1:202" s="114" customFormat="1" ht="13.15" customHeight="1" x14ac:dyDescent="0.2">
      <c r="A88" s="114" t="s">
        <v>329</v>
      </c>
      <c r="B88" s="115" t="s">
        <v>409</v>
      </c>
      <c r="C88" s="116">
        <v>2017</v>
      </c>
      <c r="D88" s="117">
        <v>49</v>
      </c>
      <c r="E88" s="117">
        <v>1</v>
      </c>
      <c r="F88" s="114" t="s">
        <v>1098</v>
      </c>
      <c r="G88" s="5" t="s">
        <v>411</v>
      </c>
      <c r="H88" s="5" t="s">
        <v>539</v>
      </c>
      <c r="I88" s="5" t="s">
        <v>412</v>
      </c>
      <c r="J88" s="5" t="s">
        <v>25</v>
      </c>
      <c r="K88" s="5" t="s">
        <v>1046</v>
      </c>
      <c r="L88" s="5" t="s">
        <v>1049</v>
      </c>
      <c r="M88" s="5" t="s">
        <v>9</v>
      </c>
      <c r="N88" s="7">
        <v>0</v>
      </c>
      <c r="O88" s="7">
        <v>3.13</v>
      </c>
      <c r="P88" s="118" t="s">
        <v>869</v>
      </c>
      <c r="Q88" s="114" t="s">
        <v>309</v>
      </c>
      <c r="R88" s="114" t="s">
        <v>27</v>
      </c>
      <c r="S88" s="114" t="s">
        <v>413</v>
      </c>
      <c r="T88" s="114" t="s">
        <v>1335</v>
      </c>
      <c r="U88" s="119">
        <v>4.3</v>
      </c>
      <c r="V88" s="119">
        <f t="shared" si="4"/>
        <v>-0.19004360288786487</v>
      </c>
      <c r="W88" s="119"/>
      <c r="X88" s="119"/>
      <c r="Y88" s="119">
        <f>2.07+O88</f>
        <v>5.1999999999999993</v>
      </c>
      <c r="Z88" s="119">
        <v>2.0699999999999998</v>
      </c>
      <c r="AA88" s="114" t="s">
        <v>12</v>
      </c>
      <c r="AB88" s="120" t="s">
        <v>1043</v>
      </c>
      <c r="AC88" s="114" t="s">
        <v>13</v>
      </c>
      <c r="AD88" s="114">
        <v>9</v>
      </c>
      <c r="AE88" s="114" t="s">
        <v>8</v>
      </c>
      <c r="AF88" s="114" t="s">
        <v>1293</v>
      </c>
      <c r="AG88" s="114" t="s">
        <v>8</v>
      </c>
      <c r="AH88" s="114" t="s">
        <v>8</v>
      </c>
      <c r="AI88" s="114" t="s">
        <v>8</v>
      </c>
      <c r="AJ88" s="114" t="s">
        <v>8</v>
      </c>
      <c r="AK88" s="114" t="s">
        <v>84</v>
      </c>
      <c r="AL88" s="114" t="s">
        <v>8</v>
      </c>
      <c r="AM88" s="114" t="s">
        <v>414</v>
      </c>
      <c r="AN88" s="114" t="s">
        <v>44</v>
      </c>
      <c r="AO88" s="114" t="s">
        <v>44</v>
      </c>
      <c r="AP88" s="121" t="s">
        <v>410</v>
      </c>
      <c r="AQ88" s="114" t="s">
        <v>415</v>
      </c>
      <c r="AZ88" s="122">
        <f>17.3/1000</f>
        <v>1.7299999999999999E-2</v>
      </c>
      <c r="BA88" s="122"/>
      <c r="BB88" s="122"/>
      <c r="BC88" s="122">
        <v>4.8999999999999998E-3</v>
      </c>
      <c r="BD88" s="123">
        <f>LN(AZ88/BC88)</f>
        <v>1.2614712963871524</v>
      </c>
      <c r="BI88" s="124">
        <f>2.56/1000</f>
        <v>2.5600000000000002E-3</v>
      </c>
      <c r="BJ88" s="124"/>
      <c r="BK88" s="124"/>
      <c r="BL88" s="124">
        <f>0.0000019</f>
        <v>1.9E-6</v>
      </c>
      <c r="BM88" s="123">
        <f>LN(BI88/BL88)</f>
        <v>7.2059086513012138</v>
      </c>
      <c r="CX88" s="125"/>
      <c r="EQ88" s="119">
        <f>11.2/1000</f>
        <v>1.12E-2</v>
      </c>
      <c r="ER88" s="119"/>
      <c r="ES88" s="119"/>
      <c r="ET88" s="119">
        <v>0.85099999999999998</v>
      </c>
      <c r="GI88" s="126">
        <f>2232/1000</f>
        <v>2.2320000000000002</v>
      </c>
      <c r="GJ88" s="126"/>
      <c r="GK88" s="126"/>
      <c r="GL88" s="126">
        <v>1.3799647999999999E-4</v>
      </c>
    </row>
    <row r="89" spans="1:202" ht="13.15" hidden="1" customHeight="1" x14ac:dyDescent="0.2">
      <c r="A89" s="3" t="s">
        <v>329</v>
      </c>
      <c r="B89" s="4" t="s">
        <v>386</v>
      </c>
      <c r="C89" s="28">
        <v>2017</v>
      </c>
      <c r="D89" s="16">
        <v>46</v>
      </c>
      <c r="E89" s="16">
        <v>4</v>
      </c>
      <c r="F89" s="63" t="s">
        <v>1084</v>
      </c>
      <c r="G89" s="19" t="s">
        <v>392</v>
      </c>
      <c r="H89" s="5" t="s">
        <v>5</v>
      </c>
      <c r="I89" s="5" t="s">
        <v>6</v>
      </c>
      <c r="J89" s="5" t="s">
        <v>7</v>
      </c>
      <c r="K89" s="5" t="s">
        <v>1046</v>
      </c>
      <c r="L89" s="5" t="s">
        <v>1049</v>
      </c>
      <c r="M89" s="5" t="s">
        <v>61</v>
      </c>
      <c r="N89" s="7">
        <v>1.87</v>
      </c>
      <c r="O89" s="7">
        <v>1.87</v>
      </c>
      <c r="P89" s="7" t="s">
        <v>391</v>
      </c>
      <c r="Q89" s="5" t="s">
        <v>309</v>
      </c>
      <c r="R89" s="5" t="s">
        <v>18</v>
      </c>
      <c r="S89" s="5" t="s">
        <v>383</v>
      </c>
      <c r="T89" s="5" t="s">
        <v>1335</v>
      </c>
      <c r="U89" s="9">
        <f>1.63+N89</f>
        <v>3.5</v>
      </c>
      <c r="V89" s="9">
        <f t="shared" si="4"/>
        <v>-0.26675023641074536</v>
      </c>
      <c r="W89" s="9"/>
      <c r="X89" s="9"/>
      <c r="Y89" s="9">
        <f>2.7+O89</f>
        <v>4.57</v>
      </c>
      <c r="Z89" s="9"/>
      <c r="AA89" s="5" t="s">
        <v>12</v>
      </c>
      <c r="AB89" s="7" t="s">
        <v>1123</v>
      </c>
      <c r="AC89" s="5" t="s">
        <v>13</v>
      </c>
      <c r="AD89" s="3">
        <v>9</v>
      </c>
      <c r="AE89" s="5" t="s">
        <v>14</v>
      </c>
      <c r="AF89" s="5" t="s">
        <v>97</v>
      </c>
      <c r="AG89" s="5" t="s">
        <v>14</v>
      </c>
      <c r="AH89" s="5" t="s">
        <v>8</v>
      </c>
      <c r="AI89" s="5" t="s">
        <v>8</v>
      </c>
      <c r="AJ89" s="5" t="s">
        <v>8</v>
      </c>
      <c r="AK89" s="5" t="s">
        <v>116</v>
      </c>
      <c r="AL89" s="5" t="s">
        <v>8</v>
      </c>
      <c r="AM89" s="5" t="s">
        <v>389</v>
      </c>
      <c r="AN89" s="5" t="s">
        <v>18</v>
      </c>
      <c r="AO89" s="5" t="s">
        <v>18</v>
      </c>
      <c r="AP89" s="19" t="s">
        <v>387</v>
      </c>
      <c r="AQ89" s="5" t="s">
        <v>390</v>
      </c>
      <c r="BD89" s="58"/>
      <c r="BM89" s="58"/>
    </row>
    <row r="90" spans="1:202" ht="13.15" hidden="1" customHeight="1" x14ac:dyDescent="0.2">
      <c r="A90" s="51" t="s">
        <v>329</v>
      </c>
      <c r="B90" s="52" t="s">
        <v>815</v>
      </c>
      <c r="C90" s="77">
        <v>2016</v>
      </c>
      <c r="D90" s="16">
        <v>109</v>
      </c>
      <c r="E90" s="54">
        <v>7</v>
      </c>
      <c r="F90" s="5" t="s">
        <v>333</v>
      </c>
      <c r="G90" s="51" t="s">
        <v>16</v>
      </c>
      <c r="H90" s="51" t="s">
        <v>5</v>
      </c>
      <c r="I90" s="51" t="s">
        <v>6</v>
      </c>
      <c r="J90" s="51" t="s">
        <v>7</v>
      </c>
      <c r="K90" s="5" t="s">
        <v>1046</v>
      </c>
      <c r="L90" s="51" t="s">
        <v>52</v>
      </c>
      <c r="M90" s="51" t="s">
        <v>9</v>
      </c>
      <c r="N90" s="92">
        <v>3.13</v>
      </c>
      <c r="O90" s="92">
        <v>3.13</v>
      </c>
      <c r="P90" s="53" t="s">
        <v>333</v>
      </c>
      <c r="Q90" s="51" t="s">
        <v>39</v>
      </c>
      <c r="R90" s="51" t="s">
        <v>18</v>
      </c>
      <c r="S90" s="51" t="s">
        <v>807</v>
      </c>
      <c r="T90" s="5" t="s">
        <v>1335</v>
      </c>
      <c r="U90" s="100">
        <v>2.98</v>
      </c>
      <c r="V90" s="9">
        <f t="shared" si="4"/>
        <v>-0.56630477608621932</v>
      </c>
      <c r="W90" s="100">
        <v>2.41</v>
      </c>
      <c r="X90" s="100">
        <v>3.68</v>
      </c>
      <c r="Y90" s="100">
        <v>5.25</v>
      </c>
      <c r="Z90" s="102"/>
      <c r="AA90" s="51" t="s">
        <v>12</v>
      </c>
      <c r="AB90" s="7" t="s">
        <v>1044</v>
      </c>
      <c r="AC90" s="51" t="s">
        <v>74</v>
      </c>
      <c r="AD90" s="3">
        <v>9</v>
      </c>
      <c r="AE90" s="51" t="s">
        <v>14</v>
      </c>
      <c r="AF90" s="5" t="s">
        <v>1329</v>
      </c>
      <c r="AG90" s="51" t="s">
        <v>8</v>
      </c>
      <c r="AH90" s="51" t="s">
        <v>8</v>
      </c>
      <c r="AI90" s="51" t="s">
        <v>8</v>
      </c>
      <c r="AJ90" s="51" t="s">
        <v>8</v>
      </c>
      <c r="AK90" s="5" t="s">
        <v>1028</v>
      </c>
      <c r="AL90" s="51" t="s">
        <v>14</v>
      </c>
      <c r="AM90" s="5" t="s">
        <v>1028</v>
      </c>
      <c r="AN90" s="51" t="s">
        <v>18</v>
      </c>
      <c r="AO90" s="51" t="s">
        <v>18</v>
      </c>
      <c r="AP90" s="51" t="s">
        <v>816</v>
      </c>
      <c r="AQ90" s="56" t="s">
        <v>817</v>
      </c>
      <c r="AR90" s="55"/>
      <c r="AS90" s="55"/>
      <c r="AT90" s="55"/>
      <c r="AU90" s="55"/>
      <c r="AV90" s="55"/>
      <c r="AW90" s="55"/>
      <c r="AX90" s="55"/>
      <c r="AY90" s="55"/>
      <c r="AZ90" s="55"/>
      <c r="BA90" s="55"/>
      <c r="BB90" s="55"/>
      <c r="BC90" s="55"/>
      <c r="BD90" s="58"/>
      <c r="BE90" s="55"/>
      <c r="BF90" s="55"/>
      <c r="BG90" s="55"/>
      <c r="BH90" s="55"/>
      <c r="BI90" s="55"/>
      <c r="BJ90" s="55"/>
      <c r="BK90" s="55"/>
      <c r="BL90" s="55"/>
      <c r="BM90" s="58"/>
      <c r="BN90" s="55"/>
      <c r="BO90" s="55"/>
      <c r="BP90" s="55"/>
      <c r="BQ90" s="55"/>
      <c r="BR90" s="55"/>
      <c r="BS90" s="55"/>
      <c r="BT90" s="55"/>
      <c r="BU90" s="55"/>
      <c r="BV90" s="55"/>
      <c r="BW90" s="55"/>
      <c r="BX90" s="55"/>
      <c r="BY90" s="55"/>
      <c r="BZ90" s="55"/>
      <c r="CA90" s="55"/>
      <c r="CB90" s="55"/>
      <c r="CC90" s="55"/>
      <c r="CD90" s="55"/>
      <c r="CE90" s="55"/>
      <c r="CF90" s="55"/>
      <c r="CG90" s="55"/>
      <c r="CH90" s="55"/>
      <c r="CI90" s="55"/>
      <c r="CJ90" s="55"/>
      <c r="CK90" s="55"/>
      <c r="CL90" s="55"/>
      <c r="CM90" s="55"/>
      <c r="CN90" s="55"/>
      <c r="CO90" s="55"/>
      <c r="CP90" s="55"/>
      <c r="CQ90" s="55"/>
      <c r="CR90" s="55"/>
      <c r="CS90" s="55"/>
      <c r="CT90" s="55"/>
      <c r="CU90" s="55"/>
      <c r="CV90" s="55"/>
      <c r="CW90" s="55"/>
      <c r="CY90" s="55"/>
      <c r="CZ90" s="55"/>
      <c r="DA90" s="55"/>
      <c r="DB90" s="55"/>
      <c r="DC90" s="55"/>
      <c r="DD90" s="55"/>
      <c r="DE90" s="55"/>
      <c r="DF90" s="55"/>
      <c r="DG90" s="55"/>
      <c r="DH90" s="55"/>
      <c r="DI90" s="55"/>
      <c r="DJ90" s="55"/>
      <c r="DK90" s="55"/>
      <c r="DL90" s="55"/>
      <c r="DM90" s="55"/>
      <c r="DN90" s="55"/>
      <c r="DO90" s="55"/>
      <c r="DP90" s="55"/>
      <c r="DQ90" s="55"/>
      <c r="DR90" s="55"/>
      <c r="DS90" s="55"/>
      <c r="DT90" s="55"/>
      <c r="DU90" s="55"/>
      <c r="DV90" s="55"/>
      <c r="DW90" s="55"/>
      <c r="DX90" s="55"/>
      <c r="DY90" s="55"/>
      <c r="DZ90" s="55"/>
      <c r="EA90" s="55"/>
      <c r="EB90" s="55"/>
      <c r="EC90" s="55"/>
      <c r="ED90" s="55"/>
      <c r="EE90" s="55"/>
      <c r="EF90" s="55"/>
      <c r="EG90" s="55"/>
      <c r="EH90" s="55"/>
      <c r="EI90" s="55"/>
      <c r="EJ90" s="55"/>
      <c r="EK90" s="55"/>
      <c r="EL90" s="55"/>
      <c r="EM90" s="55"/>
      <c r="EN90" s="55"/>
      <c r="EO90" s="55"/>
      <c r="EP90" s="55"/>
      <c r="EQ90" s="55"/>
      <c r="ER90" s="55"/>
      <c r="ES90" s="55"/>
      <c r="ET90" s="55"/>
      <c r="EU90" s="55"/>
      <c r="EV90" s="55"/>
      <c r="EW90" s="55"/>
      <c r="EX90" s="55"/>
      <c r="EY90" s="55"/>
      <c r="EZ90" s="55"/>
      <c r="FA90" s="55"/>
      <c r="FB90" s="55"/>
      <c r="FC90" s="55"/>
      <c r="FD90" s="55"/>
      <c r="FE90" s="55"/>
      <c r="FF90" s="55"/>
      <c r="FG90" s="55"/>
      <c r="FH90" s="55"/>
      <c r="FI90" s="55"/>
      <c r="FJ90" s="55"/>
      <c r="FK90" s="55"/>
      <c r="FL90" s="55"/>
      <c r="FM90" s="55"/>
      <c r="FN90" s="55"/>
      <c r="FO90" s="55"/>
      <c r="FP90" s="55"/>
      <c r="FQ90" s="55"/>
      <c r="FR90" s="55"/>
      <c r="FS90" s="55"/>
      <c r="FT90" s="55"/>
      <c r="FU90" s="55"/>
      <c r="FV90" s="55"/>
      <c r="FW90" s="55"/>
      <c r="FX90" s="55"/>
      <c r="FY90" s="55"/>
      <c r="FZ90" s="55"/>
      <c r="GA90" s="55"/>
      <c r="GB90" s="55"/>
      <c r="GC90" s="55"/>
      <c r="GD90" s="55"/>
      <c r="GE90" s="55"/>
      <c r="GF90" s="55"/>
      <c r="GG90" s="55"/>
      <c r="GH90" s="55"/>
      <c r="GI90" s="55"/>
      <c r="GJ90" s="55"/>
      <c r="GK90" s="55"/>
      <c r="GL90" s="55"/>
      <c r="GM90" s="55"/>
      <c r="GN90" s="55"/>
      <c r="GO90" s="55"/>
      <c r="GP90" s="55"/>
      <c r="GQ90" s="55"/>
      <c r="GR90" s="55"/>
      <c r="GS90" s="55"/>
      <c r="GT90" s="55"/>
    </row>
    <row r="91" spans="1:202" ht="13.15" hidden="1" customHeight="1" x14ac:dyDescent="0.2">
      <c r="A91" s="3" t="s">
        <v>353</v>
      </c>
      <c r="B91" s="4" t="s">
        <v>354</v>
      </c>
      <c r="C91" s="28">
        <v>2018</v>
      </c>
      <c r="D91" s="16">
        <v>41</v>
      </c>
      <c r="E91" s="16">
        <v>1</v>
      </c>
      <c r="F91" s="5" t="s">
        <v>1105</v>
      </c>
      <c r="G91" s="19" t="s">
        <v>356</v>
      </c>
      <c r="H91" s="5" t="s">
        <v>5</v>
      </c>
      <c r="I91" s="5" t="s">
        <v>357</v>
      </c>
      <c r="J91" s="5" t="s">
        <v>1260</v>
      </c>
      <c r="K91" s="5" t="s">
        <v>726</v>
      </c>
      <c r="L91" s="5" t="s">
        <v>8</v>
      </c>
      <c r="M91" s="5" t="s">
        <v>9</v>
      </c>
      <c r="N91" s="7">
        <v>0</v>
      </c>
      <c r="O91" s="7">
        <v>3.66</v>
      </c>
      <c r="P91" s="7" t="s">
        <v>358</v>
      </c>
      <c r="Q91" s="5" t="s">
        <v>309</v>
      </c>
      <c r="R91" s="5" t="s">
        <v>27</v>
      </c>
      <c r="S91" s="5" t="s">
        <v>194</v>
      </c>
      <c r="T91" s="5" t="s">
        <v>1335</v>
      </c>
      <c r="U91" s="9">
        <v>13.3</v>
      </c>
      <c r="V91" s="9">
        <f t="shared" si="4"/>
        <v>0.54784325171015547</v>
      </c>
      <c r="W91" s="9"/>
      <c r="X91" s="9"/>
      <c r="Y91" s="9">
        <f>4.03+O91</f>
        <v>7.69</v>
      </c>
      <c r="Z91" s="9"/>
      <c r="AA91" s="5" t="s">
        <v>12</v>
      </c>
      <c r="AB91" s="62" t="s">
        <v>1043</v>
      </c>
      <c r="AC91" s="5" t="s">
        <v>13</v>
      </c>
      <c r="AD91" s="3">
        <v>9</v>
      </c>
      <c r="AE91" s="5" t="s">
        <v>8</v>
      </c>
      <c r="AF91" s="5" t="s">
        <v>1334</v>
      </c>
      <c r="AG91" s="5" t="s">
        <v>14</v>
      </c>
      <c r="AH91" s="5" t="s">
        <v>8</v>
      </c>
      <c r="AI91" s="5" t="s">
        <v>14</v>
      </c>
      <c r="AJ91" s="5" t="s">
        <v>8</v>
      </c>
      <c r="AK91" s="5" t="s">
        <v>311</v>
      </c>
      <c r="AL91" s="5" t="s">
        <v>8</v>
      </c>
      <c r="AM91" s="5">
        <v>2015</v>
      </c>
      <c r="AN91" s="5" t="s">
        <v>67</v>
      </c>
      <c r="AO91" s="5" t="s">
        <v>1028</v>
      </c>
      <c r="AP91" s="5" t="s">
        <v>355</v>
      </c>
      <c r="AQ91" s="19" t="s">
        <v>359</v>
      </c>
      <c r="BD91" s="58"/>
      <c r="BM91" s="58"/>
    </row>
    <row r="92" spans="1:202" ht="13.15" customHeight="1" x14ac:dyDescent="0.2">
      <c r="A92" s="51" t="s">
        <v>329</v>
      </c>
      <c r="B92" s="52" t="s">
        <v>815</v>
      </c>
      <c r="C92" s="77">
        <v>2016</v>
      </c>
      <c r="D92" s="16">
        <v>109</v>
      </c>
      <c r="E92" s="54">
        <v>10</v>
      </c>
      <c r="F92" s="5" t="s">
        <v>333</v>
      </c>
      <c r="G92" s="51" t="s">
        <v>16</v>
      </c>
      <c r="H92" s="51" t="s">
        <v>5</v>
      </c>
      <c r="I92" s="51" t="s">
        <v>818</v>
      </c>
      <c r="J92" s="51" t="s">
        <v>90</v>
      </c>
      <c r="K92" s="48" t="s">
        <v>1046</v>
      </c>
      <c r="L92" s="51" t="s">
        <v>52</v>
      </c>
      <c r="M92" s="51" t="s">
        <v>9</v>
      </c>
      <c r="N92" s="92">
        <v>3.13</v>
      </c>
      <c r="O92" s="92">
        <v>3.13</v>
      </c>
      <c r="P92" s="53" t="s">
        <v>333</v>
      </c>
      <c r="Q92" s="51" t="s">
        <v>39</v>
      </c>
      <c r="R92" s="51" t="s">
        <v>18</v>
      </c>
      <c r="S92" s="51" t="s">
        <v>807</v>
      </c>
      <c r="T92" s="5" t="s">
        <v>1335</v>
      </c>
      <c r="U92" s="100">
        <v>6.46</v>
      </c>
      <c r="V92" s="9">
        <f t="shared" si="4"/>
        <v>0.20740124119097814</v>
      </c>
      <c r="W92" s="100">
        <v>4.46</v>
      </c>
      <c r="X92" s="100">
        <v>9.39</v>
      </c>
      <c r="Y92" s="100">
        <v>5.25</v>
      </c>
      <c r="Z92" s="102"/>
      <c r="AA92" s="51" t="s">
        <v>12</v>
      </c>
      <c r="AB92" s="7" t="s">
        <v>1044</v>
      </c>
      <c r="AC92" s="51" t="s">
        <v>74</v>
      </c>
      <c r="AD92" s="67">
        <v>9</v>
      </c>
      <c r="AE92" s="51" t="s">
        <v>14</v>
      </c>
      <c r="AF92" s="5" t="s">
        <v>1329</v>
      </c>
      <c r="AG92" s="51" t="s">
        <v>8</v>
      </c>
      <c r="AH92" s="51" t="s">
        <v>8</v>
      </c>
      <c r="AI92" s="51" t="s">
        <v>8</v>
      </c>
      <c r="AJ92" s="51" t="s">
        <v>8</v>
      </c>
      <c r="AK92" s="5" t="s">
        <v>1028</v>
      </c>
      <c r="AL92" s="51" t="s">
        <v>14</v>
      </c>
      <c r="AM92" s="5" t="s">
        <v>1028</v>
      </c>
      <c r="AN92" s="51" t="s">
        <v>18</v>
      </c>
      <c r="AO92" s="51" t="s">
        <v>18</v>
      </c>
      <c r="AP92" s="51" t="s">
        <v>816</v>
      </c>
      <c r="AQ92" s="56" t="s">
        <v>817</v>
      </c>
      <c r="AR92" s="55"/>
      <c r="AS92" s="55"/>
      <c r="AT92" s="55"/>
      <c r="AU92" s="55"/>
      <c r="AV92" s="55"/>
      <c r="AW92" s="55"/>
      <c r="AX92" s="55"/>
      <c r="AY92" s="55"/>
      <c r="AZ92" s="55"/>
      <c r="BA92" s="55"/>
      <c r="BB92" s="55"/>
      <c r="BC92" s="55"/>
      <c r="BD92" s="58"/>
      <c r="BE92" s="55"/>
      <c r="BF92" s="55"/>
      <c r="BG92" s="55"/>
      <c r="BH92" s="55"/>
      <c r="BI92" s="55"/>
      <c r="BJ92" s="55"/>
      <c r="BK92" s="55"/>
      <c r="BL92" s="55"/>
      <c r="BM92" s="58"/>
      <c r="BN92" s="55"/>
      <c r="BO92" s="55"/>
      <c r="BP92" s="55"/>
      <c r="BQ92" s="55"/>
      <c r="BR92" s="55"/>
      <c r="BS92" s="55"/>
      <c r="BT92" s="55"/>
      <c r="BU92" s="55"/>
      <c r="BV92" s="55"/>
      <c r="BW92" s="55"/>
      <c r="BX92" s="55"/>
      <c r="BY92" s="55"/>
      <c r="BZ92" s="55"/>
      <c r="CA92" s="55"/>
      <c r="CB92" s="55"/>
      <c r="CC92" s="55"/>
      <c r="CD92" s="55"/>
      <c r="CE92" s="55"/>
      <c r="CF92" s="55"/>
      <c r="CG92" s="55"/>
      <c r="CH92" s="55"/>
      <c r="CI92" s="55"/>
      <c r="CJ92" s="55"/>
      <c r="CK92" s="55"/>
      <c r="CL92" s="55"/>
      <c r="CM92" s="55"/>
      <c r="CN92" s="55"/>
      <c r="CO92" s="55"/>
      <c r="CP92" s="55"/>
      <c r="CQ92" s="55"/>
      <c r="CR92" s="55"/>
      <c r="CS92" s="55"/>
      <c r="CT92" s="55"/>
      <c r="CU92" s="55"/>
      <c r="CV92" s="55"/>
      <c r="CW92" s="55"/>
      <c r="CY92" s="55"/>
      <c r="CZ92" s="55"/>
      <c r="DA92" s="55"/>
      <c r="DB92" s="55"/>
      <c r="DC92" s="55"/>
      <c r="DD92" s="55"/>
      <c r="DE92" s="55"/>
      <c r="DF92" s="55"/>
      <c r="DG92" s="55"/>
      <c r="DH92" s="55"/>
      <c r="DI92" s="55"/>
      <c r="DJ92" s="55"/>
      <c r="DK92" s="55"/>
      <c r="DL92" s="55"/>
      <c r="DM92" s="55"/>
      <c r="DN92" s="55"/>
      <c r="DO92" s="55"/>
      <c r="DP92" s="55"/>
      <c r="DQ92" s="55"/>
      <c r="DR92" s="55"/>
      <c r="DS92" s="55"/>
      <c r="DT92" s="55"/>
      <c r="DU92" s="55"/>
      <c r="DV92" s="55"/>
      <c r="DW92" s="55"/>
      <c r="DX92" s="55"/>
      <c r="DY92" s="55"/>
      <c r="DZ92" s="55"/>
      <c r="EA92" s="55"/>
      <c r="EB92" s="55"/>
      <c r="EC92" s="55"/>
      <c r="ED92" s="55"/>
      <c r="EE92" s="55"/>
      <c r="EF92" s="55"/>
      <c r="EG92" s="55"/>
      <c r="EH92" s="55"/>
      <c r="EI92" s="55"/>
      <c r="EJ92" s="55"/>
      <c r="EK92" s="55"/>
      <c r="EL92" s="55"/>
      <c r="EM92" s="55"/>
      <c r="EN92" s="55"/>
      <c r="EO92" s="55"/>
      <c r="EP92" s="55"/>
      <c r="EQ92" s="55"/>
      <c r="ER92" s="55"/>
      <c r="ES92" s="55"/>
      <c r="ET92" s="55"/>
      <c r="EU92" s="55"/>
      <c r="EV92" s="55"/>
      <c r="EW92" s="55"/>
      <c r="EX92" s="55"/>
      <c r="EY92" s="55"/>
      <c r="EZ92" s="55"/>
      <c r="FA92" s="55"/>
      <c r="FB92" s="55"/>
      <c r="FC92" s="55"/>
      <c r="FD92" s="55"/>
      <c r="FE92" s="55"/>
      <c r="FF92" s="55"/>
      <c r="FG92" s="55"/>
      <c r="FH92" s="55"/>
      <c r="FI92" s="55"/>
      <c r="FJ92" s="55"/>
      <c r="FK92" s="55"/>
      <c r="FL92" s="55"/>
      <c r="FM92" s="55"/>
      <c r="FN92" s="55"/>
      <c r="FO92" s="55"/>
      <c r="FP92" s="55"/>
      <c r="FQ92" s="55"/>
      <c r="FR92" s="55"/>
      <c r="FS92" s="55"/>
      <c r="FT92" s="55"/>
      <c r="FU92" s="55"/>
      <c r="FV92" s="55"/>
      <c r="FW92" s="55"/>
      <c r="FX92" s="55"/>
      <c r="FY92" s="55"/>
      <c r="FZ92" s="55"/>
      <c r="GA92" s="55"/>
      <c r="GB92" s="55"/>
      <c r="GC92" s="55"/>
      <c r="GD92" s="55"/>
      <c r="GE92" s="55"/>
      <c r="GF92" s="55"/>
      <c r="GG92" s="55"/>
      <c r="GH92" s="55"/>
      <c r="GI92" s="55"/>
      <c r="GJ92" s="55"/>
      <c r="GK92" s="55"/>
      <c r="GL92" s="55"/>
      <c r="GM92" s="55"/>
      <c r="GN92" s="55"/>
      <c r="GO92" s="55"/>
      <c r="GP92" s="55"/>
      <c r="GQ92" s="55"/>
      <c r="GR92" s="55"/>
      <c r="GS92" s="55"/>
      <c r="GT92" s="55"/>
    </row>
    <row r="93" spans="1:202" ht="13.15" hidden="1" customHeight="1" x14ac:dyDescent="0.2">
      <c r="A93" s="3" t="s">
        <v>259</v>
      </c>
      <c r="B93" s="4" t="s">
        <v>366</v>
      </c>
      <c r="C93" s="28">
        <v>2011</v>
      </c>
      <c r="D93" s="16">
        <v>43</v>
      </c>
      <c r="E93" s="16">
        <v>1</v>
      </c>
      <c r="F93" s="5" t="s">
        <v>1112</v>
      </c>
      <c r="G93" s="19" t="s">
        <v>368</v>
      </c>
      <c r="H93" s="5" t="s">
        <v>93</v>
      </c>
      <c r="I93" s="5" t="s">
        <v>369</v>
      </c>
      <c r="J93" s="5" t="s">
        <v>7</v>
      </c>
      <c r="K93" s="5" t="s">
        <v>1046</v>
      </c>
      <c r="L93" s="5" t="s">
        <v>107</v>
      </c>
      <c r="M93" s="5" t="s">
        <v>9</v>
      </c>
      <c r="N93" s="8">
        <v>0</v>
      </c>
      <c r="O93" s="8">
        <v>2.54</v>
      </c>
      <c r="P93" s="8" t="s">
        <v>370</v>
      </c>
      <c r="Q93" s="9" t="s">
        <v>309</v>
      </c>
      <c r="R93" s="9" t="s">
        <v>31</v>
      </c>
      <c r="S93" s="9" t="s">
        <v>96</v>
      </c>
      <c r="T93" s="5" t="s">
        <v>1335</v>
      </c>
      <c r="U93" s="9">
        <f>((W93+X93)/2)*0.001*920</f>
        <v>1.4259999999999999</v>
      </c>
      <c r="V93" s="9">
        <f t="shared" si="4"/>
        <v>-1.5370330958408898</v>
      </c>
      <c r="W93" s="9">
        <v>1.2</v>
      </c>
      <c r="X93" s="9">
        <v>1.9</v>
      </c>
      <c r="Y93" s="9">
        <f>(((4.4+4.9)/2)*0.001*880)+O93</f>
        <v>6.6320000000000006</v>
      </c>
      <c r="Z93" s="9"/>
      <c r="AA93" s="5" t="s">
        <v>12</v>
      </c>
      <c r="AB93" s="62" t="s">
        <v>1043</v>
      </c>
      <c r="AC93" s="5" t="s">
        <v>13</v>
      </c>
      <c r="AD93" s="3">
        <v>9</v>
      </c>
      <c r="AE93" s="5" t="s">
        <v>8</v>
      </c>
      <c r="AF93" s="5" t="s">
        <v>29</v>
      </c>
      <c r="AG93" s="5" t="s">
        <v>8</v>
      </c>
      <c r="AH93" s="5" t="s">
        <v>8</v>
      </c>
      <c r="AI93" s="5" t="s">
        <v>8</v>
      </c>
      <c r="AJ93" s="5" t="s">
        <v>8</v>
      </c>
      <c r="AK93" s="5" t="s">
        <v>84</v>
      </c>
      <c r="AL93" s="5" t="s">
        <v>8</v>
      </c>
      <c r="AM93" s="5">
        <v>2011</v>
      </c>
      <c r="AN93" s="5" t="s">
        <v>67</v>
      </c>
      <c r="AO93" s="5" t="s">
        <v>67</v>
      </c>
      <c r="AP93" s="5" t="s">
        <v>367</v>
      </c>
      <c r="AQ93" s="19" t="s">
        <v>371</v>
      </c>
      <c r="AZ93" s="5">
        <f>(8.05/1000)*0.001*920</f>
        <v>7.4060000000000011E-3</v>
      </c>
      <c r="BC93" s="5">
        <f>(4/1000)*0.001*880</f>
        <v>3.5199999999999997E-3</v>
      </c>
      <c r="BD93" s="58">
        <f>LN(AZ93/BC93)</f>
        <v>0.74382949288141542</v>
      </c>
      <c r="BI93" s="17">
        <f>(5.25/1000)*0.001*920</f>
        <v>4.8300000000000001E-3</v>
      </c>
      <c r="BJ93" s="17"/>
      <c r="BK93" s="17"/>
      <c r="BL93" s="17">
        <f>(0.25/1000)*0.001*880</f>
        <v>2.1999999999999998E-4</v>
      </c>
      <c r="BM93" s="58">
        <f>LN(BI93/BL93)</f>
        <v>3.0889742002942571</v>
      </c>
      <c r="CP93" s="25">
        <f>(0.11/1000)*0.001*920</f>
        <v>1.0120000000000001E-4</v>
      </c>
      <c r="CQ93" s="25"/>
      <c r="CR93" s="25"/>
      <c r="CS93" s="25">
        <f>(0.81/1000)*0.001*880</f>
        <v>7.1280000000000009E-4</v>
      </c>
      <c r="DC93" s="5">
        <f>15.5*0.001*920</f>
        <v>14.26</v>
      </c>
      <c r="DF93" s="5">
        <f>35*0.001*880</f>
        <v>30.800000000000004</v>
      </c>
    </row>
    <row r="94" spans="1:202" ht="13.15" hidden="1" customHeight="1" x14ac:dyDescent="0.2">
      <c r="A94" s="3" t="s">
        <v>259</v>
      </c>
      <c r="B94" s="4" t="s">
        <v>372</v>
      </c>
      <c r="C94" s="28">
        <v>2018</v>
      </c>
      <c r="D94" s="16">
        <v>44</v>
      </c>
      <c r="E94" s="16">
        <v>1</v>
      </c>
      <c r="F94" s="5" t="s">
        <v>1110</v>
      </c>
      <c r="G94" s="19" t="s">
        <v>374</v>
      </c>
      <c r="H94" s="5" t="s">
        <v>93</v>
      </c>
      <c r="I94" s="5" t="s">
        <v>375</v>
      </c>
      <c r="J94" s="5" t="s">
        <v>25</v>
      </c>
      <c r="K94" s="5" t="s">
        <v>726</v>
      </c>
      <c r="L94" s="5" t="s">
        <v>8</v>
      </c>
      <c r="M94" s="5" t="s">
        <v>9</v>
      </c>
      <c r="N94" s="8">
        <v>0</v>
      </c>
      <c r="O94" s="8">
        <f>2.3*0.5734</f>
        <v>1.3188199999999999</v>
      </c>
      <c r="P94" s="8" t="s">
        <v>376</v>
      </c>
      <c r="Q94" s="9" t="s">
        <v>309</v>
      </c>
      <c r="R94" s="9" t="s">
        <v>137</v>
      </c>
      <c r="S94" s="9" t="s">
        <v>96</v>
      </c>
      <c r="T94" s="5" t="s">
        <v>1335</v>
      </c>
      <c r="U94" s="9">
        <f>1870.856/1000</f>
        <v>1.8708560000000001</v>
      </c>
      <c r="V94" s="9">
        <f t="shared" si="4"/>
        <v>-0.64324086157998217</v>
      </c>
      <c r="W94" s="9"/>
      <c r="X94" s="9"/>
      <c r="Y94" s="9">
        <f>(2240.74/1000)+O94</f>
        <v>3.5595599999999994</v>
      </c>
      <c r="Z94" s="9"/>
      <c r="AA94" s="5" t="s">
        <v>12</v>
      </c>
      <c r="AB94" s="62" t="s">
        <v>1043</v>
      </c>
      <c r="AC94" s="5" t="s">
        <v>13</v>
      </c>
      <c r="AD94" s="3">
        <v>9</v>
      </c>
      <c r="AE94" s="5" t="s">
        <v>8</v>
      </c>
      <c r="AF94" s="5" t="s">
        <v>29</v>
      </c>
      <c r="AG94" s="5" t="s">
        <v>8</v>
      </c>
      <c r="AH94" s="5" t="s">
        <v>8</v>
      </c>
      <c r="AI94" s="5" t="s">
        <v>14</v>
      </c>
      <c r="AJ94" s="5" t="s">
        <v>8</v>
      </c>
      <c r="AK94" s="5" t="s">
        <v>196</v>
      </c>
      <c r="AL94" s="5" t="s">
        <v>8</v>
      </c>
      <c r="AM94" s="5">
        <v>2015</v>
      </c>
      <c r="AN94" s="5" t="s">
        <v>67</v>
      </c>
      <c r="AO94" s="5" t="s">
        <v>67</v>
      </c>
      <c r="AP94" s="19" t="s">
        <v>373</v>
      </c>
      <c r="AQ94" s="19" t="s">
        <v>377</v>
      </c>
      <c r="AR94" s="20">
        <f>0.005/1000</f>
        <v>5.0000000000000004E-6</v>
      </c>
      <c r="AS94" s="20"/>
      <c r="AT94" s="20"/>
      <c r="AU94" s="20">
        <f>0.01/1000</f>
        <v>1.0000000000000001E-5</v>
      </c>
      <c r="AY94" s="25"/>
      <c r="AZ94" s="25">
        <f>8.315/1000</f>
        <v>8.3149999999999995E-3</v>
      </c>
      <c r="BA94" s="25"/>
      <c r="BB94" s="25"/>
      <c r="BC94" s="25">
        <f>11.78/1000</f>
        <v>1.1779999999999999E-2</v>
      </c>
      <c r="BD94" s="58">
        <f>LN(AZ94/BC94)</f>
        <v>-0.34834206557854963</v>
      </c>
      <c r="BE94" s="25"/>
      <c r="BF94" s="25"/>
      <c r="BG94" s="25"/>
      <c r="BH94" s="25"/>
      <c r="BI94" s="25">
        <f>0.406/1000</f>
        <v>4.06E-4</v>
      </c>
      <c r="BJ94" s="25"/>
      <c r="BK94" s="25"/>
      <c r="BL94" s="25">
        <f>0.554/1000</f>
        <v>5.5400000000000002E-4</v>
      </c>
      <c r="BM94" s="58">
        <f>LN(BI94/BL94)</f>
        <v>-0.31081152714555121</v>
      </c>
      <c r="DO94" s="17">
        <f>52.74/1000</f>
        <v>5.2740000000000002E-2</v>
      </c>
      <c r="DP94" s="17"/>
      <c r="DQ94" s="17"/>
      <c r="DR94" s="17">
        <f>62.124/1000</f>
        <v>6.2124000000000006E-2</v>
      </c>
      <c r="EA94" s="12">
        <f>96/1000</f>
        <v>9.6000000000000002E-2</v>
      </c>
      <c r="EB94" s="12">
        <f>LN(EA94/ED94)</f>
        <v>-1.0362787035546547E-2</v>
      </c>
      <c r="EC94" s="12"/>
      <c r="ED94" s="12">
        <f>97/1000</f>
        <v>9.7000000000000003E-2</v>
      </c>
      <c r="EM94" s="17">
        <f>55/1000</f>
        <v>5.5E-2</v>
      </c>
      <c r="EN94" s="17"/>
      <c r="EO94" s="17"/>
      <c r="EP94" s="17">
        <f>69/1000</f>
        <v>6.9000000000000006E-2</v>
      </c>
      <c r="EQ94" s="17">
        <f>0.908/1000</f>
        <v>9.0800000000000006E-4</v>
      </c>
      <c r="ER94" s="17"/>
      <c r="ES94" s="17"/>
      <c r="ET94" s="17">
        <f>1.333/1000</f>
        <v>1.333E-3</v>
      </c>
      <c r="FK94" s="9">
        <f>236.455/1000</f>
        <v>0.23645500000000003</v>
      </c>
      <c r="FL94" s="9"/>
      <c r="FM94" s="9"/>
      <c r="FN94" s="9">
        <f>263.685/1000</f>
        <v>0.263685</v>
      </c>
      <c r="GA94" s="9">
        <f>494/1000</f>
        <v>0.49399999999999999</v>
      </c>
      <c r="GB94" s="9"/>
      <c r="GC94" s="9"/>
      <c r="GD94" s="9">
        <f>559/1000</f>
        <v>0.55900000000000005</v>
      </c>
      <c r="GE94" s="17">
        <f>4.563/1000</f>
        <v>4.5629999999999993E-3</v>
      </c>
      <c r="GF94" s="17"/>
      <c r="GG94" s="17"/>
      <c r="GH94" s="17">
        <f>6.407/1000</f>
        <v>6.4070000000000004E-3</v>
      </c>
      <c r="GI94" s="17">
        <f>1053.839/1000</f>
        <v>1.053839</v>
      </c>
      <c r="GJ94" s="17"/>
      <c r="GK94" s="17"/>
      <c r="GL94" s="17">
        <f>1.946/1000</f>
        <v>1.946E-3</v>
      </c>
    </row>
    <row r="95" spans="1:202" ht="13.15" hidden="1" customHeight="1" x14ac:dyDescent="0.25">
      <c r="A95" s="3" t="s">
        <v>259</v>
      </c>
      <c r="B95" s="65" t="s">
        <v>378</v>
      </c>
      <c r="C95" s="28">
        <v>2018</v>
      </c>
      <c r="D95" s="16">
        <v>45</v>
      </c>
      <c r="E95" s="16">
        <v>1</v>
      </c>
      <c r="F95" s="5" t="s">
        <v>1120</v>
      </c>
      <c r="G95" s="19" t="s">
        <v>380</v>
      </c>
      <c r="H95" s="5" t="s">
        <v>93</v>
      </c>
      <c r="I95" s="5" t="s">
        <v>381</v>
      </c>
      <c r="J95" s="5" t="s">
        <v>7</v>
      </c>
      <c r="K95" s="5" t="s">
        <v>1046</v>
      </c>
      <c r="L95" s="5" t="s">
        <v>52</v>
      </c>
      <c r="M95" s="5" t="s">
        <v>9</v>
      </c>
      <c r="N95" s="8">
        <f>0.248*1.099</f>
        <v>0.27255200000000002</v>
      </c>
      <c r="O95" s="8">
        <v>0.82719014469883023</v>
      </c>
      <c r="P95" s="8" t="s">
        <v>382</v>
      </c>
      <c r="Q95" s="9" t="s">
        <v>309</v>
      </c>
      <c r="R95" s="9" t="s">
        <v>18</v>
      </c>
      <c r="S95" s="9" t="s">
        <v>383</v>
      </c>
      <c r="T95" s="5" t="s">
        <v>1337</v>
      </c>
      <c r="U95" s="9">
        <f>6.6+N95</f>
        <v>6.8725519999999998</v>
      </c>
      <c r="V95" s="9">
        <f t="shared" si="4"/>
        <v>-0.60036598612016268</v>
      </c>
      <c r="W95" s="9"/>
      <c r="X95" s="9"/>
      <c r="Y95" s="9">
        <f>11.7+O95</f>
        <v>12.52719014469883</v>
      </c>
      <c r="Z95" s="9"/>
      <c r="AA95" s="5" t="s">
        <v>12</v>
      </c>
      <c r="AB95" s="62" t="s">
        <v>1043</v>
      </c>
      <c r="AC95" s="5" t="s">
        <v>13</v>
      </c>
      <c r="AD95" s="3">
        <v>9</v>
      </c>
      <c r="AE95" s="5" t="s">
        <v>8</v>
      </c>
      <c r="AF95" s="5" t="s">
        <v>29</v>
      </c>
      <c r="AG95" s="5" t="s">
        <v>8</v>
      </c>
      <c r="AH95" s="5" t="s">
        <v>8</v>
      </c>
      <c r="AI95" s="5" t="s">
        <v>8</v>
      </c>
      <c r="AJ95" s="5" t="s">
        <v>8</v>
      </c>
      <c r="AK95" s="5" t="s">
        <v>187</v>
      </c>
      <c r="AL95" s="5" t="s">
        <v>8</v>
      </c>
      <c r="AM95" s="5" t="s">
        <v>384</v>
      </c>
      <c r="AN95" s="5" t="s">
        <v>18</v>
      </c>
      <c r="AO95" s="5" t="s">
        <v>18</v>
      </c>
      <c r="AP95" s="19" t="s">
        <v>379</v>
      </c>
      <c r="AQ95" s="19" t="s">
        <v>385</v>
      </c>
      <c r="AR95" s="24">
        <f>0.00000088</f>
        <v>8.8000000000000004E-7</v>
      </c>
      <c r="AS95" s="24"/>
      <c r="AT95" s="24"/>
      <c r="AU95" s="24">
        <f>0.0000013</f>
        <v>1.3E-6</v>
      </c>
      <c r="AV95" s="9">
        <f>0.47</f>
        <v>0.47</v>
      </c>
      <c r="AW95" s="9"/>
      <c r="AX95" s="9"/>
      <c r="AY95" s="9">
        <f>0.981</f>
        <v>0.98099999999999998</v>
      </c>
      <c r="AZ95" s="9">
        <f>0.047</f>
        <v>4.7E-2</v>
      </c>
      <c r="BA95" s="9"/>
      <c r="BB95" s="9"/>
      <c r="BC95" s="9">
        <f>0.0633</f>
        <v>6.3299999999999995E-2</v>
      </c>
      <c r="BD95" s="58">
        <f>LN(AZ95/BC95)</f>
        <v>-0.29773772744007182</v>
      </c>
      <c r="BE95" s="9"/>
      <c r="BF95" s="9"/>
      <c r="BG95" s="9"/>
      <c r="BH95" s="9"/>
      <c r="BI95" s="9">
        <f>0.025</f>
        <v>2.5000000000000001E-2</v>
      </c>
      <c r="BJ95" s="9"/>
      <c r="BK95" s="9"/>
      <c r="BL95" s="9">
        <f>0.0245</f>
        <v>2.4500000000000001E-2</v>
      </c>
      <c r="BM95" s="58">
        <f>LN(BI95/BL95)</f>
        <v>2.0202707317519469E-2</v>
      </c>
      <c r="BR95" s="25">
        <f>0.00000074</f>
        <v>7.4000000000000001E-7</v>
      </c>
      <c r="BS95" s="25"/>
      <c r="BT95" s="25"/>
      <c r="BU95" s="25">
        <f>0.000000922</f>
        <v>9.2200000000000002E-7</v>
      </c>
      <c r="BV95" s="25">
        <f>0.00000073</f>
        <v>7.3E-7</v>
      </c>
      <c r="BW95" s="25"/>
      <c r="BX95" s="25"/>
      <c r="BY95" s="25">
        <f>0.00000152</f>
        <v>1.5200000000000001E-6</v>
      </c>
      <c r="BZ95" s="25">
        <f>0.0032</f>
        <v>3.2000000000000002E-3</v>
      </c>
      <c r="CA95" s="25"/>
      <c r="CB95" s="25"/>
      <c r="CC95" s="25">
        <f>0.00759</f>
        <v>7.5900000000000004E-3</v>
      </c>
      <c r="CD95" s="9">
        <f>13</f>
        <v>13</v>
      </c>
      <c r="CE95" s="9"/>
      <c r="CF95" s="9"/>
      <c r="CG95" s="9">
        <f>22.4</f>
        <v>22.4</v>
      </c>
      <c r="CH95" s="9">
        <f>13</f>
        <v>13</v>
      </c>
      <c r="CI95" s="9"/>
      <c r="CJ95" s="9"/>
      <c r="CK95" s="9">
        <f>26.9</f>
        <v>26.9</v>
      </c>
    </row>
    <row r="96" spans="1:202" ht="13.15" customHeight="1" x14ac:dyDescent="0.2">
      <c r="A96" s="3" t="s">
        <v>329</v>
      </c>
      <c r="B96" s="4" t="s">
        <v>819</v>
      </c>
      <c r="C96" s="28">
        <v>2016</v>
      </c>
      <c r="D96" s="16">
        <v>110</v>
      </c>
      <c r="E96" s="16">
        <v>4</v>
      </c>
      <c r="F96" s="5" t="s">
        <v>333</v>
      </c>
      <c r="G96" s="5" t="s">
        <v>16</v>
      </c>
      <c r="H96" s="5" t="s">
        <v>5</v>
      </c>
      <c r="I96" s="5" t="s">
        <v>766</v>
      </c>
      <c r="J96" s="5" t="s">
        <v>25</v>
      </c>
      <c r="K96" s="48" t="s">
        <v>1046</v>
      </c>
      <c r="L96" s="5" t="s">
        <v>1049</v>
      </c>
      <c r="M96" s="5" t="s">
        <v>9</v>
      </c>
      <c r="N96" s="85">
        <v>0</v>
      </c>
      <c r="O96" s="85">
        <v>3.13</v>
      </c>
      <c r="P96" s="50" t="s">
        <v>333</v>
      </c>
      <c r="Q96" s="48" t="s">
        <v>39</v>
      </c>
      <c r="R96" s="48" t="s">
        <v>821</v>
      </c>
      <c r="S96" s="51" t="s">
        <v>807</v>
      </c>
      <c r="T96" s="5" t="s">
        <v>1335</v>
      </c>
      <c r="U96" s="9">
        <f>N96+4.32</f>
        <v>4.32</v>
      </c>
      <c r="V96" s="9">
        <f t="shared" si="4"/>
        <v>-9.9090902644230761E-2</v>
      </c>
      <c r="W96" s="9"/>
      <c r="X96" s="9"/>
      <c r="Y96" s="9">
        <f>O96+1.64</f>
        <v>4.7699999999999996</v>
      </c>
      <c r="Z96" s="9"/>
      <c r="AA96" s="5" t="s">
        <v>12</v>
      </c>
      <c r="AB96" s="7" t="s">
        <v>1123</v>
      </c>
      <c r="AC96" s="5" t="s">
        <v>632</v>
      </c>
      <c r="AD96" s="29">
        <v>9</v>
      </c>
      <c r="AE96" s="5" t="s">
        <v>14</v>
      </c>
      <c r="AF96" s="5" t="s">
        <v>1330</v>
      </c>
      <c r="AG96" s="5" t="s">
        <v>8</v>
      </c>
      <c r="AH96" s="5" t="s">
        <v>8</v>
      </c>
      <c r="AI96" s="5" t="s">
        <v>8</v>
      </c>
      <c r="AJ96" s="5" t="s">
        <v>8</v>
      </c>
      <c r="AK96" s="5" t="s">
        <v>822</v>
      </c>
      <c r="AL96" s="5" t="s">
        <v>14</v>
      </c>
      <c r="AM96" s="5" t="s">
        <v>1028</v>
      </c>
      <c r="AN96" s="5" t="s">
        <v>67</v>
      </c>
      <c r="AO96" s="5" t="s">
        <v>67</v>
      </c>
      <c r="AP96" s="5" t="s">
        <v>820</v>
      </c>
      <c r="AQ96" s="5" t="s">
        <v>823</v>
      </c>
      <c r="BD96" s="58"/>
      <c r="BE96" s="5">
        <v>1.8280000000000001E-2</v>
      </c>
      <c r="BH96" s="5">
        <v>5.0499999999999998E-3</v>
      </c>
      <c r="BM96" s="58"/>
      <c r="BN96" s="5">
        <v>9.1280000000000018E-4</v>
      </c>
      <c r="BQ96" s="5">
        <v>1.4994000000000002E-4</v>
      </c>
      <c r="BZ96" s="5">
        <v>1.4499999999999999E-3</v>
      </c>
      <c r="CC96" s="5">
        <v>5.44E-4</v>
      </c>
    </row>
    <row r="97" spans="1:202" ht="13.15" hidden="1" customHeight="1" x14ac:dyDescent="0.25">
      <c r="A97" s="3" t="s">
        <v>329</v>
      </c>
      <c r="B97" s="65" t="s">
        <v>819</v>
      </c>
      <c r="C97" s="28">
        <v>2016</v>
      </c>
      <c r="D97" s="16">
        <v>110</v>
      </c>
      <c r="E97" s="16">
        <v>3</v>
      </c>
      <c r="F97" s="5" t="s">
        <v>333</v>
      </c>
      <c r="G97" s="5" t="s">
        <v>16</v>
      </c>
      <c r="H97" s="5" t="s">
        <v>5</v>
      </c>
      <c r="I97" s="5" t="s">
        <v>454</v>
      </c>
      <c r="J97" s="5" t="s">
        <v>7</v>
      </c>
      <c r="K97" s="48" t="s">
        <v>1046</v>
      </c>
      <c r="L97" s="5" t="s">
        <v>1049</v>
      </c>
      <c r="M97" s="5" t="s">
        <v>9</v>
      </c>
      <c r="N97" s="85">
        <v>0</v>
      </c>
      <c r="O97" s="85">
        <v>3.13</v>
      </c>
      <c r="P97" s="50" t="s">
        <v>333</v>
      </c>
      <c r="Q97" s="48" t="s">
        <v>39</v>
      </c>
      <c r="R97" s="48" t="s">
        <v>821</v>
      </c>
      <c r="S97" s="51" t="s">
        <v>807</v>
      </c>
      <c r="T97" s="5" t="s">
        <v>1335</v>
      </c>
      <c r="U97" s="9">
        <f>N97+2.73</f>
        <v>2.73</v>
      </c>
      <c r="V97" s="9">
        <f t="shared" si="4"/>
        <v>-0.55804469570338133</v>
      </c>
      <c r="W97" s="9"/>
      <c r="X97" s="9"/>
      <c r="Y97" s="9">
        <f>O97+1.64</f>
        <v>4.7699999999999996</v>
      </c>
      <c r="Z97" s="9"/>
      <c r="AA97" s="5" t="s">
        <v>12</v>
      </c>
      <c r="AB97" s="7" t="s">
        <v>1123</v>
      </c>
      <c r="AC97" s="5" t="s">
        <v>632</v>
      </c>
      <c r="AD97" s="67">
        <v>9</v>
      </c>
      <c r="AE97" s="5" t="s">
        <v>14</v>
      </c>
      <c r="AF97" s="5" t="s">
        <v>1330</v>
      </c>
      <c r="AG97" s="5" t="s">
        <v>8</v>
      </c>
      <c r="AH97" s="5" t="s">
        <v>8</v>
      </c>
      <c r="AI97" s="5" t="s">
        <v>8</v>
      </c>
      <c r="AJ97" s="5" t="s">
        <v>8</v>
      </c>
      <c r="AK97" s="5" t="s">
        <v>822</v>
      </c>
      <c r="AL97" s="5" t="s">
        <v>14</v>
      </c>
      <c r="AM97" s="5" t="s">
        <v>1028</v>
      </c>
      <c r="AN97" s="5" t="s">
        <v>67</v>
      </c>
      <c r="AO97" s="5" t="s">
        <v>67</v>
      </c>
      <c r="AP97" s="5" t="s">
        <v>820</v>
      </c>
      <c r="AQ97" s="5" t="s">
        <v>823</v>
      </c>
      <c r="BD97" s="58"/>
      <c r="BE97" s="5">
        <v>1.23E-2</v>
      </c>
      <c r="BH97" s="5">
        <v>5.0499999999999998E-3</v>
      </c>
      <c r="BM97" s="58"/>
      <c r="BN97" s="5">
        <v>5.8646000000000002E-4</v>
      </c>
      <c r="BQ97" s="5">
        <v>1.4994000000000002E-4</v>
      </c>
      <c r="BZ97" s="5">
        <v>7.7099999999999998E-4</v>
      </c>
      <c r="CC97" s="5">
        <v>5.44E-4</v>
      </c>
      <c r="FW97" s="5">
        <v>0.67891999999999997</v>
      </c>
      <c r="FZ97" s="5">
        <v>1.5178</v>
      </c>
    </row>
    <row r="98" spans="1:202" ht="13.15" hidden="1" customHeight="1" x14ac:dyDescent="0.2">
      <c r="A98" s="29" t="s">
        <v>329</v>
      </c>
      <c r="B98" s="47" t="s">
        <v>819</v>
      </c>
      <c r="C98" s="78">
        <v>2016</v>
      </c>
      <c r="D98" s="16">
        <v>110</v>
      </c>
      <c r="E98" s="49">
        <v>1</v>
      </c>
      <c r="F98" s="5" t="s">
        <v>333</v>
      </c>
      <c r="G98" s="48" t="s">
        <v>16</v>
      </c>
      <c r="H98" s="48" t="s">
        <v>5</v>
      </c>
      <c r="I98" s="48" t="s">
        <v>454</v>
      </c>
      <c r="J98" s="48" t="s">
        <v>7</v>
      </c>
      <c r="K98" s="48" t="s">
        <v>1046</v>
      </c>
      <c r="L98" s="5" t="s">
        <v>1049</v>
      </c>
      <c r="M98" s="48" t="s">
        <v>61</v>
      </c>
      <c r="N98" s="95">
        <v>0</v>
      </c>
      <c r="O98" s="95">
        <v>3.13</v>
      </c>
      <c r="P98" s="50" t="s">
        <v>333</v>
      </c>
      <c r="Q98" s="48" t="s">
        <v>39</v>
      </c>
      <c r="R98" s="48" t="s">
        <v>821</v>
      </c>
      <c r="S98" s="51" t="s">
        <v>807</v>
      </c>
      <c r="T98" s="5" t="s">
        <v>1335</v>
      </c>
      <c r="U98" s="101">
        <f>N98+5.2</f>
        <v>5.2</v>
      </c>
      <c r="V98" s="9">
        <f t="shared" si="4"/>
        <v>-0.32958041058329152</v>
      </c>
      <c r="W98" s="101"/>
      <c r="X98" s="101"/>
      <c r="Y98" s="101">
        <f>O98+4.1</f>
        <v>7.2299999999999995</v>
      </c>
      <c r="Z98" s="101"/>
      <c r="AA98" s="48" t="s">
        <v>12</v>
      </c>
      <c r="AB98" s="7" t="s">
        <v>1123</v>
      </c>
      <c r="AC98" s="5" t="s">
        <v>632</v>
      </c>
      <c r="AD98" s="3">
        <v>9</v>
      </c>
      <c r="AE98" s="48" t="s">
        <v>14</v>
      </c>
      <c r="AF98" s="5" t="s">
        <v>1330</v>
      </c>
      <c r="AG98" s="48" t="s">
        <v>8</v>
      </c>
      <c r="AH98" s="48" t="s">
        <v>8</v>
      </c>
      <c r="AI98" s="48" t="s">
        <v>8</v>
      </c>
      <c r="AJ98" s="48" t="s">
        <v>8</v>
      </c>
      <c r="AK98" s="48" t="s">
        <v>822</v>
      </c>
      <c r="AL98" s="48" t="s">
        <v>14</v>
      </c>
      <c r="AM98" s="5" t="s">
        <v>1028</v>
      </c>
      <c r="AN98" s="5" t="s">
        <v>67</v>
      </c>
      <c r="AO98" s="5" t="s">
        <v>67</v>
      </c>
      <c r="AP98" s="48" t="s">
        <v>820</v>
      </c>
      <c r="AQ98" s="48" t="s">
        <v>823</v>
      </c>
      <c r="AR98" s="48"/>
      <c r="AS98" s="48"/>
      <c r="AT98" s="48"/>
      <c r="AU98" s="48"/>
      <c r="AV98" s="48"/>
      <c r="AW98" s="48"/>
      <c r="AX98" s="48"/>
      <c r="AY98" s="48"/>
      <c r="AZ98" s="48"/>
      <c r="BA98" s="48"/>
      <c r="BB98" s="48"/>
      <c r="BC98" s="48"/>
      <c r="BD98" s="58"/>
      <c r="BE98" s="48">
        <v>1.23E-2</v>
      </c>
      <c r="BF98" s="48"/>
      <c r="BG98" s="48"/>
      <c r="BH98" s="48">
        <v>5.0499999999999998E-3</v>
      </c>
      <c r="BI98" s="48"/>
      <c r="BJ98" s="48"/>
      <c r="BK98" s="48"/>
      <c r="BL98" s="48"/>
      <c r="BM98" s="58"/>
      <c r="BN98" s="48">
        <v>5.8646000000000002E-4</v>
      </c>
      <c r="BO98" s="48"/>
      <c r="BP98" s="48"/>
      <c r="BQ98" s="48">
        <v>1.4994000000000002E-4</v>
      </c>
      <c r="BR98" s="48"/>
      <c r="BS98" s="48"/>
      <c r="BT98" s="48"/>
      <c r="BU98" s="48"/>
      <c r="BV98" s="48"/>
      <c r="BW98" s="48"/>
      <c r="BX98" s="48"/>
      <c r="BY98" s="48"/>
      <c r="BZ98" s="48">
        <v>7.7099999999999998E-4</v>
      </c>
      <c r="CA98" s="48"/>
      <c r="CB98" s="48"/>
      <c r="CC98" s="48">
        <v>5.44E-4</v>
      </c>
      <c r="CD98" s="48"/>
      <c r="CE98" s="48"/>
      <c r="CF98" s="48"/>
      <c r="CG98" s="48"/>
      <c r="CH98" s="48"/>
      <c r="CI98" s="48"/>
      <c r="CJ98" s="48"/>
      <c r="CK98" s="48"/>
      <c r="CL98" s="48"/>
      <c r="CM98" s="48"/>
      <c r="CN98" s="48"/>
      <c r="CO98" s="48"/>
      <c r="CP98" s="48"/>
      <c r="CQ98" s="48"/>
      <c r="CR98" s="48"/>
      <c r="CS98" s="48"/>
      <c r="CT98" s="48"/>
      <c r="CU98" s="48"/>
      <c r="CV98" s="48"/>
      <c r="CW98" s="48"/>
      <c r="CY98" s="48"/>
      <c r="CZ98" s="48"/>
      <c r="DA98" s="48"/>
      <c r="DB98" s="48"/>
      <c r="DC98" s="48"/>
      <c r="DD98" s="48"/>
      <c r="DE98" s="48"/>
      <c r="DF98" s="48"/>
      <c r="DG98" s="48"/>
      <c r="DH98" s="48"/>
      <c r="DI98" s="48"/>
      <c r="DJ98" s="48"/>
      <c r="DK98" s="48"/>
      <c r="DL98" s="48"/>
      <c r="DM98" s="48"/>
      <c r="DN98" s="48"/>
      <c r="DO98" s="48"/>
      <c r="DP98" s="48"/>
      <c r="DQ98" s="48"/>
      <c r="DR98" s="48"/>
      <c r="DS98" s="48"/>
      <c r="DT98" s="48"/>
      <c r="DU98" s="48"/>
      <c r="DV98" s="48"/>
      <c r="DW98" s="48"/>
      <c r="DX98" s="48"/>
      <c r="DY98" s="48"/>
      <c r="DZ98" s="48"/>
      <c r="EA98" s="48"/>
      <c r="EB98" s="48"/>
      <c r="EC98" s="48"/>
      <c r="ED98" s="48"/>
      <c r="EE98" s="48"/>
      <c r="EF98" s="48"/>
      <c r="EG98" s="48"/>
      <c r="EH98" s="48"/>
      <c r="EI98" s="48"/>
      <c r="EJ98" s="48"/>
      <c r="EK98" s="48"/>
      <c r="EL98" s="48"/>
      <c r="EM98" s="48"/>
      <c r="EN98" s="48"/>
      <c r="EO98" s="48"/>
      <c r="EP98" s="48"/>
      <c r="EQ98" s="48"/>
      <c r="ER98" s="48"/>
      <c r="ES98" s="48"/>
      <c r="ET98" s="48"/>
      <c r="EU98" s="48"/>
      <c r="EV98" s="48"/>
      <c r="EW98" s="48"/>
      <c r="EX98" s="48"/>
      <c r="EY98" s="48"/>
      <c r="EZ98" s="48"/>
      <c r="FA98" s="48"/>
      <c r="FB98" s="48"/>
      <c r="FC98" s="48"/>
      <c r="FD98" s="48"/>
      <c r="FE98" s="48"/>
      <c r="FF98" s="48"/>
      <c r="FG98" s="48"/>
      <c r="FH98" s="48"/>
      <c r="FI98" s="48"/>
      <c r="FJ98" s="48"/>
      <c r="FK98" s="48"/>
      <c r="FL98" s="48"/>
      <c r="FM98" s="48"/>
      <c r="FN98" s="48"/>
      <c r="FO98" s="48"/>
      <c r="FP98" s="48"/>
      <c r="FQ98" s="48"/>
      <c r="FR98" s="48"/>
      <c r="FS98" s="48"/>
      <c r="FT98" s="48"/>
      <c r="FU98" s="48"/>
      <c r="FV98" s="48"/>
      <c r="FW98" s="48">
        <v>0.67891999999999997</v>
      </c>
      <c r="FX98" s="48"/>
      <c r="FY98" s="48"/>
      <c r="FZ98" s="48">
        <v>1.5178</v>
      </c>
      <c r="GA98" s="48"/>
      <c r="GB98" s="48"/>
      <c r="GC98" s="48"/>
      <c r="GD98" s="48"/>
      <c r="GE98" s="48"/>
      <c r="GF98" s="48"/>
      <c r="GG98" s="48"/>
      <c r="GH98" s="48"/>
      <c r="GI98" s="48"/>
      <c r="GJ98" s="48"/>
      <c r="GK98" s="48"/>
      <c r="GL98" s="48"/>
      <c r="GM98" s="48"/>
      <c r="GN98" s="48"/>
      <c r="GO98" s="48"/>
      <c r="GP98" s="48"/>
      <c r="GQ98" s="48"/>
      <c r="GR98" s="48"/>
      <c r="GS98" s="48"/>
      <c r="GT98" s="48"/>
    </row>
    <row r="99" spans="1:202" ht="13.15" customHeight="1" x14ac:dyDescent="0.2">
      <c r="A99" s="3" t="s">
        <v>329</v>
      </c>
      <c r="B99" s="4" t="s">
        <v>819</v>
      </c>
      <c r="C99" s="28">
        <v>2016</v>
      </c>
      <c r="D99" s="16">
        <v>110</v>
      </c>
      <c r="E99" s="16">
        <v>2</v>
      </c>
      <c r="F99" s="5" t="s">
        <v>333</v>
      </c>
      <c r="G99" s="5" t="s">
        <v>16</v>
      </c>
      <c r="H99" s="5" t="s">
        <v>5</v>
      </c>
      <c r="I99" s="5" t="s">
        <v>766</v>
      </c>
      <c r="J99" s="5" t="s">
        <v>90</v>
      </c>
      <c r="K99" s="48" t="s">
        <v>1046</v>
      </c>
      <c r="L99" s="5" t="s">
        <v>1049</v>
      </c>
      <c r="M99" s="5" t="s">
        <v>61</v>
      </c>
      <c r="N99" s="85">
        <v>0</v>
      </c>
      <c r="O99" s="85">
        <v>3.13</v>
      </c>
      <c r="P99" s="50" t="s">
        <v>333</v>
      </c>
      <c r="Q99" s="48" t="s">
        <v>39</v>
      </c>
      <c r="R99" s="48" t="s">
        <v>821</v>
      </c>
      <c r="S99" s="51" t="s">
        <v>807</v>
      </c>
      <c r="T99" s="5" t="s">
        <v>1335</v>
      </c>
      <c r="U99" s="9">
        <f>N99+6.78</f>
        <v>6.78</v>
      </c>
      <c r="V99" s="9">
        <f t="shared" si="4"/>
        <v>-6.4261934218368996E-2</v>
      </c>
      <c r="W99" s="9"/>
      <c r="X99" s="9"/>
      <c r="Y99" s="9">
        <f>O99+4.1</f>
        <v>7.2299999999999995</v>
      </c>
      <c r="Z99" s="9"/>
      <c r="AA99" s="5" t="s">
        <v>12</v>
      </c>
      <c r="AB99" s="7" t="s">
        <v>1123</v>
      </c>
      <c r="AC99" s="5" t="s">
        <v>632</v>
      </c>
      <c r="AD99" s="3">
        <v>9</v>
      </c>
      <c r="AE99" s="48" t="s">
        <v>14</v>
      </c>
      <c r="AF99" s="5" t="s">
        <v>1330</v>
      </c>
      <c r="AG99" s="5" t="s">
        <v>8</v>
      </c>
      <c r="AH99" s="5" t="s">
        <v>8</v>
      </c>
      <c r="AI99" s="5" t="s">
        <v>8</v>
      </c>
      <c r="AJ99" s="5" t="s">
        <v>8</v>
      </c>
      <c r="AK99" s="5" t="s">
        <v>822</v>
      </c>
      <c r="AL99" s="5" t="s">
        <v>14</v>
      </c>
      <c r="AM99" s="5" t="s">
        <v>1028</v>
      </c>
      <c r="AN99" s="5" t="s">
        <v>67</v>
      </c>
      <c r="AO99" s="5" t="s">
        <v>67</v>
      </c>
      <c r="AP99" s="5" t="s">
        <v>820</v>
      </c>
      <c r="AQ99" s="5" t="s">
        <v>823</v>
      </c>
      <c r="BD99" s="58"/>
      <c r="BE99" s="5">
        <v>1.8280000000000001E-2</v>
      </c>
      <c r="BH99" s="5">
        <v>5.0499999999999998E-3</v>
      </c>
      <c r="BM99" s="58"/>
      <c r="BN99" s="5">
        <v>9.1280000000000018E-4</v>
      </c>
      <c r="BQ99" s="5">
        <v>1.4994000000000002E-4</v>
      </c>
      <c r="BZ99" s="5">
        <v>1.4499999999999999E-3</v>
      </c>
      <c r="CC99" s="5">
        <v>5.44E-4</v>
      </c>
      <c r="FW99" s="5">
        <v>0.74811000000000005</v>
      </c>
      <c r="FZ99" s="5">
        <v>1.5178</v>
      </c>
    </row>
    <row r="100" spans="1:202" s="114" customFormat="1" ht="13.15" hidden="1" customHeight="1" x14ac:dyDescent="0.2">
      <c r="A100" s="3" t="s">
        <v>329</v>
      </c>
      <c r="B100" s="4" t="s">
        <v>799</v>
      </c>
      <c r="C100" s="28">
        <v>2016</v>
      </c>
      <c r="D100" s="16">
        <v>107</v>
      </c>
      <c r="E100" s="16">
        <v>1</v>
      </c>
      <c r="F100" s="63" t="s">
        <v>1088</v>
      </c>
      <c r="G100" s="5" t="s">
        <v>16</v>
      </c>
      <c r="H100" s="5" t="s">
        <v>5</v>
      </c>
      <c r="I100" s="5" t="s">
        <v>802</v>
      </c>
      <c r="J100" s="5" t="s">
        <v>1260</v>
      </c>
      <c r="K100" s="5" t="s">
        <v>1045</v>
      </c>
      <c r="L100" s="5" t="s">
        <v>8</v>
      </c>
      <c r="M100" s="5" t="s">
        <v>9</v>
      </c>
      <c r="N100" s="85">
        <v>1.4</v>
      </c>
      <c r="O100" s="85">
        <v>1.4</v>
      </c>
      <c r="P100" s="7" t="s">
        <v>801</v>
      </c>
      <c r="Q100" s="5" t="s">
        <v>39</v>
      </c>
      <c r="R100" s="5" t="s">
        <v>31</v>
      </c>
      <c r="S100" s="7" t="s">
        <v>126</v>
      </c>
      <c r="T100" s="5" t="s">
        <v>1335</v>
      </c>
      <c r="U100" s="9">
        <f>N100+3.7</f>
        <v>5.0999999999999996</v>
      </c>
      <c r="V100" s="9">
        <f t="shared" si="4"/>
        <v>-0.51082562376599072</v>
      </c>
      <c r="W100" s="9"/>
      <c r="X100" s="9"/>
      <c r="Y100" s="9">
        <f>O100+7.1</f>
        <v>8.5</v>
      </c>
      <c r="Z100" s="9"/>
      <c r="AA100" s="5" t="s">
        <v>12</v>
      </c>
      <c r="AB100" s="7" t="s">
        <v>1123</v>
      </c>
      <c r="AC100" s="5" t="s">
        <v>13</v>
      </c>
      <c r="AD100" s="3">
        <v>9</v>
      </c>
      <c r="AE100" s="5" t="s">
        <v>8</v>
      </c>
      <c r="AF100" s="5" t="s">
        <v>1327</v>
      </c>
      <c r="AG100" s="5" t="s">
        <v>8</v>
      </c>
      <c r="AH100" s="5" t="s">
        <v>8</v>
      </c>
      <c r="AI100" s="5" t="s">
        <v>8</v>
      </c>
      <c r="AJ100" s="5" t="s">
        <v>14</v>
      </c>
      <c r="AK100" s="5" t="s">
        <v>783</v>
      </c>
      <c r="AL100" s="5" t="s">
        <v>14</v>
      </c>
      <c r="AM100" s="5" t="s">
        <v>1028</v>
      </c>
      <c r="AN100" s="5" t="s">
        <v>67</v>
      </c>
      <c r="AO100" s="5" t="s">
        <v>67</v>
      </c>
      <c r="AP100" s="5" t="s">
        <v>800</v>
      </c>
      <c r="AQ100" s="5" t="s">
        <v>803</v>
      </c>
      <c r="AR100" s="5"/>
      <c r="AS100" s="5"/>
      <c r="AT100" s="5"/>
      <c r="AU100" s="5"/>
      <c r="AV100" s="5"/>
      <c r="AW100" s="5"/>
      <c r="AX100" s="5"/>
      <c r="AY100" s="5"/>
      <c r="AZ100" s="27">
        <v>2.3E-2</v>
      </c>
      <c r="BA100" s="5"/>
      <c r="BB100" s="5"/>
      <c r="BC100" s="27">
        <v>8.5000000000000006E-3</v>
      </c>
      <c r="BD100" s="58">
        <f>LN(AZ100/BC100)</f>
        <v>0.9954280524328788</v>
      </c>
      <c r="BE100" s="5"/>
      <c r="BF100" s="5"/>
      <c r="BG100" s="5"/>
      <c r="BH100" s="5"/>
      <c r="BI100" s="27">
        <v>7.1000000000000004E-3</v>
      </c>
      <c r="BJ100" s="5"/>
      <c r="BK100" s="5"/>
      <c r="BL100" s="27">
        <v>4.1999999999999997E-3</v>
      </c>
      <c r="BM100" s="58">
        <f>LN(BI100/BL100)</f>
        <v>0.52501025875794727</v>
      </c>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9">
        <v>65</v>
      </c>
      <c r="CU100" s="9"/>
      <c r="CV100" s="9"/>
      <c r="CW100" s="9">
        <v>81</v>
      </c>
      <c r="CX100" s="59">
        <f>LN(CT100/CW100)</f>
        <v>-0.22006188477680164</v>
      </c>
      <c r="CY100" s="9">
        <v>210</v>
      </c>
      <c r="CZ100" s="9"/>
      <c r="DA100" s="5"/>
      <c r="DB100" s="5">
        <v>1.5</v>
      </c>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row>
    <row r="101" spans="1:202" ht="13.15" hidden="1" customHeight="1" x14ac:dyDescent="0.2">
      <c r="A101" s="3" t="s">
        <v>329</v>
      </c>
      <c r="B101" s="4" t="s">
        <v>399</v>
      </c>
      <c r="C101" s="28">
        <v>2017</v>
      </c>
      <c r="D101" s="16">
        <v>48</v>
      </c>
      <c r="E101" s="16">
        <v>1</v>
      </c>
      <c r="F101" s="5" t="s">
        <v>863</v>
      </c>
      <c r="G101" s="19" t="s">
        <v>401</v>
      </c>
      <c r="H101" s="5" t="s">
        <v>5</v>
      </c>
      <c r="I101" s="5" t="s">
        <v>402</v>
      </c>
      <c r="J101" s="5" t="s">
        <v>25</v>
      </c>
      <c r="K101" s="5" t="s">
        <v>1045</v>
      </c>
      <c r="L101" s="5" t="s">
        <v>8</v>
      </c>
      <c r="M101" s="5" t="s">
        <v>38</v>
      </c>
      <c r="N101" s="7">
        <v>0</v>
      </c>
      <c r="O101" s="7">
        <v>3.14</v>
      </c>
      <c r="P101" s="7" t="s">
        <v>863</v>
      </c>
      <c r="Q101" s="5" t="s">
        <v>309</v>
      </c>
      <c r="R101" s="5" t="s">
        <v>27</v>
      </c>
      <c r="S101" s="5" t="s">
        <v>403</v>
      </c>
      <c r="T101" s="5" t="s">
        <v>1335</v>
      </c>
      <c r="U101" s="9">
        <f>2.3+N101</f>
        <v>2.2999999999999998</v>
      </c>
      <c r="V101" s="9">
        <f t="shared" si="4"/>
        <v>-0.69964774516303874</v>
      </c>
      <c r="W101" s="9"/>
      <c r="X101" s="9"/>
      <c r="Y101" s="9">
        <f>1.49+O101</f>
        <v>4.63</v>
      </c>
      <c r="Z101" s="9"/>
      <c r="AA101" s="5" t="s">
        <v>12</v>
      </c>
      <c r="AB101" s="7" t="s">
        <v>1044</v>
      </c>
      <c r="AC101" s="5" t="s">
        <v>74</v>
      </c>
      <c r="AD101" s="3">
        <v>9</v>
      </c>
      <c r="AE101" s="5" t="s">
        <v>14</v>
      </c>
      <c r="AF101" s="5" t="s">
        <v>65</v>
      </c>
      <c r="AG101" s="19" t="s">
        <v>14</v>
      </c>
      <c r="AH101" s="5" t="s">
        <v>8</v>
      </c>
      <c r="AI101" s="5" t="s">
        <v>8</v>
      </c>
      <c r="AJ101" s="19" t="s">
        <v>14</v>
      </c>
      <c r="AK101" s="5" t="s">
        <v>84</v>
      </c>
      <c r="AL101" s="5" t="s">
        <v>8</v>
      </c>
      <c r="AM101" s="5" t="s">
        <v>404</v>
      </c>
      <c r="AN101" s="5" t="s">
        <v>336</v>
      </c>
      <c r="AO101" s="5" t="s">
        <v>336</v>
      </c>
      <c r="AP101" s="19" t="s">
        <v>400</v>
      </c>
      <c r="AQ101" s="5" t="s">
        <v>405</v>
      </c>
      <c r="BD101" s="58"/>
      <c r="BM101" s="58"/>
    </row>
    <row r="102" spans="1:202" ht="13.15" customHeight="1" x14ac:dyDescent="0.2">
      <c r="A102" s="3" t="s">
        <v>329</v>
      </c>
      <c r="B102" s="4" t="s">
        <v>399</v>
      </c>
      <c r="C102" s="28">
        <v>2017</v>
      </c>
      <c r="D102" s="16">
        <v>48</v>
      </c>
      <c r="E102" s="16">
        <v>3</v>
      </c>
      <c r="F102" s="5" t="s">
        <v>864</v>
      </c>
      <c r="G102" s="19" t="s">
        <v>406</v>
      </c>
      <c r="H102" s="5" t="s">
        <v>93</v>
      </c>
      <c r="I102" s="5" t="s">
        <v>407</v>
      </c>
      <c r="J102" s="5" t="s">
        <v>25</v>
      </c>
      <c r="K102" s="48" t="s">
        <v>1045</v>
      </c>
      <c r="L102" s="5" t="s">
        <v>8</v>
      </c>
      <c r="M102" s="5" t="s">
        <v>38</v>
      </c>
      <c r="N102" s="7">
        <v>0</v>
      </c>
      <c r="O102" s="7">
        <v>3.13</v>
      </c>
      <c r="P102" s="7" t="s">
        <v>864</v>
      </c>
      <c r="Q102" s="5" t="s">
        <v>309</v>
      </c>
      <c r="R102" s="5" t="s">
        <v>27</v>
      </c>
      <c r="S102" s="5" t="s">
        <v>403</v>
      </c>
      <c r="T102" s="5" t="s">
        <v>1335</v>
      </c>
      <c r="U102" s="9">
        <f>3.5+N102</f>
        <v>3.5</v>
      </c>
      <c r="V102" s="9">
        <f t="shared" si="4"/>
        <v>-0.28625247964218653</v>
      </c>
      <c r="W102" s="9"/>
      <c r="X102" s="9"/>
      <c r="Y102" s="9">
        <f>1.53+O102</f>
        <v>4.66</v>
      </c>
      <c r="Z102" s="9"/>
      <c r="AA102" s="5" t="s">
        <v>12</v>
      </c>
      <c r="AB102" s="7" t="s">
        <v>1044</v>
      </c>
      <c r="AC102" s="5" t="s">
        <v>74</v>
      </c>
      <c r="AD102" s="3">
        <v>9</v>
      </c>
      <c r="AE102" s="5" t="s">
        <v>14</v>
      </c>
      <c r="AF102" s="5" t="s">
        <v>65</v>
      </c>
      <c r="AG102" s="19" t="s">
        <v>14</v>
      </c>
      <c r="AH102" s="5" t="s">
        <v>8</v>
      </c>
      <c r="AI102" s="5" t="s">
        <v>8</v>
      </c>
      <c r="AJ102" s="19" t="s">
        <v>14</v>
      </c>
      <c r="AK102" s="5" t="s">
        <v>84</v>
      </c>
      <c r="AL102" s="5" t="s">
        <v>8</v>
      </c>
      <c r="AM102" s="5" t="s">
        <v>408</v>
      </c>
      <c r="AN102" s="5" t="s">
        <v>336</v>
      </c>
      <c r="AO102" s="5" t="s">
        <v>336</v>
      </c>
      <c r="AP102" s="19" t="s">
        <v>400</v>
      </c>
      <c r="AQ102" s="5" t="s">
        <v>405</v>
      </c>
      <c r="BD102" s="58"/>
      <c r="BM102" s="58"/>
    </row>
    <row r="103" spans="1:202" ht="13.15" customHeight="1" x14ac:dyDescent="0.2">
      <c r="A103" s="3" t="s">
        <v>329</v>
      </c>
      <c r="B103" s="4" t="s">
        <v>399</v>
      </c>
      <c r="C103" s="28">
        <v>2017</v>
      </c>
      <c r="D103" s="16">
        <v>48</v>
      </c>
      <c r="E103" s="16">
        <v>2</v>
      </c>
      <c r="F103" s="5" t="s">
        <v>864</v>
      </c>
      <c r="G103" s="19" t="s">
        <v>401</v>
      </c>
      <c r="H103" s="5" t="s">
        <v>5</v>
      </c>
      <c r="I103" s="5" t="s">
        <v>402</v>
      </c>
      <c r="J103" s="5" t="s">
        <v>25</v>
      </c>
      <c r="K103" s="5" t="s">
        <v>1045</v>
      </c>
      <c r="L103" s="5" t="s">
        <v>8</v>
      </c>
      <c r="M103" s="5" t="s">
        <v>38</v>
      </c>
      <c r="N103" s="7">
        <v>0</v>
      </c>
      <c r="O103" s="7">
        <v>3.13</v>
      </c>
      <c r="P103" s="7" t="s">
        <v>864</v>
      </c>
      <c r="Q103" s="5" t="s">
        <v>309</v>
      </c>
      <c r="R103" s="5" t="s">
        <v>27</v>
      </c>
      <c r="S103" s="5" t="s">
        <v>403</v>
      </c>
      <c r="T103" s="5" t="s">
        <v>1335</v>
      </c>
      <c r="U103" s="9">
        <f>4.21+N103</f>
        <v>4.21</v>
      </c>
      <c r="V103" s="9">
        <f t="shared" si="4"/>
        <v>-0.10155280044326452</v>
      </c>
      <c r="W103" s="9"/>
      <c r="X103" s="9"/>
      <c r="Y103" s="9">
        <f>1.53+O103</f>
        <v>4.66</v>
      </c>
      <c r="Z103" s="9"/>
      <c r="AA103" s="5" t="s">
        <v>12</v>
      </c>
      <c r="AB103" s="7" t="s">
        <v>1044</v>
      </c>
      <c r="AC103" s="5" t="s">
        <v>74</v>
      </c>
      <c r="AD103" s="3">
        <v>9</v>
      </c>
      <c r="AE103" s="5" t="s">
        <v>14</v>
      </c>
      <c r="AF103" s="5" t="s">
        <v>65</v>
      </c>
      <c r="AG103" s="19" t="s">
        <v>14</v>
      </c>
      <c r="AH103" s="5" t="s">
        <v>8</v>
      </c>
      <c r="AI103" s="5" t="s">
        <v>8</v>
      </c>
      <c r="AJ103" s="19" t="s">
        <v>14</v>
      </c>
      <c r="AK103" s="5" t="s">
        <v>84</v>
      </c>
      <c r="AL103" s="5" t="s">
        <v>8</v>
      </c>
      <c r="AM103" s="5" t="s">
        <v>404</v>
      </c>
      <c r="AN103" s="5" t="s">
        <v>336</v>
      </c>
      <c r="AO103" s="5" t="s">
        <v>336</v>
      </c>
      <c r="AP103" s="19" t="s">
        <v>400</v>
      </c>
      <c r="AQ103" s="5" t="s">
        <v>405</v>
      </c>
      <c r="BD103" s="58"/>
      <c r="BM103" s="58"/>
    </row>
    <row r="104" spans="1:202" ht="13.15" hidden="1" customHeight="1" x14ac:dyDescent="0.2">
      <c r="A104" s="3" t="s">
        <v>329</v>
      </c>
      <c r="B104" s="4" t="s">
        <v>386</v>
      </c>
      <c r="C104" s="28">
        <v>2017</v>
      </c>
      <c r="D104" s="16">
        <v>46</v>
      </c>
      <c r="E104" s="16">
        <v>3</v>
      </c>
      <c r="F104" s="63" t="s">
        <v>1051</v>
      </c>
      <c r="G104" s="19" t="s">
        <v>388</v>
      </c>
      <c r="H104" s="5" t="s">
        <v>5</v>
      </c>
      <c r="I104" s="5" t="s">
        <v>6</v>
      </c>
      <c r="J104" s="5" t="s">
        <v>7</v>
      </c>
      <c r="K104" s="5" t="s">
        <v>1046</v>
      </c>
      <c r="L104" s="5" t="s">
        <v>1049</v>
      </c>
      <c r="M104" s="5" t="s">
        <v>61</v>
      </c>
      <c r="N104" s="7">
        <v>1.45</v>
      </c>
      <c r="O104" s="7">
        <v>1.46</v>
      </c>
      <c r="P104" s="7" t="s">
        <v>162</v>
      </c>
      <c r="Q104" s="5" t="s">
        <v>309</v>
      </c>
      <c r="R104" s="5" t="s">
        <v>18</v>
      </c>
      <c r="S104" s="5" t="s">
        <v>383</v>
      </c>
      <c r="T104" s="5" t="s">
        <v>1335</v>
      </c>
      <c r="U104" s="9">
        <f>1.45+N104</f>
        <v>2.9</v>
      </c>
      <c r="V104" s="9">
        <f t="shared" si="4"/>
        <v>-0.11701645838618784</v>
      </c>
      <c r="W104" s="9"/>
      <c r="X104" s="9"/>
      <c r="Y104" s="9">
        <f>1.8+O104</f>
        <v>3.26</v>
      </c>
      <c r="Z104" s="9"/>
      <c r="AA104" s="5" t="s">
        <v>12</v>
      </c>
      <c r="AB104" s="7" t="s">
        <v>1123</v>
      </c>
      <c r="AC104" s="5" t="s">
        <v>13</v>
      </c>
      <c r="AD104" s="3">
        <v>9</v>
      </c>
      <c r="AE104" s="5" t="s">
        <v>14</v>
      </c>
      <c r="AF104" s="5" t="s">
        <v>97</v>
      </c>
      <c r="AG104" s="5" t="s">
        <v>14</v>
      </c>
      <c r="AH104" s="5" t="s">
        <v>8</v>
      </c>
      <c r="AI104" s="5" t="s">
        <v>8</v>
      </c>
      <c r="AJ104" s="5" t="s">
        <v>8</v>
      </c>
      <c r="AK104" s="5" t="s">
        <v>116</v>
      </c>
      <c r="AL104" s="5" t="s">
        <v>8</v>
      </c>
      <c r="AM104" s="5" t="s">
        <v>389</v>
      </c>
      <c r="AN104" s="5" t="s">
        <v>18</v>
      </c>
      <c r="AO104" s="5" t="s">
        <v>18</v>
      </c>
      <c r="AP104" s="19" t="s">
        <v>387</v>
      </c>
      <c r="AQ104" s="5" t="s">
        <v>390</v>
      </c>
      <c r="BD104" s="58"/>
      <c r="BM104" s="58"/>
    </row>
    <row r="105" spans="1:202" ht="13.15" hidden="1" customHeight="1" x14ac:dyDescent="0.2">
      <c r="A105" s="51" t="s">
        <v>329</v>
      </c>
      <c r="B105" s="52" t="s">
        <v>815</v>
      </c>
      <c r="C105" s="77">
        <v>2016</v>
      </c>
      <c r="D105" s="16">
        <v>109</v>
      </c>
      <c r="E105" s="54">
        <v>8</v>
      </c>
      <c r="F105" s="5" t="s">
        <v>869</v>
      </c>
      <c r="G105" s="51" t="s">
        <v>16</v>
      </c>
      <c r="H105" s="51" t="s">
        <v>5</v>
      </c>
      <c r="I105" s="51" t="s">
        <v>6</v>
      </c>
      <c r="J105" s="51" t="s">
        <v>7</v>
      </c>
      <c r="K105" s="5" t="s">
        <v>1046</v>
      </c>
      <c r="L105" s="51" t="s">
        <v>52</v>
      </c>
      <c r="M105" s="51" t="s">
        <v>9</v>
      </c>
      <c r="N105" s="92">
        <v>3.13</v>
      </c>
      <c r="O105" s="92">
        <v>3.13</v>
      </c>
      <c r="P105" s="53" t="s">
        <v>869</v>
      </c>
      <c r="Q105" s="51" t="s">
        <v>39</v>
      </c>
      <c r="R105" s="51" t="s">
        <v>18</v>
      </c>
      <c r="S105" s="51" t="s">
        <v>807</v>
      </c>
      <c r="T105" s="5" t="s">
        <v>1335</v>
      </c>
      <c r="U105" s="100">
        <v>3.22</v>
      </c>
      <c r="V105" s="9">
        <f t="shared" si="4"/>
        <v>-0.5426131412028754</v>
      </c>
      <c r="W105" s="100">
        <v>2.63</v>
      </c>
      <c r="X105" s="100">
        <v>3.94</v>
      </c>
      <c r="Y105" s="100">
        <v>5.54</v>
      </c>
      <c r="Z105" s="102"/>
      <c r="AA105" s="51" t="s">
        <v>12</v>
      </c>
      <c r="AB105" s="7" t="s">
        <v>1044</v>
      </c>
      <c r="AC105" s="51" t="s">
        <v>74</v>
      </c>
      <c r="AD105" s="67">
        <v>9</v>
      </c>
      <c r="AE105" s="51" t="s">
        <v>14</v>
      </c>
      <c r="AF105" s="5" t="s">
        <v>1329</v>
      </c>
      <c r="AG105" s="51" t="s">
        <v>8</v>
      </c>
      <c r="AH105" s="51" t="s">
        <v>8</v>
      </c>
      <c r="AI105" s="51" t="s">
        <v>8</v>
      </c>
      <c r="AJ105" s="51" t="s">
        <v>8</v>
      </c>
      <c r="AK105" s="5" t="s">
        <v>1028</v>
      </c>
      <c r="AL105" s="51" t="s">
        <v>14</v>
      </c>
      <c r="AM105" s="5" t="s">
        <v>1028</v>
      </c>
      <c r="AN105" s="51" t="s">
        <v>18</v>
      </c>
      <c r="AO105" s="51" t="s">
        <v>18</v>
      </c>
      <c r="AP105" s="51" t="s">
        <v>816</v>
      </c>
      <c r="AQ105" s="56" t="s">
        <v>817</v>
      </c>
      <c r="AR105" s="55"/>
      <c r="AS105" s="55"/>
      <c r="AT105" s="55"/>
      <c r="AU105" s="55"/>
      <c r="AV105" s="55"/>
      <c r="AW105" s="55"/>
      <c r="AX105" s="55"/>
      <c r="AY105" s="55"/>
      <c r="AZ105" s="55"/>
      <c r="BA105" s="55"/>
      <c r="BB105" s="55"/>
      <c r="BC105" s="55"/>
      <c r="BD105" s="58"/>
      <c r="BE105" s="55"/>
      <c r="BF105" s="55"/>
      <c r="BG105" s="55"/>
      <c r="BH105" s="55"/>
      <c r="BI105" s="55"/>
      <c r="BJ105" s="55"/>
      <c r="BK105" s="55"/>
      <c r="BL105" s="55"/>
      <c r="BM105" s="58"/>
      <c r="BN105" s="55"/>
      <c r="BO105" s="55"/>
      <c r="BP105" s="55"/>
      <c r="BQ105" s="55"/>
      <c r="BR105" s="55"/>
      <c r="BS105" s="55"/>
      <c r="BT105" s="55"/>
      <c r="BU105" s="55"/>
      <c r="BV105" s="55"/>
      <c r="BW105" s="55"/>
      <c r="BX105" s="55"/>
      <c r="BY105" s="55"/>
      <c r="BZ105" s="55"/>
      <c r="CA105" s="55"/>
      <c r="CB105" s="55"/>
      <c r="CC105" s="55"/>
      <c r="CD105" s="55"/>
      <c r="CE105" s="55"/>
      <c r="CF105" s="55"/>
      <c r="CG105" s="55"/>
      <c r="CH105" s="55"/>
      <c r="CI105" s="55"/>
      <c r="CJ105" s="55"/>
      <c r="CK105" s="55"/>
      <c r="CL105" s="55"/>
      <c r="CM105" s="55"/>
      <c r="CN105" s="55"/>
      <c r="CO105" s="55"/>
      <c r="CP105" s="55"/>
      <c r="CQ105" s="55"/>
      <c r="CR105" s="55"/>
      <c r="CS105" s="55"/>
      <c r="CT105" s="55"/>
      <c r="CU105" s="55"/>
      <c r="CV105" s="55"/>
      <c r="CW105" s="55"/>
      <c r="CY105" s="55"/>
      <c r="CZ105" s="55"/>
      <c r="DA105" s="55"/>
      <c r="DB105" s="55"/>
      <c r="DC105" s="55"/>
      <c r="DD105" s="55"/>
      <c r="DE105" s="55"/>
      <c r="DF105" s="55"/>
      <c r="DG105" s="55"/>
      <c r="DH105" s="55"/>
      <c r="DI105" s="55"/>
      <c r="DJ105" s="55"/>
      <c r="DK105" s="55"/>
      <c r="DL105" s="55"/>
      <c r="DM105" s="55"/>
      <c r="DN105" s="55"/>
      <c r="DO105" s="55"/>
      <c r="DP105" s="55"/>
      <c r="DQ105" s="55"/>
      <c r="DR105" s="55"/>
      <c r="DS105" s="55"/>
      <c r="DT105" s="55"/>
      <c r="DU105" s="55"/>
      <c r="DV105" s="55"/>
      <c r="DW105" s="55"/>
      <c r="DX105" s="55"/>
      <c r="DY105" s="55"/>
      <c r="DZ105" s="55"/>
      <c r="EA105" s="55"/>
      <c r="EB105" s="55"/>
      <c r="EC105" s="55"/>
      <c r="ED105" s="55"/>
      <c r="EE105" s="55"/>
      <c r="EF105" s="55"/>
      <c r="EG105" s="55"/>
      <c r="EH105" s="55"/>
      <c r="EI105" s="55"/>
      <c r="EJ105" s="55"/>
      <c r="EK105" s="55"/>
      <c r="EL105" s="55"/>
      <c r="EM105" s="55"/>
      <c r="EN105" s="55"/>
      <c r="EO105" s="55"/>
      <c r="EP105" s="55"/>
      <c r="EQ105" s="55"/>
      <c r="ER105" s="55"/>
      <c r="ES105" s="55"/>
      <c r="ET105" s="55"/>
      <c r="EU105" s="55"/>
      <c r="EV105" s="55"/>
      <c r="EW105" s="55"/>
      <c r="EX105" s="55"/>
      <c r="EY105" s="55"/>
      <c r="EZ105" s="55"/>
      <c r="FA105" s="55"/>
      <c r="FB105" s="55"/>
      <c r="FC105" s="55"/>
      <c r="FD105" s="55"/>
      <c r="FE105" s="55"/>
      <c r="FF105" s="55"/>
      <c r="FG105" s="55"/>
      <c r="FH105" s="55"/>
      <c r="FI105" s="55"/>
      <c r="FJ105" s="55"/>
      <c r="FK105" s="55"/>
      <c r="FL105" s="55"/>
      <c r="FM105" s="55"/>
      <c r="FN105" s="55"/>
      <c r="FO105" s="55"/>
      <c r="FP105" s="55"/>
      <c r="FQ105" s="55"/>
      <c r="FR105" s="55"/>
      <c r="FS105" s="55"/>
      <c r="FT105" s="55"/>
      <c r="FU105" s="55"/>
      <c r="FV105" s="55"/>
      <c r="FW105" s="55"/>
      <c r="FX105" s="55"/>
      <c r="FY105" s="55"/>
      <c r="FZ105" s="55"/>
      <c r="GA105" s="55"/>
      <c r="GB105" s="55"/>
      <c r="GC105" s="55"/>
      <c r="GD105" s="55"/>
      <c r="GE105" s="55"/>
      <c r="GF105" s="55"/>
      <c r="GG105" s="55"/>
      <c r="GH105" s="55"/>
      <c r="GI105" s="55"/>
      <c r="GJ105" s="55"/>
      <c r="GK105" s="55"/>
      <c r="GL105" s="55"/>
      <c r="GM105" s="55"/>
      <c r="GN105" s="55"/>
      <c r="GO105" s="55"/>
      <c r="GP105" s="55"/>
      <c r="GQ105" s="55"/>
      <c r="GR105" s="55"/>
      <c r="GS105" s="55"/>
      <c r="GT105" s="55"/>
    </row>
    <row r="106" spans="1:202" ht="13.15" customHeight="1" x14ac:dyDescent="0.2">
      <c r="A106" s="51" t="s">
        <v>329</v>
      </c>
      <c r="B106" s="52" t="s">
        <v>815</v>
      </c>
      <c r="C106" s="77">
        <v>2016</v>
      </c>
      <c r="D106" s="16">
        <v>109</v>
      </c>
      <c r="E106" s="54">
        <v>11</v>
      </c>
      <c r="F106" s="5" t="s">
        <v>869</v>
      </c>
      <c r="G106" s="51" t="s">
        <v>16</v>
      </c>
      <c r="H106" s="51" t="s">
        <v>5</v>
      </c>
      <c r="I106" s="51" t="s">
        <v>818</v>
      </c>
      <c r="J106" s="51" t="s">
        <v>90</v>
      </c>
      <c r="K106" s="48" t="s">
        <v>1046</v>
      </c>
      <c r="L106" s="51" t="s">
        <v>52</v>
      </c>
      <c r="M106" s="51" t="s">
        <v>9</v>
      </c>
      <c r="N106" s="92">
        <v>3.13</v>
      </c>
      <c r="O106" s="92">
        <v>3.13</v>
      </c>
      <c r="P106" s="53" t="s">
        <v>869</v>
      </c>
      <c r="Q106" s="51" t="s">
        <v>39</v>
      </c>
      <c r="R106" s="51" t="s">
        <v>18</v>
      </c>
      <c r="S106" s="51" t="s">
        <v>807</v>
      </c>
      <c r="T106" s="5" t="s">
        <v>1335</v>
      </c>
      <c r="U106" s="100">
        <v>6.77</v>
      </c>
      <c r="V106" s="9">
        <f t="shared" si="4"/>
        <v>0.20050658616499104</v>
      </c>
      <c r="W106" s="100">
        <v>4.71</v>
      </c>
      <c r="X106" s="100">
        <v>9.75</v>
      </c>
      <c r="Y106" s="100">
        <v>5.54</v>
      </c>
      <c r="Z106" s="102"/>
      <c r="AA106" s="51" t="s">
        <v>12</v>
      </c>
      <c r="AB106" s="7" t="s">
        <v>1044</v>
      </c>
      <c r="AC106" s="51" t="s">
        <v>74</v>
      </c>
      <c r="AD106" s="67">
        <v>9</v>
      </c>
      <c r="AE106" s="51" t="s">
        <v>14</v>
      </c>
      <c r="AF106" s="5" t="s">
        <v>1329</v>
      </c>
      <c r="AG106" s="51" t="s">
        <v>8</v>
      </c>
      <c r="AH106" s="51" t="s">
        <v>8</v>
      </c>
      <c r="AI106" s="51" t="s">
        <v>8</v>
      </c>
      <c r="AJ106" s="51" t="s">
        <v>8</v>
      </c>
      <c r="AK106" s="5" t="s">
        <v>1028</v>
      </c>
      <c r="AL106" s="51" t="s">
        <v>14</v>
      </c>
      <c r="AM106" s="5" t="s">
        <v>1028</v>
      </c>
      <c r="AN106" s="51" t="s">
        <v>18</v>
      </c>
      <c r="AO106" s="51" t="s">
        <v>18</v>
      </c>
      <c r="AP106" s="51" t="s">
        <v>816</v>
      </c>
      <c r="AQ106" s="56" t="s">
        <v>817</v>
      </c>
      <c r="AR106" s="55"/>
      <c r="AS106" s="55"/>
      <c r="AT106" s="55"/>
      <c r="AU106" s="55"/>
      <c r="AV106" s="55"/>
      <c r="AW106" s="55"/>
      <c r="AX106" s="55"/>
      <c r="AY106" s="55"/>
      <c r="AZ106" s="55"/>
      <c r="BA106" s="55"/>
      <c r="BB106" s="55"/>
      <c r="BC106" s="55"/>
      <c r="BD106" s="58"/>
      <c r="BE106" s="55"/>
      <c r="BF106" s="55"/>
      <c r="BG106" s="55"/>
      <c r="BH106" s="55"/>
      <c r="BI106" s="55"/>
      <c r="BJ106" s="55"/>
      <c r="BK106" s="55"/>
      <c r="BL106" s="55"/>
      <c r="BM106" s="58"/>
      <c r="BN106" s="55"/>
      <c r="BO106" s="55"/>
      <c r="BP106" s="55"/>
      <c r="BQ106" s="55"/>
      <c r="BR106" s="55"/>
      <c r="BS106" s="55"/>
      <c r="BT106" s="55"/>
      <c r="BU106" s="55"/>
      <c r="BV106" s="55"/>
      <c r="BW106" s="55"/>
      <c r="BX106" s="55"/>
      <c r="BY106" s="55"/>
      <c r="BZ106" s="55"/>
      <c r="CA106" s="55"/>
      <c r="CB106" s="55"/>
      <c r="CC106" s="55"/>
      <c r="CD106" s="55"/>
      <c r="CE106" s="55"/>
      <c r="CF106" s="55"/>
      <c r="CG106" s="55"/>
      <c r="CH106" s="55"/>
      <c r="CI106" s="55"/>
      <c r="CJ106" s="55"/>
      <c r="CK106" s="55"/>
      <c r="CL106" s="55"/>
      <c r="CM106" s="55"/>
      <c r="CN106" s="55"/>
      <c r="CO106" s="55"/>
      <c r="CP106" s="55"/>
      <c r="CQ106" s="55"/>
      <c r="CR106" s="55"/>
      <c r="CS106" s="55"/>
      <c r="CT106" s="55"/>
      <c r="CU106" s="55"/>
      <c r="CV106" s="55"/>
      <c r="CW106" s="55"/>
      <c r="CY106" s="55"/>
      <c r="CZ106" s="55"/>
      <c r="DA106" s="55"/>
      <c r="DB106" s="55"/>
      <c r="DC106" s="55"/>
      <c r="DD106" s="55"/>
      <c r="DE106" s="55"/>
      <c r="DF106" s="55"/>
      <c r="DG106" s="55"/>
      <c r="DH106" s="55"/>
      <c r="DI106" s="55"/>
      <c r="DJ106" s="55"/>
      <c r="DK106" s="55"/>
      <c r="DL106" s="55"/>
      <c r="DM106" s="55"/>
      <c r="DN106" s="55"/>
      <c r="DO106" s="55"/>
      <c r="DP106" s="55"/>
      <c r="DQ106" s="55"/>
      <c r="DR106" s="55"/>
      <c r="DS106" s="55"/>
      <c r="DT106" s="55"/>
      <c r="DU106" s="55"/>
      <c r="DV106" s="55"/>
      <c r="DW106" s="55"/>
      <c r="DX106" s="55"/>
      <c r="DY106" s="55"/>
      <c r="DZ106" s="55"/>
      <c r="EA106" s="55"/>
      <c r="EB106" s="55"/>
      <c r="EC106" s="55"/>
      <c r="ED106" s="55"/>
      <c r="EE106" s="55"/>
      <c r="EF106" s="55"/>
      <c r="EG106" s="55"/>
      <c r="EH106" s="55"/>
      <c r="EI106" s="55"/>
      <c r="EJ106" s="55"/>
      <c r="EK106" s="55"/>
      <c r="EL106" s="55"/>
      <c r="EM106" s="55"/>
      <c r="EN106" s="55"/>
      <c r="EO106" s="55"/>
      <c r="EP106" s="55"/>
      <c r="EQ106" s="55"/>
      <c r="ER106" s="55"/>
      <c r="ES106" s="55"/>
      <c r="ET106" s="55"/>
      <c r="EU106" s="55"/>
      <c r="EV106" s="55"/>
      <c r="EW106" s="55"/>
      <c r="EX106" s="55"/>
      <c r="EY106" s="55"/>
      <c r="EZ106" s="55"/>
      <c r="FA106" s="55"/>
      <c r="FB106" s="55"/>
      <c r="FC106" s="55"/>
      <c r="FD106" s="55"/>
      <c r="FE106" s="55"/>
      <c r="FF106" s="55"/>
      <c r="FG106" s="55"/>
      <c r="FH106" s="55"/>
      <c r="FI106" s="55"/>
      <c r="FJ106" s="55"/>
      <c r="FK106" s="55"/>
      <c r="FL106" s="55"/>
      <c r="FM106" s="55"/>
      <c r="FN106" s="55"/>
      <c r="FO106" s="55"/>
      <c r="FP106" s="55"/>
      <c r="FQ106" s="55"/>
      <c r="FR106" s="55"/>
      <c r="FS106" s="55"/>
      <c r="FT106" s="55"/>
      <c r="FU106" s="55"/>
      <c r="FV106" s="55"/>
      <c r="FW106" s="55"/>
      <c r="FX106" s="55"/>
      <c r="FY106" s="55"/>
      <c r="FZ106" s="55"/>
      <c r="GA106" s="55"/>
      <c r="GB106" s="55"/>
      <c r="GC106" s="55"/>
      <c r="GD106" s="55"/>
      <c r="GE106" s="55"/>
      <c r="GF106" s="55"/>
      <c r="GG106" s="55"/>
      <c r="GH106" s="55"/>
      <c r="GI106" s="55"/>
      <c r="GJ106" s="55"/>
      <c r="GK106" s="55"/>
      <c r="GL106" s="55"/>
      <c r="GM106" s="55"/>
      <c r="GN106" s="55"/>
      <c r="GO106" s="55"/>
      <c r="GP106" s="55"/>
      <c r="GQ106" s="55"/>
      <c r="GR106" s="55"/>
      <c r="GS106" s="55"/>
      <c r="GT106" s="55"/>
    </row>
    <row r="107" spans="1:202" hidden="1" x14ac:dyDescent="0.2">
      <c r="A107" s="51" t="s">
        <v>329</v>
      </c>
      <c r="B107" s="52" t="s">
        <v>815</v>
      </c>
      <c r="C107" s="77">
        <v>2016</v>
      </c>
      <c r="D107" s="16">
        <v>109</v>
      </c>
      <c r="E107" s="54">
        <v>9</v>
      </c>
      <c r="F107" s="5" t="s">
        <v>870</v>
      </c>
      <c r="G107" s="51" t="s">
        <v>16</v>
      </c>
      <c r="H107" s="51" t="s">
        <v>5</v>
      </c>
      <c r="I107" s="51" t="s">
        <v>6</v>
      </c>
      <c r="J107" s="51" t="s">
        <v>7</v>
      </c>
      <c r="K107" s="5" t="s">
        <v>1046</v>
      </c>
      <c r="L107" s="51" t="s">
        <v>52</v>
      </c>
      <c r="M107" s="51" t="s">
        <v>9</v>
      </c>
      <c r="N107" s="92">
        <v>3.13</v>
      </c>
      <c r="O107" s="92">
        <v>3.13</v>
      </c>
      <c r="P107" s="53" t="s">
        <v>870</v>
      </c>
      <c r="Q107" s="51" t="s">
        <v>39</v>
      </c>
      <c r="R107" s="51" t="s">
        <v>18</v>
      </c>
      <c r="S107" s="51" t="s">
        <v>807</v>
      </c>
      <c r="T107" s="5" t="s">
        <v>1335</v>
      </c>
      <c r="U107" s="100">
        <v>2.97</v>
      </c>
      <c r="V107" s="9">
        <f t="shared" si="4"/>
        <v>-0.57156907393501</v>
      </c>
      <c r="W107" s="100">
        <v>2.4</v>
      </c>
      <c r="X107" s="100">
        <v>3.67</v>
      </c>
      <c r="Y107" s="100">
        <v>5.26</v>
      </c>
      <c r="Z107" s="102"/>
      <c r="AA107" s="51" t="s">
        <v>12</v>
      </c>
      <c r="AB107" s="7" t="s">
        <v>1044</v>
      </c>
      <c r="AC107" s="51" t="s">
        <v>74</v>
      </c>
      <c r="AD107" s="67">
        <v>9</v>
      </c>
      <c r="AE107" s="51" t="s">
        <v>14</v>
      </c>
      <c r="AF107" s="5" t="s">
        <v>1329</v>
      </c>
      <c r="AG107" s="51" t="s">
        <v>8</v>
      </c>
      <c r="AH107" s="51" t="s">
        <v>8</v>
      </c>
      <c r="AI107" s="51" t="s">
        <v>8</v>
      </c>
      <c r="AJ107" s="51" t="s">
        <v>8</v>
      </c>
      <c r="AK107" s="5" t="s">
        <v>1028</v>
      </c>
      <c r="AL107" s="51" t="s">
        <v>14</v>
      </c>
      <c r="AM107" s="5" t="s">
        <v>1028</v>
      </c>
      <c r="AN107" s="51" t="s">
        <v>18</v>
      </c>
      <c r="AO107" s="51" t="s">
        <v>18</v>
      </c>
      <c r="AP107" s="51" t="s">
        <v>816</v>
      </c>
      <c r="AQ107" s="56" t="s">
        <v>817</v>
      </c>
      <c r="AR107" s="55"/>
      <c r="AS107" s="55"/>
      <c r="AT107" s="55"/>
      <c r="AU107" s="55"/>
      <c r="AV107" s="55"/>
      <c r="AW107" s="55"/>
      <c r="AX107" s="55"/>
      <c r="AY107" s="55"/>
      <c r="AZ107" s="55"/>
      <c r="BA107" s="55"/>
      <c r="BB107" s="55"/>
      <c r="BC107" s="55"/>
      <c r="BD107" s="58"/>
      <c r="BE107" s="55"/>
      <c r="BF107" s="55"/>
      <c r="BG107" s="55"/>
      <c r="BH107" s="55"/>
      <c r="BI107" s="55"/>
      <c r="BJ107" s="55"/>
      <c r="BK107" s="55"/>
      <c r="BL107" s="55"/>
      <c r="BM107" s="58"/>
      <c r="BN107" s="55"/>
      <c r="BO107" s="55"/>
      <c r="BP107" s="55"/>
      <c r="BQ107" s="55"/>
      <c r="BR107" s="55"/>
      <c r="BS107" s="55"/>
      <c r="BT107" s="55"/>
      <c r="BU107" s="55"/>
      <c r="BV107" s="55"/>
      <c r="BW107" s="55"/>
      <c r="BX107" s="55"/>
      <c r="BY107" s="55"/>
      <c r="BZ107" s="55"/>
      <c r="CA107" s="55"/>
      <c r="CB107" s="55"/>
      <c r="CC107" s="55"/>
      <c r="CD107" s="55"/>
      <c r="CE107" s="55"/>
      <c r="CF107" s="55"/>
      <c r="CG107" s="55"/>
      <c r="CH107" s="55"/>
      <c r="CI107" s="55"/>
      <c r="CJ107" s="55"/>
      <c r="CK107" s="55"/>
      <c r="CL107" s="55"/>
      <c r="CM107" s="55"/>
      <c r="CN107" s="55"/>
      <c r="CO107" s="55"/>
      <c r="CP107" s="55"/>
      <c r="CQ107" s="55"/>
      <c r="CR107" s="55"/>
      <c r="CS107" s="55"/>
      <c r="CT107" s="55"/>
      <c r="CU107" s="55"/>
      <c r="CV107" s="55"/>
      <c r="CW107" s="55"/>
      <c r="CY107" s="55"/>
      <c r="CZ107" s="55"/>
      <c r="DA107" s="55"/>
      <c r="DB107" s="55"/>
      <c r="DC107" s="55"/>
      <c r="DD107" s="55"/>
      <c r="DE107" s="55"/>
      <c r="DF107" s="55"/>
      <c r="DG107" s="55"/>
      <c r="DH107" s="55"/>
      <c r="DI107" s="55"/>
      <c r="DJ107" s="55"/>
      <c r="DK107" s="55"/>
      <c r="DL107" s="55"/>
      <c r="DM107" s="55"/>
      <c r="DN107" s="55"/>
      <c r="DO107" s="55"/>
      <c r="DP107" s="55"/>
      <c r="DQ107" s="55"/>
      <c r="DR107" s="55"/>
      <c r="DS107" s="55"/>
      <c r="DT107" s="55"/>
      <c r="DU107" s="55"/>
      <c r="DV107" s="55"/>
      <c r="DW107" s="55"/>
      <c r="DX107" s="55"/>
      <c r="DY107" s="55"/>
      <c r="DZ107" s="55"/>
      <c r="EA107" s="55"/>
      <c r="EB107" s="55"/>
      <c r="EC107" s="55"/>
      <c r="ED107" s="55"/>
      <c r="EE107" s="55"/>
      <c r="EF107" s="55"/>
      <c r="EG107" s="55"/>
      <c r="EH107" s="55"/>
      <c r="EI107" s="55"/>
      <c r="EJ107" s="55"/>
      <c r="EK107" s="55"/>
      <c r="EL107" s="55"/>
      <c r="EM107" s="55"/>
      <c r="EN107" s="55"/>
      <c r="EO107" s="55"/>
      <c r="EP107" s="55"/>
      <c r="EQ107" s="55"/>
      <c r="ER107" s="55"/>
      <c r="ES107" s="55"/>
      <c r="ET107" s="55"/>
      <c r="EU107" s="55"/>
      <c r="EV107" s="55"/>
      <c r="EW107" s="55"/>
      <c r="EX107" s="55"/>
      <c r="EY107" s="55"/>
      <c r="EZ107" s="55"/>
      <c r="FA107" s="55"/>
      <c r="FB107" s="55"/>
      <c r="FC107" s="55"/>
      <c r="FD107" s="55"/>
      <c r="FE107" s="55"/>
      <c r="FF107" s="55"/>
      <c r="FG107" s="55"/>
      <c r="FH107" s="55"/>
      <c r="FI107" s="55"/>
      <c r="FJ107" s="55"/>
      <c r="FK107" s="55"/>
      <c r="FL107" s="55"/>
      <c r="FM107" s="55"/>
      <c r="FN107" s="55"/>
      <c r="FO107" s="55"/>
      <c r="FP107" s="55"/>
      <c r="FQ107" s="55"/>
      <c r="FR107" s="55"/>
      <c r="FS107" s="55"/>
      <c r="FT107" s="55"/>
      <c r="FU107" s="55"/>
      <c r="FV107" s="55"/>
      <c r="FW107" s="55"/>
      <c r="FX107" s="55"/>
      <c r="FY107" s="55"/>
      <c r="FZ107" s="55"/>
      <c r="GA107" s="55"/>
      <c r="GB107" s="55"/>
      <c r="GC107" s="55"/>
      <c r="GD107" s="55"/>
      <c r="GE107" s="55"/>
      <c r="GF107" s="55"/>
      <c r="GG107" s="55"/>
      <c r="GH107" s="55"/>
      <c r="GI107" s="55"/>
      <c r="GJ107" s="55"/>
      <c r="GK107" s="55"/>
      <c r="GL107" s="55"/>
      <c r="GM107" s="55"/>
      <c r="GN107" s="55"/>
      <c r="GO107" s="55"/>
      <c r="GP107" s="55"/>
      <c r="GQ107" s="55"/>
      <c r="GR107" s="55"/>
      <c r="GS107" s="55"/>
      <c r="GT107" s="55"/>
    </row>
    <row r="108" spans="1:202" ht="13.15" hidden="1" customHeight="1" x14ac:dyDescent="0.2">
      <c r="A108" s="51" t="s">
        <v>329</v>
      </c>
      <c r="B108" s="52" t="s">
        <v>815</v>
      </c>
      <c r="C108" s="77">
        <v>2016</v>
      </c>
      <c r="D108" s="16">
        <v>109</v>
      </c>
      <c r="E108" s="54">
        <v>12</v>
      </c>
      <c r="F108" s="5" t="s">
        <v>870</v>
      </c>
      <c r="G108" s="51" t="s">
        <v>16</v>
      </c>
      <c r="H108" s="51" t="s">
        <v>5</v>
      </c>
      <c r="I108" s="51" t="s">
        <v>818</v>
      </c>
      <c r="J108" s="51" t="s">
        <v>90</v>
      </c>
      <c r="K108" s="48" t="s">
        <v>1046</v>
      </c>
      <c r="L108" s="51" t="s">
        <v>52</v>
      </c>
      <c r="M108" s="51" t="s">
        <v>9</v>
      </c>
      <c r="N108" s="92">
        <v>3.13</v>
      </c>
      <c r="O108" s="92">
        <v>3.13</v>
      </c>
      <c r="P108" s="53" t="s">
        <v>870</v>
      </c>
      <c r="Q108" s="51" t="s">
        <v>39</v>
      </c>
      <c r="R108" s="51" t="s">
        <v>18</v>
      </c>
      <c r="S108" s="51" t="s">
        <v>807</v>
      </c>
      <c r="T108" s="5" t="s">
        <v>1335</v>
      </c>
      <c r="U108" s="100">
        <v>6.48</v>
      </c>
      <c r="V108" s="9">
        <f t="shared" si="4"/>
        <v>0.20858948361456492</v>
      </c>
      <c r="W108" s="100">
        <v>4.46</v>
      </c>
      <c r="X108" s="100">
        <v>9.44</v>
      </c>
      <c r="Y108" s="100">
        <v>5.26</v>
      </c>
      <c r="Z108" s="102"/>
      <c r="AA108" s="51" t="s">
        <v>12</v>
      </c>
      <c r="AB108" s="7" t="s">
        <v>1044</v>
      </c>
      <c r="AC108" s="51" t="s">
        <v>74</v>
      </c>
      <c r="AD108" s="67">
        <v>9</v>
      </c>
      <c r="AE108" s="51" t="s">
        <v>14</v>
      </c>
      <c r="AF108" s="5" t="s">
        <v>1329</v>
      </c>
      <c r="AG108" s="51" t="s">
        <v>8</v>
      </c>
      <c r="AH108" s="51" t="s">
        <v>8</v>
      </c>
      <c r="AI108" s="51" t="s">
        <v>8</v>
      </c>
      <c r="AJ108" s="51" t="s">
        <v>8</v>
      </c>
      <c r="AK108" s="5" t="s">
        <v>1028</v>
      </c>
      <c r="AL108" s="51" t="s">
        <v>14</v>
      </c>
      <c r="AM108" s="5" t="s">
        <v>1028</v>
      </c>
      <c r="AN108" s="51" t="s">
        <v>18</v>
      </c>
      <c r="AO108" s="51" t="s">
        <v>18</v>
      </c>
      <c r="AP108" s="51" t="s">
        <v>816</v>
      </c>
      <c r="AQ108" s="56" t="s">
        <v>817</v>
      </c>
      <c r="AR108" s="55"/>
      <c r="AS108" s="55"/>
      <c r="AT108" s="55"/>
      <c r="AU108" s="55"/>
      <c r="AV108" s="55"/>
      <c r="AW108" s="55"/>
      <c r="AX108" s="55"/>
      <c r="AY108" s="55"/>
      <c r="AZ108" s="55"/>
      <c r="BA108" s="55"/>
      <c r="BB108" s="55"/>
      <c r="BC108" s="55"/>
      <c r="BD108" s="58"/>
      <c r="BE108" s="55"/>
      <c r="BF108" s="55"/>
      <c r="BG108" s="55"/>
      <c r="BH108" s="55"/>
      <c r="BI108" s="55"/>
      <c r="BJ108" s="55"/>
      <c r="BK108" s="55"/>
      <c r="BL108" s="55"/>
      <c r="BM108" s="58"/>
      <c r="BN108" s="55"/>
      <c r="BO108" s="55"/>
      <c r="BP108" s="55"/>
      <c r="BQ108" s="55"/>
      <c r="BR108" s="55"/>
      <c r="BS108" s="55"/>
      <c r="BT108" s="55"/>
      <c r="BU108" s="55"/>
      <c r="BV108" s="55"/>
      <c r="BW108" s="55"/>
      <c r="BX108" s="55"/>
      <c r="BY108" s="55"/>
      <c r="BZ108" s="55"/>
      <c r="CA108" s="55"/>
      <c r="CB108" s="55"/>
      <c r="CC108" s="55"/>
      <c r="CD108" s="55"/>
      <c r="CE108" s="55"/>
      <c r="CF108" s="55"/>
      <c r="CG108" s="55"/>
      <c r="CH108" s="55"/>
      <c r="CI108" s="55"/>
      <c r="CJ108" s="55"/>
      <c r="CK108" s="55"/>
      <c r="CL108" s="55"/>
      <c r="CM108" s="55"/>
      <c r="CN108" s="55"/>
      <c r="CO108" s="55"/>
      <c r="CP108" s="55"/>
      <c r="CQ108" s="55"/>
      <c r="CR108" s="55"/>
      <c r="CS108" s="55"/>
      <c r="CT108" s="55"/>
      <c r="CU108" s="55"/>
      <c r="CV108" s="55"/>
      <c r="CW108" s="55"/>
      <c r="CY108" s="55"/>
      <c r="CZ108" s="55"/>
      <c r="DA108" s="55"/>
      <c r="DB108" s="55"/>
      <c r="DC108" s="55"/>
      <c r="DD108" s="55"/>
      <c r="DE108" s="55"/>
      <c r="DF108" s="55"/>
      <c r="DG108" s="55"/>
      <c r="DH108" s="55"/>
      <c r="DI108" s="55"/>
      <c r="DJ108" s="55"/>
      <c r="DK108" s="55"/>
      <c r="DL108" s="55"/>
      <c r="DM108" s="55"/>
      <c r="DN108" s="55"/>
      <c r="DO108" s="55"/>
      <c r="DP108" s="55"/>
      <c r="DQ108" s="55"/>
      <c r="DR108" s="55"/>
      <c r="DS108" s="55"/>
      <c r="DT108" s="55"/>
      <c r="DU108" s="55"/>
      <c r="DV108" s="55"/>
      <c r="DW108" s="55"/>
      <c r="DX108" s="55"/>
      <c r="DY108" s="55"/>
      <c r="DZ108" s="55"/>
      <c r="EA108" s="55"/>
      <c r="EB108" s="55"/>
      <c r="EC108" s="55"/>
      <c r="ED108" s="55"/>
      <c r="EE108" s="55"/>
      <c r="EF108" s="55"/>
      <c r="EG108" s="55"/>
      <c r="EH108" s="55"/>
      <c r="EI108" s="55"/>
      <c r="EJ108" s="55"/>
      <c r="EK108" s="55"/>
      <c r="EL108" s="55"/>
      <c r="EM108" s="55"/>
      <c r="EN108" s="55"/>
      <c r="EO108" s="55"/>
      <c r="EP108" s="55"/>
      <c r="EQ108" s="55"/>
      <c r="ER108" s="55"/>
      <c r="ES108" s="55"/>
      <c r="ET108" s="55"/>
      <c r="EU108" s="55"/>
      <c r="EV108" s="55"/>
      <c r="EW108" s="55"/>
      <c r="EX108" s="55"/>
      <c r="EY108" s="55"/>
      <c r="EZ108" s="55"/>
      <c r="FA108" s="55"/>
      <c r="FB108" s="55"/>
      <c r="FC108" s="55"/>
      <c r="FD108" s="55"/>
      <c r="FE108" s="55"/>
      <c r="FF108" s="55"/>
      <c r="FG108" s="55"/>
      <c r="FH108" s="55"/>
      <c r="FI108" s="55"/>
      <c r="FJ108" s="55"/>
      <c r="FK108" s="55"/>
      <c r="FL108" s="55"/>
      <c r="FM108" s="55"/>
      <c r="FN108" s="55"/>
      <c r="FO108" s="55"/>
      <c r="FP108" s="55"/>
      <c r="FQ108" s="55"/>
      <c r="FR108" s="55"/>
      <c r="FS108" s="55"/>
      <c r="FT108" s="55"/>
      <c r="FU108" s="55"/>
      <c r="FV108" s="55"/>
      <c r="FW108" s="55"/>
      <c r="FX108" s="55"/>
      <c r="FY108" s="55"/>
      <c r="FZ108" s="55"/>
      <c r="GA108" s="55"/>
      <c r="GB108" s="55"/>
      <c r="GC108" s="55"/>
      <c r="GD108" s="55"/>
      <c r="GE108" s="55"/>
      <c r="GF108" s="55"/>
      <c r="GG108" s="55"/>
      <c r="GH108" s="55"/>
      <c r="GI108" s="55"/>
      <c r="GJ108" s="55"/>
      <c r="GK108" s="55"/>
      <c r="GL108" s="55"/>
      <c r="GM108" s="55"/>
      <c r="GN108" s="55"/>
      <c r="GO108" s="55"/>
      <c r="GP108" s="55"/>
      <c r="GQ108" s="55"/>
      <c r="GR108" s="55"/>
      <c r="GS108" s="55"/>
      <c r="GT108" s="55"/>
    </row>
    <row r="109" spans="1:202" s="114" customFormat="1" hidden="1" x14ac:dyDescent="0.2">
      <c r="A109" s="3" t="s">
        <v>329</v>
      </c>
      <c r="B109" s="4" t="s">
        <v>799</v>
      </c>
      <c r="C109" s="28">
        <v>2016</v>
      </c>
      <c r="D109" s="16">
        <v>107</v>
      </c>
      <c r="E109" s="16">
        <v>2</v>
      </c>
      <c r="F109" s="63" t="s">
        <v>1088</v>
      </c>
      <c r="G109" s="5" t="s">
        <v>16</v>
      </c>
      <c r="H109" s="5" t="s">
        <v>5</v>
      </c>
      <c r="I109" s="5" t="s">
        <v>804</v>
      </c>
      <c r="J109" s="5" t="s">
        <v>1260</v>
      </c>
      <c r="K109" s="5" t="s">
        <v>1045</v>
      </c>
      <c r="L109" s="5" t="s">
        <v>8</v>
      </c>
      <c r="M109" s="5" t="s">
        <v>9</v>
      </c>
      <c r="N109" s="85">
        <v>1.4</v>
      </c>
      <c r="O109" s="85">
        <v>1.4</v>
      </c>
      <c r="P109" s="7" t="s">
        <v>801</v>
      </c>
      <c r="Q109" s="5" t="s">
        <v>39</v>
      </c>
      <c r="R109" s="5" t="s">
        <v>31</v>
      </c>
      <c r="S109" s="7" t="s">
        <v>126</v>
      </c>
      <c r="T109" s="5" t="s">
        <v>1335</v>
      </c>
      <c r="U109" s="9">
        <f>N109+3.8</f>
        <v>5.1999999999999993</v>
      </c>
      <c r="V109" s="9">
        <f t="shared" si="4"/>
        <v>-0.49140753790888919</v>
      </c>
      <c r="W109" s="9"/>
      <c r="X109" s="9"/>
      <c r="Y109" s="9">
        <f>O109+7.1</f>
        <v>8.5</v>
      </c>
      <c r="Z109" s="9"/>
      <c r="AA109" s="5" t="s">
        <v>12</v>
      </c>
      <c r="AB109" s="7" t="s">
        <v>1123</v>
      </c>
      <c r="AC109" s="5" t="s">
        <v>13</v>
      </c>
      <c r="AD109" s="3">
        <v>9</v>
      </c>
      <c r="AE109" s="5" t="s">
        <v>8</v>
      </c>
      <c r="AF109" s="5" t="s">
        <v>1327</v>
      </c>
      <c r="AG109" s="5" t="s">
        <v>8</v>
      </c>
      <c r="AH109" s="5" t="s">
        <v>8</v>
      </c>
      <c r="AI109" s="5" t="s">
        <v>8</v>
      </c>
      <c r="AJ109" s="5" t="s">
        <v>14</v>
      </c>
      <c r="AK109" s="5" t="s">
        <v>783</v>
      </c>
      <c r="AL109" s="5" t="s">
        <v>14</v>
      </c>
      <c r="AM109" s="5" t="s">
        <v>1028</v>
      </c>
      <c r="AN109" s="5" t="s">
        <v>67</v>
      </c>
      <c r="AO109" s="5" t="s">
        <v>67</v>
      </c>
      <c r="AP109" s="5" t="s">
        <v>800</v>
      </c>
      <c r="AQ109" s="5" t="s">
        <v>803</v>
      </c>
      <c r="AR109" s="5"/>
      <c r="AS109" s="5"/>
      <c r="AT109" s="5"/>
      <c r="AU109" s="5"/>
      <c r="AV109" s="5"/>
      <c r="AW109" s="5"/>
      <c r="AX109" s="5"/>
      <c r="AY109" s="5"/>
      <c r="AZ109" s="27">
        <v>1.4999999999999999E-2</v>
      </c>
      <c r="BA109" s="5"/>
      <c r="BB109" s="5"/>
      <c r="BC109" s="27">
        <v>8.5000000000000006E-3</v>
      </c>
      <c r="BD109" s="58">
        <f>LN(AZ109/BC109)</f>
        <v>0.56798403760593918</v>
      </c>
      <c r="BE109" s="5"/>
      <c r="BF109" s="5"/>
      <c r="BG109" s="5"/>
      <c r="BH109" s="5"/>
      <c r="BI109" s="27">
        <v>6.1999999999999998E-3</v>
      </c>
      <c r="BJ109" s="5"/>
      <c r="BK109" s="5"/>
      <c r="BL109" s="27">
        <v>4.1999999999999997E-3</v>
      </c>
      <c r="BM109" s="58">
        <f>LN(BI109/BL109)</f>
        <v>0.38946476676172331</v>
      </c>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9">
        <v>54</v>
      </c>
      <c r="CU109" s="9"/>
      <c r="CV109" s="9"/>
      <c r="CW109" s="9">
        <v>81</v>
      </c>
      <c r="CX109" s="59">
        <f>LN(CT109/CW109)</f>
        <v>-0.40546510810816444</v>
      </c>
      <c r="CY109" s="9">
        <v>60</v>
      </c>
      <c r="CZ109" s="9"/>
      <c r="DA109" s="5"/>
      <c r="DB109" s="5">
        <v>1.5</v>
      </c>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row>
    <row r="110" spans="1:202" s="114" customFormat="1" ht="15" x14ac:dyDescent="0.25">
      <c r="A110" s="114" t="s">
        <v>329</v>
      </c>
      <c r="B110" s="155" t="s">
        <v>780</v>
      </c>
      <c r="C110" s="116">
        <v>2014</v>
      </c>
      <c r="D110" s="117">
        <v>103</v>
      </c>
      <c r="E110" s="117">
        <v>1</v>
      </c>
      <c r="F110" s="114" t="s">
        <v>861</v>
      </c>
      <c r="G110" s="5" t="s">
        <v>16</v>
      </c>
      <c r="H110" s="5" t="s">
        <v>5</v>
      </c>
      <c r="I110" s="5" t="s">
        <v>782</v>
      </c>
      <c r="J110" s="5" t="s">
        <v>1260</v>
      </c>
      <c r="K110" s="5" t="s">
        <v>726</v>
      </c>
      <c r="L110" s="5" t="s">
        <v>8</v>
      </c>
      <c r="M110" s="5" t="s">
        <v>9</v>
      </c>
      <c r="N110" s="85">
        <v>2</v>
      </c>
      <c r="O110" s="85">
        <v>2.29</v>
      </c>
      <c r="P110" s="118" t="s">
        <v>866</v>
      </c>
      <c r="Q110" s="114" t="s">
        <v>39</v>
      </c>
      <c r="R110" s="114" t="s">
        <v>18</v>
      </c>
      <c r="S110" s="114" t="s">
        <v>767</v>
      </c>
      <c r="T110" s="114" t="s">
        <v>1335</v>
      </c>
      <c r="U110" s="119">
        <f>N111+6.42</f>
        <v>6.42</v>
      </c>
      <c r="V110" s="119">
        <f t="shared" si="4"/>
        <v>0.138438830534862</v>
      </c>
      <c r="W110" s="119"/>
      <c r="X110" s="119"/>
      <c r="Y110" s="119">
        <f>O110+3.3</f>
        <v>5.59</v>
      </c>
      <c r="Z110" s="119"/>
      <c r="AA110" s="114" t="s">
        <v>12</v>
      </c>
      <c r="AB110" s="118" t="s">
        <v>1123</v>
      </c>
      <c r="AC110" s="114" t="s">
        <v>13</v>
      </c>
      <c r="AD110" s="156">
        <v>9</v>
      </c>
      <c r="AE110" s="114" t="s">
        <v>8</v>
      </c>
      <c r="AF110" s="114" t="s">
        <v>1324</v>
      </c>
      <c r="AG110" s="114" t="s">
        <v>8</v>
      </c>
      <c r="AH110" s="114" t="s">
        <v>8</v>
      </c>
      <c r="AI110" s="114" t="s">
        <v>8</v>
      </c>
      <c r="AJ110" s="114" t="s">
        <v>8</v>
      </c>
      <c r="AK110" s="114" t="s">
        <v>783</v>
      </c>
      <c r="AL110" s="114" t="s">
        <v>8</v>
      </c>
      <c r="AM110" s="114" t="s">
        <v>1028</v>
      </c>
      <c r="AN110" s="114" t="s">
        <v>67</v>
      </c>
      <c r="AO110" s="114" t="s">
        <v>67</v>
      </c>
      <c r="AP110" s="114" t="s">
        <v>781</v>
      </c>
      <c r="AQ110" s="114" t="s">
        <v>784</v>
      </c>
      <c r="BD110" s="123"/>
      <c r="BM110" s="123"/>
      <c r="CX110" s="125"/>
    </row>
    <row r="111" spans="1:202" hidden="1" x14ac:dyDescent="0.2">
      <c r="A111" s="3" t="s">
        <v>329</v>
      </c>
      <c r="B111" s="4" t="s">
        <v>240</v>
      </c>
      <c r="C111" s="28">
        <v>2020</v>
      </c>
      <c r="D111" s="16">
        <v>27</v>
      </c>
      <c r="E111" s="16">
        <v>4</v>
      </c>
      <c r="F111" s="5" t="s">
        <v>1081</v>
      </c>
      <c r="G111" s="5" t="s">
        <v>242</v>
      </c>
      <c r="H111" s="5" t="s">
        <v>5</v>
      </c>
      <c r="I111" s="5" t="s">
        <v>6</v>
      </c>
      <c r="J111" s="5" t="s">
        <v>7</v>
      </c>
      <c r="K111" s="48" t="s">
        <v>1047</v>
      </c>
      <c r="L111" s="5" t="s">
        <v>1049</v>
      </c>
      <c r="M111" s="5" t="s">
        <v>179</v>
      </c>
      <c r="N111" s="7">
        <v>0</v>
      </c>
      <c r="O111" s="7">
        <v>1</v>
      </c>
      <c r="P111" s="7" t="s">
        <v>246</v>
      </c>
      <c r="Q111" s="5" t="s">
        <v>39</v>
      </c>
      <c r="R111" s="5" t="s">
        <v>1028</v>
      </c>
      <c r="S111" s="5" t="s">
        <v>96</v>
      </c>
      <c r="T111" s="5" t="s">
        <v>1336</v>
      </c>
      <c r="U111" s="9">
        <f>(352.42/152)</f>
        <v>2.3185526315789473</v>
      </c>
      <c r="V111" s="9">
        <f t="shared" si="4"/>
        <v>-0.57070282702299679</v>
      </c>
      <c r="W111" s="9"/>
      <c r="X111" s="9"/>
      <c r="Y111" s="9">
        <f>(574/185)+O111</f>
        <v>4.1027027027027021</v>
      </c>
      <c r="Z111" s="9"/>
      <c r="AA111" s="5" t="s">
        <v>12</v>
      </c>
      <c r="AB111" s="62" t="s">
        <v>1043</v>
      </c>
      <c r="AC111" s="5" t="s">
        <v>64</v>
      </c>
      <c r="AD111" s="3">
        <v>9</v>
      </c>
      <c r="AE111" s="5" t="s">
        <v>8</v>
      </c>
      <c r="AF111" s="5" t="s">
        <v>1284</v>
      </c>
      <c r="AG111" s="5" t="s">
        <v>8</v>
      </c>
      <c r="AH111" s="5" t="s">
        <v>8</v>
      </c>
      <c r="AI111" s="5" t="s">
        <v>8</v>
      </c>
      <c r="AJ111" s="5" t="s">
        <v>14</v>
      </c>
      <c r="AK111" s="5" t="s">
        <v>84</v>
      </c>
      <c r="AL111" s="5" t="s">
        <v>8</v>
      </c>
      <c r="AM111" s="5" t="s">
        <v>247</v>
      </c>
      <c r="AN111" s="5" t="s">
        <v>1028</v>
      </c>
      <c r="AO111" s="5" t="s">
        <v>1028</v>
      </c>
      <c r="AP111" s="5" t="s">
        <v>241</v>
      </c>
      <c r="AQ111" s="5" t="s">
        <v>244</v>
      </c>
      <c r="BD111" s="58"/>
      <c r="BE111" s="9">
        <f>(3.89/152)</f>
        <v>2.5592105263157895E-2</v>
      </c>
      <c r="BH111" s="5">
        <f>4.08/185</f>
        <v>2.2054054054054053E-2</v>
      </c>
      <c r="BI111" s="17">
        <f>0.126/152</f>
        <v>8.2894736842105269E-4</v>
      </c>
      <c r="BL111" s="17">
        <f>0.144/185</f>
        <v>7.7837837837837836E-4</v>
      </c>
      <c r="BM111" s="58">
        <f>LN(BI111/BL111)</f>
        <v>6.2943911607525868E-2</v>
      </c>
      <c r="BR111" s="18">
        <f>0.0000082/152</f>
        <v>5.3947368421052625E-8</v>
      </c>
      <c r="BU111" s="18">
        <f>(0.0000167)/185</f>
        <v>9.0270270270270267E-8</v>
      </c>
      <c r="CL111" s="5">
        <f>1660/152</f>
        <v>10.921052631578947</v>
      </c>
      <c r="CO111" s="5">
        <f>1760/185</f>
        <v>9.513513513513514</v>
      </c>
      <c r="EA111" s="5">
        <f>4.86/152</f>
        <v>3.1973684210526321E-2</v>
      </c>
      <c r="EB111" s="12">
        <f>LN(EA111/ED111)</f>
        <v>-1.1520787289049947</v>
      </c>
      <c r="ED111" s="5">
        <f>18.72/185</f>
        <v>0.10118918918918918</v>
      </c>
    </row>
    <row r="112" spans="1:202" s="114" customFormat="1" x14ac:dyDescent="0.2">
      <c r="A112" s="114" t="s">
        <v>329</v>
      </c>
      <c r="B112" s="115" t="s">
        <v>777</v>
      </c>
      <c r="C112" s="116">
        <v>2014</v>
      </c>
      <c r="D112" s="117">
        <v>102</v>
      </c>
      <c r="E112" s="117">
        <v>1</v>
      </c>
      <c r="F112" s="114" t="s">
        <v>862</v>
      </c>
      <c r="G112" s="5" t="s">
        <v>16</v>
      </c>
      <c r="H112" s="5" t="s">
        <v>93</v>
      </c>
      <c r="I112" s="5" t="s">
        <v>771</v>
      </c>
      <c r="J112" s="5" t="s">
        <v>90</v>
      </c>
      <c r="K112" s="48" t="s">
        <v>1046</v>
      </c>
      <c r="L112" s="5" t="s">
        <v>1049</v>
      </c>
      <c r="M112" s="5" t="s">
        <v>9</v>
      </c>
      <c r="N112" s="7">
        <v>2</v>
      </c>
      <c r="O112" s="7">
        <v>3.14</v>
      </c>
      <c r="P112" s="118" t="s">
        <v>864</v>
      </c>
      <c r="Q112" s="114" t="s">
        <v>39</v>
      </c>
      <c r="R112" s="114" t="s">
        <v>18</v>
      </c>
      <c r="S112" s="114" t="s">
        <v>1028</v>
      </c>
      <c r="T112" s="114" t="s">
        <v>1335</v>
      </c>
      <c r="U112" s="119">
        <f>N112+((444.26+2288.9)/1000)</f>
        <v>4.7331599999999998</v>
      </c>
      <c r="V112" s="119">
        <f t="shared" si="4"/>
        <v>-5.484485688382322E-2</v>
      </c>
      <c r="W112" s="119"/>
      <c r="X112" s="119"/>
      <c r="Y112" s="119">
        <f>O112+(1860/1000)</f>
        <v>5</v>
      </c>
      <c r="Z112" s="119"/>
      <c r="AA112" s="114" t="s">
        <v>12</v>
      </c>
      <c r="AB112" s="118" t="s">
        <v>1123</v>
      </c>
      <c r="AC112" s="114" t="s">
        <v>13</v>
      </c>
      <c r="AD112" s="114">
        <v>9</v>
      </c>
      <c r="AE112" s="114" t="s">
        <v>14</v>
      </c>
      <c r="AF112" s="114" t="s">
        <v>83</v>
      </c>
      <c r="AG112" s="114" t="s">
        <v>8</v>
      </c>
      <c r="AH112" s="114" t="s">
        <v>8</v>
      </c>
      <c r="AI112" s="114" t="s">
        <v>8</v>
      </c>
      <c r="AJ112" s="114" t="s">
        <v>8</v>
      </c>
      <c r="AK112" s="114" t="s">
        <v>1028</v>
      </c>
      <c r="AL112" s="114" t="s">
        <v>8</v>
      </c>
      <c r="AM112" s="114" t="s">
        <v>1028</v>
      </c>
      <c r="AN112" s="114" t="s">
        <v>18</v>
      </c>
      <c r="AO112" s="114" t="s">
        <v>18</v>
      </c>
      <c r="AP112" s="114" t="s">
        <v>778</v>
      </c>
      <c r="AQ112" s="114" t="s">
        <v>779</v>
      </c>
      <c r="BD112" s="123"/>
      <c r="BM112" s="123"/>
      <c r="CX112" s="125"/>
    </row>
    <row r="113" spans="1:202" ht="13.15" hidden="1" customHeight="1" x14ac:dyDescent="0.2">
      <c r="A113" s="3" t="s">
        <v>329</v>
      </c>
      <c r="B113" s="4" t="s">
        <v>438</v>
      </c>
      <c r="C113" s="28">
        <v>2017</v>
      </c>
      <c r="D113" s="16">
        <v>53</v>
      </c>
      <c r="E113" s="16">
        <v>1</v>
      </c>
      <c r="F113" s="5" t="s">
        <v>865</v>
      </c>
      <c r="G113" s="19" t="s">
        <v>440</v>
      </c>
      <c r="H113" s="5" t="s">
        <v>93</v>
      </c>
      <c r="I113" s="5" t="s">
        <v>441</v>
      </c>
      <c r="J113" s="5" t="s">
        <v>7</v>
      </c>
      <c r="K113" s="48" t="s">
        <v>1046</v>
      </c>
      <c r="L113" s="5" t="s">
        <v>1049</v>
      </c>
      <c r="M113" s="5" t="s">
        <v>9</v>
      </c>
      <c r="N113" s="7">
        <v>1.4</v>
      </c>
      <c r="O113" s="7">
        <v>3.3</v>
      </c>
      <c r="P113" s="7" t="s">
        <v>1025</v>
      </c>
      <c r="Q113" s="5" t="s">
        <v>309</v>
      </c>
      <c r="R113" s="5" t="s">
        <v>1028</v>
      </c>
      <c r="S113" s="5" t="s">
        <v>96</v>
      </c>
      <c r="T113" s="5" t="s">
        <v>1335</v>
      </c>
      <c r="U113" s="9">
        <f>(0.303*10)+N113</f>
        <v>4.43</v>
      </c>
      <c r="V113" s="9">
        <f t="shared" si="4"/>
        <v>0.15339851732470414</v>
      </c>
      <c r="W113" s="9"/>
      <c r="X113" s="9"/>
      <c r="Y113" s="9">
        <f>(0.05*10)+O113</f>
        <v>3.8</v>
      </c>
      <c r="Z113" s="9"/>
      <c r="AA113" s="5" t="s">
        <v>12</v>
      </c>
      <c r="AB113" s="7" t="s">
        <v>1123</v>
      </c>
      <c r="AC113" s="5" t="s">
        <v>13</v>
      </c>
      <c r="AD113" s="3">
        <v>9</v>
      </c>
      <c r="AE113" s="5" t="s">
        <v>14</v>
      </c>
      <c r="AF113" s="5" t="s">
        <v>97</v>
      </c>
      <c r="AG113" s="5" t="s">
        <v>8</v>
      </c>
      <c r="AH113" s="5" t="s">
        <v>8</v>
      </c>
      <c r="AI113" s="5" t="s">
        <v>8</v>
      </c>
      <c r="AJ113" s="5" t="s">
        <v>8</v>
      </c>
      <c r="AK113" s="5" t="s">
        <v>84</v>
      </c>
      <c r="AL113" s="5" t="s">
        <v>8</v>
      </c>
      <c r="AM113" s="5" t="s">
        <v>442</v>
      </c>
      <c r="AN113" s="5" t="s">
        <v>680</v>
      </c>
      <c r="AO113" s="5" t="s">
        <v>680</v>
      </c>
      <c r="AP113" s="19" t="s">
        <v>439</v>
      </c>
      <c r="AQ113" s="5" t="s">
        <v>444</v>
      </c>
      <c r="BD113" s="58"/>
      <c r="BM113" s="58"/>
    </row>
    <row r="114" spans="1:202" s="103" customFormat="1" ht="15" x14ac:dyDescent="0.25">
      <c r="A114" s="3" t="s">
        <v>329</v>
      </c>
      <c r="B114" s="65" t="s">
        <v>1126</v>
      </c>
      <c r="C114" s="28">
        <v>2022</v>
      </c>
      <c r="D114" s="16">
        <v>112</v>
      </c>
      <c r="E114" s="16">
        <v>1</v>
      </c>
      <c r="F114" s="5" t="s">
        <v>1185</v>
      </c>
      <c r="G114" s="5" t="s">
        <v>1128</v>
      </c>
      <c r="H114" s="5" t="s">
        <v>93</v>
      </c>
      <c r="I114" s="5" t="s">
        <v>1129</v>
      </c>
      <c r="J114" s="5" t="s">
        <v>1260</v>
      </c>
      <c r="K114" s="5" t="s">
        <v>726</v>
      </c>
      <c r="L114" s="5" t="s">
        <v>8</v>
      </c>
      <c r="M114" s="5" t="s">
        <v>9</v>
      </c>
      <c r="N114" s="7">
        <v>0</v>
      </c>
      <c r="O114" s="7">
        <v>3.13</v>
      </c>
      <c r="P114" s="7" t="s">
        <v>864</v>
      </c>
      <c r="Q114" s="5" t="s">
        <v>309</v>
      </c>
      <c r="R114" s="5" t="s">
        <v>67</v>
      </c>
      <c r="S114" s="48" t="s">
        <v>126</v>
      </c>
      <c r="T114" s="5" t="s">
        <v>1335</v>
      </c>
      <c r="U114" s="9">
        <v>13.81</v>
      </c>
      <c r="V114" s="9">
        <f t="shared" si="4"/>
        <v>0.89020384968154009</v>
      </c>
      <c r="W114" s="9">
        <v>13.03</v>
      </c>
      <c r="X114" s="9">
        <v>14.61</v>
      </c>
      <c r="Y114" s="9">
        <f>Z114+O114</f>
        <v>5.67</v>
      </c>
      <c r="Z114" s="9">
        <v>2.54</v>
      </c>
      <c r="AA114" s="5" t="s">
        <v>12</v>
      </c>
      <c r="AB114" s="62" t="s">
        <v>1043</v>
      </c>
      <c r="AC114" s="5" t="s">
        <v>13</v>
      </c>
      <c r="AD114" s="5">
        <v>3</v>
      </c>
      <c r="AE114" s="5" t="s">
        <v>8</v>
      </c>
      <c r="AF114" s="5" t="s">
        <v>1279</v>
      </c>
      <c r="AG114" s="5" t="s">
        <v>8</v>
      </c>
      <c r="AH114" s="5" t="s">
        <v>8</v>
      </c>
      <c r="AI114" s="5" t="s">
        <v>8</v>
      </c>
      <c r="AJ114" s="5" t="s">
        <v>8</v>
      </c>
      <c r="AK114" s="5" t="s">
        <v>84</v>
      </c>
      <c r="AL114" s="5" t="s">
        <v>8</v>
      </c>
      <c r="AM114" s="5" t="s">
        <v>1130</v>
      </c>
      <c r="AN114" s="5" t="s">
        <v>1131</v>
      </c>
      <c r="AO114" s="5" t="s">
        <v>1131</v>
      </c>
      <c r="AP114" s="5" t="s">
        <v>1127</v>
      </c>
      <c r="AQ114" s="5" t="s">
        <v>1132</v>
      </c>
      <c r="AR114" s="5"/>
      <c r="AS114" s="5"/>
      <c r="AT114" s="5"/>
      <c r="AU114" s="5"/>
      <c r="AV114" s="5"/>
      <c r="AW114" s="5"/>
      <c r="AX114" s="5"/>
      <c r="AY114" s="5"/>
      <c r="AZ114" s="5"/>
      <c r="BA114" s="5"/>
      <c r="BB114" s="5"/>
      <c r="BC114" s="5"/>
      <c r="BD114" s="59"/>
      <c r="BE114" s="5"/>
      <c r="BF114" s="5"/>
      <c r="BG114" s="5"/>
      <c r="BH114" s="5"/>
      <c r="BI114" s="5"/>
      <c r="BJ114" s="5"/>
      <c r="BK114" s="5"/>
      <c r="BL114" s="5"/>
      <c r="BM114" s="59"/>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9"/>
      <c r="CY114" s="5"/>
      <c r="CZ114" s="5"/>
      <c r="DA114" s="5"/>
      <c r="DB114" s="5"/>
      <c r="DC114" s="5">
        <v>277.26</v>
      </c>
      <c r="DD114" s="5">
        <v>262.60000000000002</v>
      </c>
      <c r="DE114" s="5">
        <v>291.89999999999998</v>
      </c>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5"/>
      <c r="ES114" s="5"/>
      <c r="ET114" s="5"/>
      <c r="EU114" s="5"/>
      <c r="EV114" s="5"/>
      <c r="EW114" s="5"/>
      <c r="EX114" s="5"/>
      <c r="EY114" s="5"/>
      <c r="EZ114" s="5"/>
      <c r="FA114" s="5"/>
      <c r="FB114" s="5"/>
      <c r="FC114" s="5"/>
      <c r="FD114" s="5"/>
      <c r="FE114" s="5"/>
      <c r="FF114" s="5"/>
      <c r="FG114" s="5"/>
      <c r="FH114" s="5"/>
      <c r="FI114" s="5"/>
      <c r="FJ114" s="5"/>
      <c r="FK114" s="5"/>
      <c r="FL114" s="5"/>
      <c r="FM114" s="5"/>
      <c r="FN114" s="5"/>
      <c r="FO114" s="5"/>
      <c r="FP114" s="5"/>
      <c r="FQ114" s="5"/>
      <c r="FR114" s="5"/>
      <c r="FS114" s="5"/>
      <c r="FT114" s="5"/>
      <c r="FU114" s="5"/>
      <c r="FV114" s="5"/>
      <c r="FW114" s="5"/>
      <c r="FX114" s="5"/>
      <c r="FY114" s="5"/>
      <c r="FZ114" s="5"/>
      <c r="GA114" s="5"/>
      <c r="GB114" s="5"/>
      <c r="GC114" s="5"/>
      <c r="GD114" s="5"/>
      <c r="GE114" s="5"/>
      <c r="GF114" s="5"/>
      <c r="GG114" s="5"/>
      <c r="GH114" s="5"/>
      <c r="GI114" s="5"/>
      <c r="GJ114" s="5"/>
      <c r="GK114" s="5"/>
      <c r="GL114" s="5"/>
      <c r="GM114" s="5"/>
      <c r="GN114" s="5"/>
      <c r="GO114" s="5"/>
      <c r="GP114" s="5"/>
      <c r="GQ114" s="5"/>
      <c r="GR114" s="5"/>
      <c r="GS114" s="5"/>
      <c r="GT114" s="5"/>
    </row>
    <row r="115" spans="1:202" s="114" customFormat="1" ht="15" x14ac:dyDescent="0.25">
      <c r="A115" s="114" t="s">
        <v>329</v>
      </c>
      <c r="B115" s="155" t="s">
        <v>752</v>
      </c>
      <c r="C115" s="116">
        <v>2012</v>
      </c>
      <c r="D115" s="117">
        <v>97</v>
      </c>
      <c r="E115" s="117">
        <v>1</v>
      </c>
      <c r="F115" s="114" t="s">
        <v>862</v>
      </c>
      <c r="G115" s="5" t="s">
        <v>16</v>
      </c>
      <c r="H115" s="5" t="s">
        <v>5</v>
      </c>
      <c r="I115" s="5" t="s">
        <v>754</v>
      </c>
      <c r="J115" s="5" t="s">
        <v>1260</v>
      </c>
      <c r="K115" s="5" t="s">
        <v>726</v>
      </c>
      <c r="L115" s="5" t="s">
        <v>8</v>
      </c>
      <c r="M115" s="5" t="s">
        <v>9</v>
      </c>
      <c r="N115" s="85">
        <v>0</v>
      </c>
      <c r="O115" s="85">
        <v>2.29</v>
      </c>
      <c r="P115" s="118" t="s">
        <v>866</v>
      </c>
      <c r="Q115" s="114" t="s">
        <v>309</v>
      </c>
      <c r="R115" s="114" t="s">
        <v>67</v>
      </c>
      <c r="S115" s="114" t="s">
        <v>348</v>
      </c>
      <c r="T115" s="114" t="s">
        <v>1335</v>
      </c>
      <c r="U115" s="119">
        <v>4.7</v>
      </c>
      <c r="V115" s="119">
        <f t="shared" si="4"/>
        <v>4.5709806961850036E-2</v>
      </c>
      <c r="W115" s="119"/>
      <c r="X115" s="119"/>
      <c r="Y115" s="119">
        <f>2.2+O115</f>
        <v>4.49</v>
      </c>
      <c r="Z115" s="119"/>
      <c r="AA115" s="114" t="s">
        <v>12</v>
      </c>
      <c r="AB115" s="118" t="s">
        <v>1123</v>
      </c>
      <c r="AC115" s="114" t="s">
        <v>13</v>
      </c>
      <c r="AD115" s="114">
        <v>9</v>
      </c>
      <c r="AE115" s="114" t="s">
        <v>14</v>
      </c>
      <c r="AF115" s="114" t="s">
        <v>1320</v>
      </c>
      <c r="AG115" s="114" t="s">
        <v>8</v>
      </c>
      <c r="AH115" s="114" t="s">
        <v>8</v>
      </c>
      <c r="AI115" s="114" t="s">
        <v>8</v>
      </c>
      <c r="AJ115" s="114" t="s">
        <v>8</v>
      </c>
      <c r="AK115" s="114" t="s">
        <v>84</v>
      </c>
      <c r="AL115" s="114" t="s">
        <v>14</v>
      </c>
      <c r="AM115" s="114" t="s">
        <v>1028</v>
      </c>
      <c r="AN115" s="114" t="s">
        <v>18</v>
      </c>
      <c r="AO115" s="114" t="s">
        <v>18</v>
      </c>
      <c r="AP115" s="114" t="s">
        <v>753</v>
      </c>
      <c r="AQ115" s="114" t="s">
        <v>755</v>
      </c>
      <c r="BD115" s="123"/>
      <c r="BM115" s="123"/>
      <c r="CX115" s="125"/>
    </row>
    <row r="116" spans="1:202" x14ac:dyDescent="0.2">
      <c r="A116" s="3" t="s">
        <v>329</v>
      </c>
      <c r="B116" s="4" t="s">
        <v>479</v>
      </c>
      <c r="C116" s="28">
        <v>2020</v>
      </c>
      <c r="D116" s="16">
        <v>59</v>
      </c>
      <c r="E116" s="16">
        <v>1</v>
      </c>
      <c r="F116" s="5" t="s">
        <v>864</v>
      </c>
      <c r="G116" s="19" t="s">
        <v>481</v>
      </c>
      <c r="H116" s="5" t="s">
        <v>93</v>
      </c>
      <c r="I116" s="5" t="s">
        <v>482</v>
      </c>
      <c r="J116" s="5" t="s">
        <v>1260</v>
      </c>
      <c r="K116" s="5" t="s">
        <v>726</v>
      </c>
      <c r="L116" s="5" t="s">
        <v>8</v>
      </c>
      <c r="M116" s="5" t="s">
        <v>9</v>
      </c>
      <c r="N116" s="7">
        <v>0</v>
      </c>
      <c r="O116" s="7">
        <v>3.13</v>
      </c>
      <c r="P116" s="7" t="s">
        <v>864</v>
      </c>
      <c r="Q116" s="5" t="s">
        <v>309</v>
      </c>
      <c r="R116" s="5" t="s">
        <v>67</v>
      </c>
      <c r="S116" s="5" t="s">
        <v>348</v>
      </c>
      <c r="T116" s="5" t="s">
        <v>1335</v>
      </c>
      <c r="U116" s="9">
        <v>0.63</v>
      </c>
      <c r="V116" s="9">
        <f t="shared" si="4"/>
        <v>-2.0264760060999234</v>
      </c>
      <c r="W116" s="9"/>
      <c r="X116" s="9"/>
      <c r="Y116" s="9">
        <f>1.65+O116</f>
        <v>4.7799999999999994</v>
      </c>
      <c r="Z116" s="9"/>
      <c r="AA116" s="5" t="s">
        <v>12</v>
      </c>
      <c r="AB116" s="7" t="s">
        <v>1044</v>
      </c>
      <c r="AC116" s="5" t="s">
        <v>74</v>
      </c>
      <c r="AD116" s="3">
        <v>9</v>
      </c>
      <c r="AE116" s="5" t="s">
        <v>8</v>
      </c>
      <c r="AF116" s="5" t="s">
        <v>1299</v>
      </c>
      <c r="AG116" s="19" t="s">
        <v>1028</v>
      </c>
      <c r="AH116" s="19" t="s">
        <v>1028</v>
      </c>
      <c r="AI116" s="19" t="s">
        <v>1028</v>
      </c>
      <c r="AJ116" s="19" t="s">
        <v>1028</v>
      </c>
      <c r="AK116" s="5" t="s">
        <v>84</v>
      </c>
      <c r="AL116" s="5" t="s">
        <v>14</v>
      </c>
      <c r="AM116" s="5">
        <v>2018</v>
      </c>
      <c r="AN116" s="5" t="s">
        <v>67</v>
      </c>
      <c r="AO116" s="5" t="s">
        <v>1028</v>
      </c>
      <c r="AP116" s="5" t="s">
        <v>480</v>
      </c>
      <c r="AQ116" s="5" t="s">
        <v>483</v>
      </c>
      <c r="BD116" s="58"/>
      <c r="BM116" s="58"/>
      <c r="CH116" s="5">
        <v>9.3000000000000007</v>
      </c>
      <c r="CK116" s="5">
        <v>67</v>
      </c>
      <c r="DA116" s="68"/>
    </row>
    <row r="117" spans="1:202" hidden="1" x14ac:dyDescent="0.2">
      <c r="A117" s="3" t="s">
        <v>1</v>
      </c>
      <c r="B117" s="4" t="s">
        <v>484</v>
      </c>
      <c r="C117" s="28">
        <v>2020</v>
      </c>
      <c r="D117" s="16">
        <v>60</v>
      </c>
      <c r="E117" s="16">
        <v>1</v>
      </c>
      <c r="F117" s="5" t="s">
        <v>1114</v>
      </c>
      <c r="G117" s="19" t="s">
        <v>486</v>
      </c>
      <c r="H117" s="5" t="s">
        <v>93</v>
      </c>
      <c r="I117" s="5" t="s">
        <v>369</v>
      </c>
      <c r="J117" s="5" t="s">
        <v>7</v>
      </c>
      <c r="K117" s="5" t="s">
        <v>1046</v>
      </c>
      <c r="L117" s="5" t="s">
        <v>1049</v>
      </c>
      <c r="M117" s="5" t="s">
        <v>9</v>
      </c>
      <c r="N117" s="85">
        <v>0</v>
      </c>
      <c r="O117" s="85">
        <v>1.45</v>
      </c>
      <c r="P117" s="7" t="s">
        <v>487</v>
      </c>
      <c r="Q117" s="5" t="s">
        <v>309</v>
      </c>
      <c r="R117" s="5" t="s">
        <v>67</v>
      </c>
      <c r="S117" s="5" t="s">
        <v>470</v>
      </c>
      <c r="T117" s="5" t="s">
        <v>1335</v>
      </c>
      <c r="U117" s="9">
        <f>(W117+X117)/2</f>
        <v>2.0350000000000001</v>
      </c>
      <c r="V117" s="9">
        <f t="shared" si="4"/>
        <v>-0.98511978978059445</v>
      </c>
      <c r="W117" s="9">
        <v>1.05</v>
      </c>
      <c r="X117" s="9">
        <v>3.02</v>
      </c>
      <c r="Y117" s="9">
        <f>4+O117</f>
        <v>5.45</v>
      </c>
      <c r="Z117" s="9"/>
      <c r="AA117" s="5" t="s">
        <v>12</v>
      </c>
      <c r="AB117" s="7" t="s">
        <v>1044</v>
      </c>
      <c r="AC117" s="5" t="s">
        <v>74</v>
      </c>
      <c r="AD117" s="3">
        <v>6</v>
      </c>
      <c r="AE117" s="5" t="s">
        <v>8</v>
      </c>
      <c r="AF117" s="5" t="s">
        <v>1300</v>
      </c>
      <c r="AG117" s="19" t="s">
        <v>1028</v>
      </c>
      <c r="AH117" s="19" t="s">
        <v>1028</v>
      </c>
      <c r="AI117" s="19" t="s">
        <v>1028</v>
      </c>
      <c r="AJ117" s="19" t="s">
        <v>1028</v>
      </c>
      <c r="AK117" s="5" t="s">
        <v>196</v>
      </c>
      <c r="AL117" s="5" t="s">
        <v>8</v>
      </c>
      <c r="AM117" s="5">
        <v>2020</v>
      </c>
      <c r="AN117" s="5" t="s">
        <v>67</v>
      </c>
      <c r="AO117" s="5" t="s">
        <v>67</v>
      </c>
      <c r="AP117" s="5" t="s">
        <v>485</v>
      </c>
      <c r="AQ117" s="5" t="s">
        <v>488</v>
      </c>
      <c r="BD117" s="58"/>
      <c r="BM117" s="58"/>
      <c r="DC117" s="5">
        <v>38</v>
      </c>
      <c r="DF117" s="5">
        <v>92</v>
      </c>
    </row>
    <row r="118" spans="1:202" hidden="1" x14ac:dyDescent="0.2">
      <c r="A118" s="3" t="s">
        <v>1</v>
      </c>
      <c r="B118" s="4" t="s">
        <v>484</v>
      </c>
      <c r="C118" s="28">
        <v>2020</v>
      </c>
      <c r="D118" s="16">
        <v>60</v>
      </c>
      <c r="E118" s="16">
        <v>2</v>
      </c>
      <c r="F118" s="5" t="s">
        <v>1114</v>
      </c>
      <c r="G118" s="5" t="s">
        <v>489</v>
      </c>
      <c r="H118" s="5" t="s">
        <v>93</v>
      </c>
      <c r="I118" s="5" t="s">
        <v>369</v>
      </c>
      <c r="J118" s="5" t="s">
        <v>7</v>
      </c>
      <c r="K118" s="48" t="s">
        <v>1046</v>
      </c>
      <c r="L118" s="5" t="s">
        <v>1049</v>
      </c>
      <c r="M118" s="5" t="s">
        <v>9</v>
      </c>
      <c r="N118" s="85">
        <v>0</v>
      </c>
      <c r="O118" s="85">
        <v>1.45</v>
      </c>
      <c r="P118" s="7" t="s">
        <v>487</v>
      </c>
      <c r="Q118" s="5" t="s">
        <v>309</v>
      </c>
      <c r="R118" s="5" t="s">
        <v>67</v>
      </c>
      <c r="S118" s="5" t="s">
        <v>470</v>
      </c>
      <c r="T118" s="5" t="s">
        <v>1335</v>
      </c>
      <c r="U118" s="9">
        <f>(W118+X118)/2</f>
        <v>2.0949999999999998</v>
      </c>
      <c r="V118" s="9">
        <f t="shared" si="4"/>
        <v>-0.95606205530105182</v>
      </c>
      <c r="W118" s="9">
        <v>1.4</v>
      </c>
      <c r="X118" s="9">
        <v>2.79</v>
      </c>
      <c r="Y118" s="9">
        <f>4+O118</f>
        <v>5.45</v>
      </c>
      <c r="Z118" s="9"/>
      <c r="AA118" s="5" t="s">
        <v>12</v>
      </c>
      <c r="AB118" s="7" t="s">
        <v>1044</v>
      </c>
      <c r="AC118" s="5" t="s">
        <v>74</v>
      </c>
      <c r="AD118" s="3">
        <v>9</v>
      </c>
      <c r="AE118" s="5" t="s">
        <v>8</v>
      </c>
      <c r="AF118" s="5" t="s">
        <v>1300</v>
      </c>
      <c r="AG118" s="19" t="s">
        <v>1028</v>
      </c>
      <c r="AH118" s="19" t="s">
        <v>1028</v>
      </c>
      <c r="AI118" s="19" t="s">
        <v>1028</v>
      </c>
      <c r="AJ118" s="19" t="s">
        <v>1028</v>
      </c>
      <c r="AK118" s="5" t="s">
        <v>196</v>
      </c>
      <c r="AL118" s="5" t="s">
        <v>8</v>
      </c>
      <c r="AM118" s="5">
        <v>2020</v>
      </c>
      <c r="AN118" s="5" t="s">
        <v>67</v>
      </c>
      <c r="AO118" s="5" t="s">
        <v>67</v>
      </c>
      <c r="AP118" s="5" t="s">
        <v>485</v>
      </c>
      <c r="AQ118" s="5" t="s">
        <v>488</v>
      </c>
      <c r="BD118" s="58"/>
      <c r="BM118" s="58"/>
      <c r="DC118" s="5">
        <v>42</v>
      </c>
      <c r="DF118" s="5">
        <v>92</v>
      </c>
    </row>
    <row r="119" spans="1:202" hidden="1" x14ac:dyDescent="0.2">
      <c r="A119" s="3" t="s">
        <v>101</v>
      </c>
      <c r="B119" s="4" t="s">
        <v>490</v>
      </c>
      <c r="C119" s="28">
        <v>2017</v>
      </c>
      <c r="D119" s="16">
        <v>61</v>
      </c>
      <c r="E119" s="16">
        <v>2</v>
      </c>
      <c r="F119" s="5" t="s">
        <v>1051</v>
      </c>
      <c r="G119" s="5" t="s">
        <v>492</v>
      </c>
      <c r="H119" s="5" t="s">
        <v>5</v>
      </c>
      <c r="I119" s="5" t="s">
        <v>493</v>
      </c>
      <c r="J119" s="5" t="s">
        <v>7</v>
      </c>
      <c r="K119" s="5" t="s">
        <v>1046</v>
      </c>
      <c r="L119" s="5" t="s">
        <v>494</v>
      </c>
      <c r="M119" s="5" t="s">
        <v>9</v>
      </c>
      <c r="N119" s="85">
        <v>0.11</v>
      </c>
      <c r="O119" s="85">
        <v>1.47</v>
      </c>
      <c r="P119" s="7" t="s">
        <v>162</v>
      </c>
      <c r="Q119" s="5" t="s">
        <v>39</v>
      </c>
      <c r="R119" s="5" t="s">
        <v>27</v>
      </c>
      <c r="S119" s="5" t="s">
        <v>164</v>
      </c>
      <c r="T119" s="5" t="s">
        <v>1335</v>
      </c>
      <c r="U119" s="9">
        <f>1.11+N119</f>
        <v>1.2200000000000002</v>
      </c>
      <c r="V119" s="9">
        <f t="shared" si="4"/>
        <v>-1.5058972334932599</v>
      </c>
      <c r="W119" s="9"/>
      <c r="X119" s="9"/>
      <c r="Y119" s="9">
        <f>Z119+O119</f>
        <v>5.5</v>
      </c>
      <c r="Z119" s="9">
        <v>4.03</v>
      </c>
      <c r="AA119" s="5" t="s">
        <v>12</v>
      </c>
      <c r="AB119" s="7" t="s">
        <v>1044</v>
      </c>
      <c r="AC119" s="5" t="s">
        <v>74</v>
      </c>
      <c r="AD119" s="3">
        <v>9</v>
      </c>
      <c r="AE119" s="5" t="s">
        <v>8</v>
      </c>
      <c r="AF119" s="5" t="s">
        <v>1294</v>
      </c>
      <c r="AG119" s="19" t="s">
        <v>14</v>
      </c>
      <c r="AH119" s="19" t="s">
        <v>1028</v>
      </c>
      <c r="AI119" s="19" t="s">
        <v>14</v>
      </c>
      <c r="AJ119" s="19" t="s">
        <v>14</v>
      </c>
      <c r="AK119" s="5" t="s">
        <v>495</v>
      </c>
      <c r="AL119" s="5" t="s">
        <v>8</v>
      </c>
      <c r="AM119" s="5">
        <v>2016</v>
      </c>
      <c r="AN119" s="5" t="s">
        <v>67</v>
      </c>
      <c r="AO119" s="5" t="s">
        <v>67</v>
      </c>
      <c r="AP119" s="5" t="s">
        <v>491</v>
      </c>
      <c r="AQ119" s="5" t="s">
        <v>496</v>
      </c>
      <c r="BD119" s="58"/>
      <c r="BI119" s="9">
        <f>0.005/3.08</f>
        <v>1.6233766233766233E-3</v>
      </c>
      <c r="BJ119" s="9"/>
      <c r="BK119" s="9"/>
      <c r="BL119" s="5">
        <v>1.4100000000000001E-4</v>
      </c>
      <c r="BM119" s="58">
        <f>LN(BI119/BL119)</f>
        <v>2.4435037040525858</v>
      </c>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Y119" s="9">
        <v>10.06</v>
      </c>
      <c r="CZ119" s="9"/>
      <c r="DA119" s="9"/>
      <c r="DB119" s="9">
        <v>2.1</v>
      </c>
      <c r="DC119" s="9"/>
      <c r="DD119" s="9"/>
      <c r="DE119" s="9"/>
      <c r="DF119" s="9"/>
      <c r="DG119" s="9"/>
    </row>
    <row r="120" spans="1:202" ht="13.15" hidden="1" customHeight="1" x14ac:dyDescent="0.2">
      <c r="A120" s="3" t="s">
        <v>101</v>
      </c>
      <c r="B120" s="4" t="s">
        <v>490</v>
      </c>
      <c r="C120" s="28">
        <v>2017</v>
      </c>
      <c r="D120" s="16">
        <v>61</v>
      </c>
      <c r="E120" s="16">
        <v>1</v>
      </c>
      <c r="F120" s="5" t="s">
        <v>1051</v>
      </c>
      <c r="G120" s="5" t="s">
        <v>492</v>
      </c>
      <c r="H120" s="5" t="s">
        <v>5</v>
      </c>
      <c r="I120" s="5" t="s">
        <v>493</v>
      </c>
      <c r="J120" s="5" t="s">
        <v>7</v>
      </c>
      <c r="K120" s="48" t="s">
        <v>1046</v>
      </c>
      <c r="L120" s="5" t="s">
        <v>494</v>
      </c>
      <c r="M120" s="5" t="s">
        <v>9</v>
      </c>
      <c r="N120" s="85">
        <v>0.2</v>
      </c>
      <c r="O120" s="85">
        <v>1.47</v>
      </c>
      <c r="P120" s="7" t="s">
        <v>162</v>
      </c>
      <c r="Q120" s="5" t="s">
        <v>39</v>
      </c>
      <c r="R120" s="5" t="s">
        <v>27</v>
      </c>
      <c r="S120" s="5" t="s">
        <v>164</v>
      </c>
      <c r="T120" s="5" t="s">
        <v>1335</v>
      </c>
      <c r="U120" s="9">
        <f>4.7+N120</f>
        <v>4.9000000000000004</v>
      </c>
      <c r="V120" s="9">
        <f t="shared" si="4"/>
        <v>-0.11551288712184422</v>
      </c>
      <c r="W120" s="9"/>
      <c r="X120" s="9"/>
      <c r="Y120" s="9">
        <f>Z120+O120</f>
        <v>5.5</v>
      </c>
      <c r="Z120" s="9">
        <v>4.03</v>
      </c>
      <c r="AA120" s="5" t="s">
        <v>12</v>
      </c>
      <c r="AB120" s="7" t="s">
        <v>1044</v>
      </c>
      <c r="AC120" s="5" t="s">
        <v>74</v>
      </c>
      <c r="AD120" s="3">
        <v>9</v>
      </c>
      <c r="AE120" s="5" t="s">
        <v>8</v>
      </c>
      <c r="AF120" s="5" t="s">
        <v>1294</v>
      </c>
      <c r="AG120" s="19" t="s">
        <v>14</v>
      </c>
      <c r="AH120" s="19" t="s">
        <v>1028</v>
      </c>
      <c r="AI120" s="19" t="s">
        <v>14</v>
      </c>
      <c r="AJ120" s="19" t="s">
        <v>14</v>
      </c>
      <c r="AK120" s="5" t="s">
        <v>495</v>
      </c>
      <c r="AL120" s="5" t="s">
        <v>8</v>
      </c>
      <c r="AM120" s="5">
        <v>2016</v>
      </c>
      <c r="AN120" s="5" t="s">
        <v>67</v>
      </c>
      <c r="AO120" s="5" t="s">
        <v>67</v>
      </c>
      <c r="AP120" s="5" t="s">
        <v>491</v>
      </c>
      <c r="AQ120" s="5" t="s">
        <v>496</v>
      </c>
      <c r="BD120" s="58"/>
      <c r="BI120" s="9">
        <v>1.4E-2</v>
      </c>
      <c r="BJ120" s="9"/>
      <c r="BK120" s="9"/>
      <c r="BL120" s="5">
        <v>1.4100000000000001E-4</v>
      </c>
      <c r="BM120" s="58">
        <f>LN(BI120/BL120)</f>
        <v>4.5980527182192272</v>
      </c>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Y120" s="9">
        <v>65</v>
      </c>
      <c r="CZ120" s="9"/>
      <c r="DA120" s="9"/>
      <c r="DB120" s="9">
        <v>2.1</v>
      </c>
      <c r="DC120" s="9"/>
      <c r="DD120" s="9"/>
      <c r="DE120" s="9"/>
      <c r="DF120" s="9"/>
      <c r="DG120" s="9"/>
    </row>
    <row r="121" spans="1:202" ht="13.15" hidden="1" customHeight="1" x14ac:dyDescent="0.2">
      <c r="A121" s="3" t="s">
        <v>101</v>
      </c>
      <c r="B121" s="4" t="s">
        <v>497</v>
      </c>
      <c r="C121" s="28">
        <v>2018</v>
      </c>
      <c r="D121" s="16">
        <v>62</v>
      </c>
      <c r="E121" s="16">
        <v>2</v>
      </c>
      <c r="F121" s="5" t="s">
        <v>1060</v>
      </c>
      <c r="G121" s="5" t="s">
        <v>499</v>
      </c>
      <c r="H121" s="5" t="s">
        <v>5</v>
      </c>
      <c r="I121" s="5" t="s">
        <v>500</v>
      </c>
      <c r="J121" s="5" t="s">
        <v>25</v>
      </c>
      <c r="K121" s="5" t="s">
        <v>1045</v>
      </c>
      <c r="L121" s="5" t="s">
        <v>8</v>
      </c>
      <c r="M121" s="5" t="s">
        <v>9</v>
      </c>
      <c r="N121" s="7">
        <v>0</v>
      </c>
      <c r="O121" s="7">
        <v>1.81</v>
      </c>
      <c r="P121" s="7" t="s">
        <v>22</v>
      </c>
      <c r="Q121" s="5" t="s">
        <v>39</v>
      </c>
      <c r="R121" s="5" t="s">
        <v>27</v>
      </c>
      <c r="S121" s="5" t="s">
        <v>126</v>
      </c>
      <c r="T121" s="5" t="s">
        <v>1335</v>
      </c>
      <c r="U121" s="9">
        <f>(W121+X121)/2</f>
        <v>3.9227999999999996</v>
      </c>
      <c r="V121" s="9">
        <f t="shared" si="4"/>
        <v>-1.2729656758128876</v>
      </c>
      <c r="W121" s="9">
        <f>Y121*0.3</f>
        <v>4.2029999999999994</v>
      </c>
      <c r="X121" s="9">
        <f>Y121*0.26</f>
        <v>3.6426000000000003</v>
      </c>
      <c r="Y121" s="9">
        <f>12.2+O121</f>
        <v>14.01</v>
      </c>
      <c r="Z121" s="9"/>
      <c r="AA121" s="5" t="s">
        <v>12</v>
      </c>
      <c r="AB121" s="7" t="s">
        <v>1123</v>
      </c>
      <c r="AC121" s="5" t="s">
        <v>13</v>
      </c>
      <c r="AD121" s="3">
        <v>9</v>
      </c>
      <c r="AE121" s="5" t="s">
        <v>14</v>
      </c>
      <c r="AF121" s="5" t="s">
        <v>97</v>
      </c>
      <c r="AG121" s="19" t="s">
        <v>8</v>
      </c>
      <c r="AH121" s="19" t="s">
        <v>8</v>
      </c>
      <c r="AI121" s="19" t="s">
        <v>14</v>
      </c>
      <c r="AJ121" s="19" t="s">
        <v>8</v>
      </c>
      <c r="AK121" s="5" t="s">
        <v>116</v>
      </c>
      <c r="AL121" s="5" t="s">
        <v>8</v>
      </c>
      <c r="AM121" s="5">
        <v>2016</v>
      </c>
      <c r="AN121" s="5" t="s">
        <v>18</v>
      </c>
      <c r="AO121" s="5" t="s">
        <v>18</v>
      </c>
      <c r="AP121" s="5" t="s">
        <v>498</v>
      </c>
      <c r="AQ121" s="5" t="s">
        <v>502</v>
      </c>
      <c r="BD121" s="58"/>
      <c r="BM121" s="58"/>
    </row>
    <row r="122" spans="1:202" ht="13.15" hidden="1" customHeight="1" x14ac:dyDescent="0.2">
      <c r="A122" s="3" t="s">
        <v>101</v>
      </c>
      <c r="B122" s="4" t="s">
        <v>497</v>
      </c>
      <c r="C122" s="28">
        <v>2018</v>
      </c>
      <c r="D122" s="16">
        <v>62</v>
      </c>
      <c r="E122" s="16">
        <v>1</v>
      </c>
      <c r="F122" s="63" t="s">
        <v>1054</v>
      </c>
      <c r="G122" s="5" t="s">
        <v>499</v>
      </c>
      <c r="H122" s="5" t="s">
        <v>5</v>
      </c>
      <c r="I122" s="5" t="s">
        <v>500</v>
      </c>
      <c r="J122" s="5" t="s">
        <v>25</v>
      </c>
      <c r="K122" s="48" t="s">
        <v>1045</v>
      </c>
      <c r="L122" s="5" t="s">
        <v>8</v>
      </c>
      <c r="M122" s="5" t="s">
        <v>9</v>
      </c>
      <c r="N122" s="7">
        <v>0</v>
      </c>
      <c r="O122" s="7">
        <v>1.79</v>
      </c>
      <c r="P122" s="7" t="s">
        <v>501</v>
      </c>
      <c r="Q122" s="5" t="s">
        <v>39</v>
      </c>
      <c r="R122" s="5" t="s">
        <v>27</v>
      </c>
      <c r="S122" s="5" t="s">
        <v>126</v>
      </c>
      <c r="T122" s="5" t="s">
        <v>1335</v>
      </c>
      <c r="U122" s="9">
        <f>(W122+X122)/2</f>
        <v>4.6156500000000005</v>
      </c>
      <c r="V122" s="9">
        <f t="shared" si="4"/>
        <v>-0.53614343175028045</v>
      </c>
      <c r="W122" s="9">
        <f>Y122*0.64</f>
        <v>5.0495999999999999</v>
      </c>
      <c r="X122" s="9">
        <f>Y122*0.53</f>
        <v>4.1817000000000002</v>
      </c>
      <c r="Y122" s="9">
        <f>6.1+O122</f>
        <v>7.89</v>
      </c>
      <c r="Z122" s="9"/>
      <c r="AA122" s="5" t="s">
        <v>12</v>
      </c>
      <c r="AB122" s="7" t="s">
        <v>1123</v>
      </c>
      <c r="AC122" s="5" t="s">
        <v>13</v>
      </c>
      <c r="AD122" s="3">
        <v>9</v>
      </c>
      <c r="AE122" s="5" t="s">
        <v>14</v>
      </c>
      <c r="AF122" s="5" t="s">
        <v>97</v>
      </c>
      <c r="AG122" s="19" t="s">
        <v>8</v>
      </c>
      <c r="AH122" s="19" t="s">
        <v>8</v>
      </c>
      <c r="AI122" s="19" t="s">
        <v>14</v>
      </c>
      <c r="AJ122" s="19" t="s">
        <v>8</v>
      </c>
      <c r="AK122" s="5" t="s">
        <v>116</v>
      </c>
      <c r="AL122" s="5" t="s">
        <v>8</v>
      </c>
      <c r="AM122" s="5">
        <v>2016</v>
      </c>
      <c r="AN122" s="5" t="s">
        <v>18</v>
      </c>
      <c r="AO122" s="5" t="s">
        <v>18</v>
      </c>
      <c r="AP122" s="5" t="s">
        <v>498</v>
      </c>
      <c r="AQ122" s="5" t="s">
        <v>502</v>
      </c>
      <c r="BD122" s="58"/>
      <c r="BM122" s="58"/>
    </row>
    <row r="123" spans="1:202" ht="13.15" hidden="1" customHeight="1" x14ac:dyDescent="0.2">
      <c r="A123" s="3" t="s">
        <v>1</v>
      </c>
      <c r="B123" s="4" t="s">
        <v>503</v>
      </c>
      <c r="C123" s="28">
        <v>2019</v>
      </c>
      <c r="D123" s="16">
        <v>63</v>
      </c>
      <c r="E123" s="16">
        <v>1</v>
      </c>
      <c r="F123" s="63" t="s">
        <v>1051</v>
      </c>
      <c r="G123" s="5" t="s">
        <v>16</v>
      </c>
      <c r="H123" s="5" t="s">
        <v>5</v>
      </c>
      <c r="I123" s="5" t="s">
        <v>505</v>
      </c>
      <c r="J123" s="5" t="s">
        <v>7</v>
      </c>
      <c r="K123" s="5" t="s">
        <v>1046</v>
      </c>
      <c r="L123" s="5" t="s">
        <v>1049</v>
      </c>
      <c r="M123" s="5" t="s">
        <v>9</v>
      </c>
      <c r="N123" s="7">
        <v>0</v>
      </c>
      <c r="O123" s="7">
        <v>1.47</v>
      </c>
      <c r="P123" s="7" t="s">
        <v>162</v>
      </c>
      <c r="Q123" s="5" t="s">
        <v>39</v>
      </c>
      <c r="R123" s="5" t="s">
        <v>27</v>
      </c>
      <c r="S123" s="5" t="s">
        <v>164</v>
      </c>
      <c r="T123" s="5" t="s">
        <v>1335</v>
      </c>
      <c r="U123" s="9">
        <v>3.67</v>
      </c>
      <c r="V123" s="9">
        <f t="shared" si="4"/>
        <v>-0.40455643017194637</v>
      </c>
      <c r="W123" s="9"/>
      <c r="X123" s="9"/>
      <c r="Y123" s="9">
        <f>Z123+O123</f>
        <v>5.5</v>
      </c>
      <c r="Z123" s="9">
        <v>4.03</v>
      </c>
      <c r="AA123" s="5" t="s">
        <v>12</v>
      </c>
      <c r="AB123" s="7" t="s">
        <v>1123</v>
      </c>
      <c r="AC123" s="5" t="s">
        <v>13</v>
      </c>
      <c r="AD123" s="3">
        <v>9</v>
      </c>
      <c r="AE123" s="5" t="s">
        <v>14</v>
      </c>
      <c r="AF123" s="5" t="s">
        <v>1290</v>
      </c>
      <c r="AG123" s="19" t="s">
        <v>8</v>
      </c>
      <c r="AH123" s="19" t="s">
        <v>8</v>
      </c>
      <c r="AI123" s="19" t="s">
        <v>14</v>
      </c>
      <c r="AJ123" s="19" t="s">
        <v>14</v>
      </c>
      <c r="AK123" s="5" t="s">
        <v>84</v>
      </c>
      <c r="AL123" s="5" t="s">
        <v>8</v>
      </c>
      <c r="AM123" s="5" t="s">
        <v>414</v>
      </c>
      <c r="AN123" s="5" t="s">
        <v>44</v>
      </c>
      <c r="AO123" s="5" t="s">
        <v>44</v>
      </c>
      <c r="AP123" s="19" t="s">
        <v>504</v>
      </c>
      <c r="AQ123" s="5" t="s">
        <v>506</v>
      </c>
      <c r="BD123" s="58"/>
      <c r="BM123" s="58"/>
    </row>
    <row r="124" spans="1:202" s="103" customFormat="1" ht="14.65" customHeight="1" x14ac:dyDescent="0.25">
      <c r="A124" s="3" t="s">
        <v>329</v>
      </c>
      <c r="B124" s="65" t="s">
        <v>1235</v>
      </c>
      <c r="C124" s="28">
        <v>2022</v>
      </c>
      <c r="D124" s="16">
        <v>126</v>
      </c>
      <c r="E124" s="16">
        <v>1</v>
      </c>
      <c r="F124" s="5" t="s">
        <v>867</v>
      </c>
      <c r="G124" s="5" t="s">
        <v>1241</v>
      </c>
      <c r="H124" s="5" t="s">
        <v>5</v>
      </c>
      <c r="I124" s="5" t="s">
        <v>218</v>
      </c>
      <c r="J124" s="5" t="s">
        <v>1260</v>
      </c>
      <c r="K124" s="5" t="s">
        <v>726</v>
      </c>
      <c r="L124" s="5" t="s">
        <v>8</v>
      </c>
      <c r="M124" s="5" t="s">
        <v>61</v>
      </c>
      <c r="N124" s="7">
        <v>0</v>
      </c>
      <c r="O124" s="85">
        <v>2.29</v>
      </c>
      <c r="P124" s="7" t="s">
        <v>866</v>
      </c>
      <c r="Q124" s="5" t="s">
        <v>309</v>
      </c>
      <c r="R124" s="5" t="s">
        <v>18</v>
      </c>
      <c r="S124" s="5" t="s">
        <v>1239</v>
      </c>
      <c r="T124" s="5" t="s">
        <v>1335</v>
      </c>
      <c r="U124" s="9">
        <v>0.85</v>
      </c>
      <c r="V124" s="9">
        <f t="shared" si="4"/>
        <v>-1.5710638995524853</v>
      </c>
      <c r="W124" s="5"/>
      <c r="X124" s="5"/>
      <c r="Y124" s="9">
        <f>1.8+O124</f>
        <v>4.09</v>
      </c>
      <c r="Z124" s="5"/>
      <c r="AA124" s="5" t="s">
        <v>12</v>
      </c>
      <c r="AB124" s="7" t="s">
        <v>1043</v>
      </c>
      <c r="AC124" s="5" t="s">
        <v>13</v>
      </c>
      <c r="AD124" s="5">
        <v>9</v>
      </c>
      <c r="AE124" s="5" t="s">
        <v>8</v>
      </c>
      <c r="AF124" s="5" t="s">
        <v>96</v>
      </c>
      <c r="AG124" s="5" t="s">
        <v>8</v>
      </c>
      <c r="AH124" s="5" t="s">
        <v>8</v>
      </c>
      <c r="AI124" s="5" t="s">
        <v>14</v>
      </c>
      <c r="AJ124" s="5" t="s">
        <v>8</v>
      </c>
      <c r="AK124" s="5" t="s">
        <v>84</v>
      </c>
      <c r="AL124" s="5" t="s">
        <v>8</v>
      </c>
      <c r="AM124" s="5" t="s">
        <v>1242</v>
      </c>
      <c r="AN124" s="5" t="s">
        <v>18</v>
      </c>
      <c r="AO124" s="5" t="s">
        <v>18</v>
      </c>
      <c r="AP124" s="5" t="s">
        <v>1243</v>
      </c>
      <c r="AQ124" s="5" t="s">
        <v>1250</v>
      </c>
      <c r="AR124" s="5"/>
      <c r="AS124" s="5"/>
      <c r="AT124" s="5"/>
      <c r="AU124" s="5"/>
      <c r="AV124" s="5"/>
      <c r="AW124" s="5"/>
      <c r="AX124" s="5"/>
      <c r="AY124" s="5"/>
      <c r="AZ124" s="5"/>
      <c r="BA124" s="5"/>
      <c r="BB124" s="5"/>
      <c r="BC124" s="5"/>
      <c r="BD124" s="59"/>
      <c r="BE124" s="5"/>
      <c r="BF124" s="5"/>
      <c r="BG124" s="5"/>
      <c r="BH124" s="5"/>
      <c r="BI124" s="5"/>
      <c r="BJ124" s="5"/>
      <c r="BK124" s="5"/>
      <c r="BL124" s="5"/>
      <c r="BM124" s="59"/>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9"/>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c r="EU124" s="5"/>
      <c r="EV124" s="5"/>
      <c r="EW124" s="5"/>
      <c r="EX124" s="5"/>
      <c r="EY124" s="5"/>
      <c r="EZ124" s="5"/>
      <c r="FA124" s="5"/>
      <c r="FB124" s="5"/>
      <c r="FC124" s="5"/>
      <c r="FD124" s="5"/>
      <c r="FE124" s="5"/>
      <c r="FF124" s="5"/>
      <c r="FG124" s="5"/>
      <c r="FH124" s="5"/>
      <c r="FI124" s="5"/>
      <c r="FJ124" s="5"/>
      <c r="FK124" s="5"/>
      <c r="FL124" s="5"/>
      <c r="FM124" s="5"/>
      <c r="FN124" s="5"/>
      <c r="FO124" s="5"/>
      <c r="FP124" s="5"/>
      <c r="FQ124" s="5"/>
      <c r="FR124" s="5"/>
      <c r="FS124" s="5"/>
      <c r="FT124" s="5"/>
      <c r="FU124" s="5"/>
      <c r="FV124" s="5"/>
      <c r="FW124" s="5"/>
      <c r="FX124" s="5"/>
      <c r="FY124" s="5"/>
      <c r="FZ124" s="5"/>
      <c r="GA124" s="5"/>
      <c r="GB124" s="5"/>
      <c r="GC124" s="5"/>
      <c r="GD124" s="5"/>
      <c r="GE124" s="5"/>
      <c r="GF124" s="5"/>
      <c r="GG124" s="5"/>
      <c r="GH124" s="5"/>
      <c r="GI124" s="5"/>
      <c r="GJ124" s="5"/>
      <c r="GK124" s="5"/>
      <c r="GL124" s="5"/>
      <c r="GM124" s="5"/>
      <c r="GN124" s="5"/>
      <c r="GO124" s="5"/>
      <c r="GP124" s="5"/>
      <c r="GQ124" s="5"/>
      <c r="GR124" s="5"/>
      <c r="GS124" s="5"/>
      <c r="GT124" s="5"/>
    </row>
    <row r="125" spans="1:202" hidden="1" x14ac:dyDescent="0.2">
      <c r="A125" s="3" t="s">
        <v>329</v>
      </c>
      <c r="B125" s="4" t="s">
        <v>792</v>
      </c>
      <c r="C125" s="28">
        <v>2016</v>
      </c>
      <c r="D125" s="16">
        <v>106</v>
      </c>
      <c r="E125" s="16">
        <v>2</v>
      </c>
      <c r="F125" s="5" t="s">
        <v>865</v>
      </c>
      <c r="G125" s="5" t="s">
        <v>16</v>
      </c>
      <c r="H125" s="5" t="s">
        <v>5</v>
      </c>
      <c r="I125" s="5" t="s">
        <v>797</v>
      </c>
      <c r="J125" s="5" t="s">
        <v>7</v>
      </c>
      <c r="K125" s="5" t="s">
        <v>1046</v>
      </c>
      <c r="L125" s="5" t="s">
        <v>1049</v>
      </c>
      <c r="M125" s="5" t="s">
        <v>9</v>
      </c>
      <c r="N125" s="85">
        <f>2.05</f>
        <v>2.0499999999999998</v>
      </c>
      <c r="O125" s="85">
        <v>2.29</v>
      </c>
      <c r="P125" s="7" t="s">
        <v>866</v>
      </c>
      <c r="Q125" s="5" t="s">
        <v>39</v>
      </c>
      <c r="R125" s="5" t="s">
        <v>795</v>
      </c>
      <c r="S125" s="5" t="s">
        <v>1028</v>
      </c>
      <c r="T125" s="5" t="s">
        <v>1335</v>
      </c>
      <c r="U125" s="9">
        <f>N125+5.58</f>
        <v>7.63</v>
      </c>
      <c r="V125" s="9">
        <f t="shared" ref="V125:V188" si="6">LN(U125/Y125)</f>
        <v>0.4655574338735417</v>
      </c>
      <c r="W125" s="9"/>
      <c r="X125" s="9"/>
      <c r="Y125" s="9">
        <f>O125+2.5</f>
        <v>4.79</v>
      </c>
      <c r="Z125" s="9"/>
      <c r="AA125" s="5" t="s">
        <v>12</v>
      </c>
      <c r="AB125" s="7" t="s">
        <v>1123</v>
      </c>
      <c r="AC125" s="5" t="s">
        <v>74</v>
      </c>
      <c r="AD125" s="3">
        <v>9</v>
      </c>
      <c r="AE125" s="5" t="s">
        <v>14</v>
      </c>
      <c r="AF125" s="5" t="s">
        <v>1326</v>
      </c>
      <c r="AG125" s="5" t="s">
        <v>8</v>
      </c>
      <c r="AH125" s="5" t="s">
        <v>8</v>
      </c>
      <c r="AI125" s="5" t="s">
        <v>8</v>
      </c>
      <c r="AJ125" s="5" t="s">
        <v>8</v>
      </c>
      <c r="AK125" s="5" t="s">
        <v>84</v>
      </c>
      <c r="AL125" s="5" t="s">
        <v>14</v>
      </c>
      <c r="AM125" s="5" t="s">
        <v>1028</v>
      </c>
      <c r="AN125" s="5" t="s">
        <v>1028</v>
      </c>
      <c r="AO125" s="5" t="s">
        <v>1028</v>
      </c>
      <c r="AP125" s="5" t="s">
        <v>793</v>
      </c>
      <c r="AQ125" s="5" t="s">
        <v>796</v>
      </c>
      <c r="BD125" s="58"/>
      <c r="BM125" s="58"/>
      <c r="DC125" s="5">
        <v>141.41</v>
      </c>
      <c r="DF125" s="5">
        <v>75.709999999999994</v>
      </c>
    </row>
    <row r="126" spans="1:202" s="114" customFormat="1" x14ac:dyDescent="0.2">
      <c r="A126" s="114" t="s">
        <v>329</v>
      </c>
      <c r="B126" s="115" t="s">
        <v>338</v>
      </c>
      <c r="C126" s="116">
        <v>2005</v>
      </c>
      <c r="D126" s="117">
        <v>39</v>
      </c>
      <c r="E126" s="117">
        <v>2</v>
      </c>
      <c r="F126" s="114" t="s">
        <v>861</v>
      </c>
      <c r="G126" s="5" t="s">
        <v>16</v>
      </c>
      <c r="H126" s="5" t="s">
        <v>5</v>
      </c>
      <c r="I126" s="5" t="s">
        <v>37</v>
      </c>
      <c r="J126" s="5" t="s">
        <v>25</v>
      </c>
      <c r="K126" s="5" t="s">
        <v>1045</v>
      </c>
      <c r="L126" s="5" t="s">
        <v>8</v>
      </c>
      <c r="M126" s="5" t="s">
        <v>9</v>
      </c>
      <c r="N126" s="7">
        <v>2</v>
      </c>
      <c r="O126" s="7">
        <v>2.0499999999999998</v>
      </c>
      <c r="P126" s="118" t="s">
        <v>340</v>
      </c>
      <c r="Q126" s="114" t="s">
        <v>309</v>
      </c>
      <c r="R126" s="114" t="s">
        <v>67</v>
      </c>
      <c r="S126" s="114" t="s">
        <v>341</v>
      </c>
      <c r="T126" s="114" t="s">
        <v>1335</v>
      </c>
      <c r="U126" s="119">
        <f>-0.7+N126</f>
        <v>1.3</v>
      </c>
      <c r="V126" s="119">
        <f t="shared" si="6"/>
        <v>-1.3370233121131079</v>
      </c>
      <c r="W126" s="119"/>
      <c r="X126" s="119"/>
      <c r="Y126" s="119">
        <f>2.9+O126</f>
        <v>4.9499999999999993</v>
      </c>
      <c r="Z126" s="119"/>
      <c r="AA126" s="114" t="s">
        <v>12</v>
      </c>
      <c r="AB126" s="120" t="s">
        <v>1043</v>
      </c>
      <c r="AC126" s="114" t="s">
        <v>13</v>
      </c>
      <c r="AD126" s="114">
        <v>9</v>
      </c>
      <c r="AE126" s="114" t="s">
        <v>8</v>
      </c>
      <c r="AF126" s="114" t="s">
        <v>1288</v>
      </c>
      <c r="AG126" s="114" t="s">
        <v>8</v>
      </c>
      <c r="AH126" s="114" t="s">
        <v>8</v>
      </c>
      <c r="AI126" s="114" t="s">
        <v>14</v>
      </c>
      <c r="AJ126" s="114" t="s">
        <v>8</v>
      </c>
      <c r="AK126" s="114" t="s">
        <v>342</v>
      </c>
      <c r="AL126" s="114" t="s">
        <v>8</v>
      </c>
      <c r="AM126" s="114" t="s">
        <v>343</v>
      </c>
      <c r="AN126" s="114" t="s">
        <v>18</v>
      </c>
      <c r="AO126" s="114" t="s">
        <v>18</v>
      </c>
      <c r="AP126" s="114" t="s">
        <v>339</v>
      </c>
      <c r="AQ126" s="114" t="s">
        <v>344</v>
      </c>
      <c r="BD126" s="123"/>
      <c r="BM126" s="123"/>
      <c r="CX126" s="125"/>
    </row>
    <row r="127" spans="1:202" hidden="1" x14ac:dyDescent="0.2">
      <c r="A127" s="3" t="s">
        <v>101</v>
      </c>
      <c r="B127" s="4" t="s">
        <v>522</v>
      </c>
      <c r="C127" s="28">
        <v>2020</v>
      </c>
      <c r="D127" s="16">
        <v>67</v>
      </c>
      <c r="E127" s="16">
        <v>1</v>
      </c>
      <c r="F127" s="5" t="s">
        <v>1051</v>
      </c>
      <c r="G127" s="5" t="s">
        <v>524</v>
      </c>
      <c r="H127" s="5" t="s">
        <v>5</v>
      </c>
      <c r="I127" s="5" t="s">
        <v>525</v>
      </c>
      <c r="J127" s="5" t="s">
        <v>25</v>
      </c>
      <c r="K127" s="5" t="s">
        <v>1045</v>
      </c>
      <c r="L127" s="5" t="s">
        <v>8</v>
      </c>
      <c r="M127" s="5" t="s">
        <v>9</v>
      </c>
      <c r="N127" s="7">
        <v>0</v>
      </c>
      <c r="O127" s="7">
        <v>1.47</v>
      </c>
      <c r="P127" s="7" t="s">
        <v>162</v>
      </c>
      <c r="Q127" s="5" t="s">
        <v>39</v>
      </c>
      <c r="R127" s="5" t="s">
        <v>27</v>
      </c>
      <c r="S127" s="5" t="s">
        <v>164</v>
      </c>
      <c r="T127" s="5" t="s">
        <v>1335</v>
      </c>
      <c r="U127" s="9">
        <v>3.26</v>
      </c>
      <c r="V127" s="9">
        <f t="shared" si="6"/>
        <v>-0.52302089685980913</v>
      </c>
      <c r="W127" s="9"/>
      <c r="X127" s="9"/>
      <c r="Y127" s="9">
        <f>Z127+O127</f>
        <v>5.5</v>
      </c>
      <c r="Z127" s="9">
        <v>4.03</v>
      </c>
      <c r="AA127" s="5" t="s">
        <v>12</v>
      </c>
      <c r="AB127" s="7" t="s">
        <v>1123</v>
      </c>
      <c r="AC127" s="5" t="s">
        <v>13</v>
      </c>
      <c r="AD127" s="3">
        <v>9</v>
      </c>
      <c r="AE127" s="5" t="s">
        <v>14</v>
      </c>
      <c r="AF127" s="5" t="s">
        <v>97</v>
      </c>
      <c r="AG127" s="19" t="s">
        <v>8</v>
      </c>
      <c r="AH127" s="19" t="s">
        <v>8</v>
      </c>
      <c r="AI127" s="19" t="s">
        <v>14</v>
      </c>
      <c r="AJ127" s="19" t="s">
        <v>8</v>
      </c>
      <c r="AK127" s="5" t="s">
        <v>196</v>
      </c>
      <c r="AL127" s="5" t="s">
        <v>8</v>
      </c>
      <c r="AM127" s="5" t="s">
        <v>526</v>
      </c>
      <c r="AN127" s="5" t="s">
        <v>67</v>
      </c>
      <c r="AO127" s="5" t="s">
        <v>67</v>
      </c>
      <c r="AP127" s="19" t="s">
        <v>523</v>
      </c>
      <c r="AQ127" s="19" t="s">
        <v>527</v>
      </c>
      <c r="BD127" s="58"/>
      <c r="BI127" s="25">
        <v>7.1000000000000002E-4</v>
      </c>
      <c r="BJ127" s="25"/>
      <c r="BK127" s="25"/>
      <c r="BL127" s="25">
        <v>1.4100000000000001E-4</v>
      </c>
      <c r="BM127" s="58">
        <f>LN(BI127/BL127)</f>
        <v>1.6165050796571927</v>
      </c>
      <c r="DO127" s="5" t="s">
        <v>528</v>
      </c>
      <c r="DR127" s="5">
        <v>1.33E-3</v>
      </c>
      <c r="GA127" s="5">
        <v>0.8</v>
      </c>
      <c r="GD127" s="5">
        <v>1.67</v>
      </c>
    </row>
    <row r="128" spans="1:202" hidden="1" x14ac:dyDescent="0.2">
      <c r="A128" s="3" t="s">
        <v>101</v>
      </c>
      <c r="B128" s="4" t="s">
        <v>529</v>
      </c>
      <c r="C128" s="28">
        <v>2019</v>
      </c>
      <c r="D128" s="16">
        <v>68</v>
      </c>
      <c r="E128" s="16">
        <v>4</v>
      </c>
      <c r="F128" s="5" t="s">
        <v>1085</v>
      </c>
      <c r="G128" s="5" t="s">
        <v>388</v>
      </c>
      <c r="H128" s="5" t="s">
        <v>5</v>
      </c>
      <c r="I128" s="5" t="s">
        <v>72</v>
      </c>
      <c r="J128" s="5" t="s">
        <v>25</v>
      </c>
      <c r="K128" s="5" t="s">
        <v>726</v>
      </c>
      <c r="L128" s="5" t="s">
        <v>8</v>
      </c>
      <c r="M128" s="5" t="s">
        <v>9</v>
      </c>
      <c r="N128" s="7">
        <v>1.825</v>
      </c>
      <c r="O128" s="7">
        <v>2.29</v>
      </c>
      <c r="P128" s="7" t="s">
        <v>866</v>
      </c>
      <c r="Q128" s="5" t="s">
        <v>39</v>
      </c>
      <c r="R128" s="5" t="s">
        <v>67</v>
      </c>
      <c r="S128" s="5" t="s">
        <v>348</v>
      </c>
      <c r="T128" s="5" t="s">
        <v>1335</v>
      </c>
      <c r="U128" s="9">
        <f>0.693+N128</f>
        <v>2.5179999999999998</v>
      </c>
      <c r="V128" s="9">
        <f t="shared" si="6"/>
        <v>-0.57838776613200771</v>
      </c>
      <c r="W128" s="9"/>
      <c r="X128" s="9"/>
      <c r="Y128" s="9">
        <f t="shared" ref="Y128:Y135" si="7">2.2+O128</f>
        <v>4.49</v>
      </c>
      <c r="Z128" s="9"/>
      <c r="AA128" s="5" t="s">
        <v>12</v>
      </c>
      <c r="AB128" s="7" t="s">
        <v>1123</v>
      </c>
      <c r="AC128" s="5" t="s">
        <v>13</v>
      </c>
      <c r="AD128" s="3">
        <v>9</v>
      </c>
      <c r="AE128" s="5" t="s">
        <v>8</v>
      </c>
      <c r="AF128" s="5" t="s">
        <v>531</v>
      </c>
      <c r="AG128" s="19" t="s">
        <v>8</v>
      </c>
      <c r="AH128" s="19" t="s">
        <v>8</v>
      </c>
      <c r="AI128" s="19" t="s">
        <v>14</v>
      </c>
      <c r="AJ128" s="19" t="s">
        <v>14</v>
      </c>
      <c r="AK128" s="5" t="s">
        <v>84</v>
      </c>
      <c r="AL128" s="5" t="s">
        <v>8</v>
      </c>
      <c r="AM128" s="5" t="s">
        <v>532</v>
      </c>
      <c r="AN128" s="5" t="s">
        <v>67</v>
      </c>
      <c r="AO128" s="5" t="s">
        <v>67</v>
      </c>
      <c r="AP128" s="19" t="s">
        <v>530</v>
      </c>
      <c r="AQ128" s="19" t="s">
        <v>533</v>
      </c>
      <c r="BD128" s="58"/>
      <c r="BM128" s="58"/>
    </row>
    <row r="129" spans="1:118" hidden="1" x14ac:dyDescent="0.2">
      <c r="A129" s="3" t="s">
        <v>101</v>
      </c>
      <c r="B129" s="4" t="s">
        <v>529</v>
      </c>
      <c r="C129" s="28">
        <v>2019</v>
      </c>
      <c r="D129" s="16">
        <v>68</v>
      </c>
      <c r="E129" s="16">
        <v>7</v>
      </c>
      <c r="F129" s="5" t="s">
        <v>1085</v>
      </c>
      <c r="G129" s="5" t="s">
        <v>388</v>
      </c>
      <c r="H129" s="5" t="s">
        <v>5</v>
      </c>
      <c r="I129" s="5" t="s">
        <v>72</v>
      </c>
      <c r="J129" s="5" t="s">
        <v>25</v>
      </c>
      <c r="K129" s="48" t="s">
        <v>726</v>
      </c>
      <c r="L129" s="5" t="s">
        <v>8</v>
      </c>
      <c r="M129" s="5" t="s">
        <v>9</v>
      </c>
      <c r="N129" s="7">
        <v>1.825</v>
      </c>
      <c r="O129" s="7">
        <v>2.29</v>
      </c>
      <c r="P129" s="7" t="s">
        <v>866</v>
      </c>
      <c r="Q129" s="5" t="s">
        <v>39</v>
      </c>
      <c r="R129" s="5" t="s">
        <v>67</v>
      </c>
      <c r="S129" s="5" t="s">
        <v>348</v>
      </c>
      <c r="T129" s="5" t="s">
        <v>1335</v>
      </c>
      <c r="U129" s="9">
        <f>0.733+N129</f>
        <v>2.5579999999999998</v>
      </c>
      <c r="V129" s="9">
        <f t="shared" si="6"/>
        <v>-0.56262699859751208</v>
      </c>
      <c r="W129" s="9"/>
      <c r="X129" s="9"/>
      <c r="Y129" s="9">
        <f t="shared" si="7"/>
        <v>4.49</v>
      </c>
      <c r="Z129" s="9"/>
      <c r="AA129" s="5" t="s">
        <v>12</v>
      </c>
      <c r="AB129" s="7" t="s">
        <v>1123</v>
      </c>
      <c r="AC129" s="5" t="s">
        <v>13</v>
      </c>
      <c r="AD129" s="3">
        <v>9</v>
      </c>
      <c r="AE129" s="5" t="s">
        <v>8</v>
      </c>
      <c r="AF129" s="5" t="s">
        <v>531</v>
      </c>
      <c r="AG129" s="19" t="s">
        <v>8</v>
      </c>
      <c r="AH129" s="19" t="s">
        <v>8</v>
      </c>
      <c r="AI129" s="19" t="s">
        <v>14</v>
      </c>
      <c r="AJ129" s="19" t="s">
        <v>14</v>
      </c>
      <c r="AK129" s="5" t="s">
        <v>84</v>
      </c>
      <c r="AL129" s="5" t="s">
        <v>8</v>
      </c>
      <c r="AM129" s="5" t="s">
        <v>532</v>
      </c>
      <c r="AN129" s="5" t="s">
        <v>67</v>
      </c>
      <c r="AO129" s="5" t="s">
        <v>18</v>
      </c>
      <c r="AP129" s="19" t="s">
        <v>530</v>
      </c>
      <c r="AQ129" s="19" t="s">
        <v>533</v>
      </c>
      <c r="BD129" s="58"/>
      <c r="BM129" s="58"/>
    </row>
    <row r="130" spans="1:118" hidden="1" x14ac:dyDescent="0.2">
      <c r="A130" s="3" t="s">
        <v>101</v>
      </c>
      <c r="B130" s="4" t="s">
        <v>529</v>
      </c>
      <c r="C130" s="28">
        <v>2019</v>
      </c>
      <c r="D130" s="16">
        <v>68</v>
      </c>
      <c r="E130" s="16">
        <v>5</v>
      </c>
      <c r="F130" s="5" t="s">
        <v>1085</v>
      </c>
      <c r="G130" s="5" t="s">
        <v>388</v>
      </c>
      <c r="H130" s="5" t="s">
        <v>5</v>
      </c>
      <c r="I130" s="5" t="s">
        <v>535</v>
      </c>
      <c r="J130" s="5" t="s">
        <v>25</v>
      </c>
      <c r="K130" s="5" t="s">
        <v>726</v>
      </c>
      <c r="L130" s="5" t="s">
        <v>8</v>
      </c>
      <c r="M130" s="5" t="s">
        <v>9</v>
      </c>
      <c r="N130" s="7">
        <v>1.825</v>
      </c>
      <c r="O130" s="7">
        <v>2.29</v>
      </c>
      <c r="P130" s="7" t="s">
        <v>866</v>
      </c>
      <c r="Q130" s="5" t="s">
        <v>39</v>
      </c>
      <c r="R130" s="5" t="s">
        <v>67</v>
      </c>
      <c r="S130" s="5" t="s">
        <v>348</v>
      </c>
      <c r="T130" s="5" t="s">
        <v>1335</v>
      </c>
      <c r="U130" s="9">
        <f>0.754+N130</f>
        <v>2.5789999999999997</v>
      </c>
      <c r="V130" s="9">
        <f t="shared" si="6"/>
        <v>-0.55445097485495543</v>
      </c>
      <c r="W130" s="9"/>
      <c r="X130" s="9"/>
      <c r="Y130" s="9">
        <f t="shared" si="7"/>
        <v>4.49</v>
      </c>
      <c r="Z130" s="9"/>
      <c r="AA130" s="5" t="s">
        <v>12</v>
      </c>
      <c r="AB130" s="7" t="s">
        <v>1123</v>
      </c>
      <c r="AC130" s="5" t="s">
        <v>13</v>
      </c>
      <c r="AD130" s="3">
        <v>9</v>
      </c>
      <c r="AE130" s="5" t="s">
        <v>8</v>
      </c>
      <c r="AF130" s="5" t="s">
        <v>531</v>
      </c>
      <c r="AG130" s="19" t="s">
        <v>8</v>
      </c>
      <c r="AH130" s="19" t="s">
        <v>8</v>
      </c>
      <c r="AI130" s="19" t="s">
        <v>14</v>
      </c>
      <c r="AJ130" s="19" t="s">
        <v>14</v>
      </c>
      <c r="AK130" s="5" t="s">
        <v>84</v>
      </c>
      <c r="AL130" s="5" t="s">
        <v>8</v>
      </c>
      <c r="AM130" s="5" t="s">
        <v>532</v>
      </c>
      <c r="AN130" s="5" t="s">
        <v>67</v>
      </c>
      <c r="AO130" s="5" t="s">
        <v>67</v>
      </c>
      <c r="AP130" s="19" t="s">
        <v>530</v>
      </c>
      <c r="AQ130" s="19" t="s">
        <v>533</v>
      </c>
      <c r="BD130" s="58"/>
      <c r="BM130" s="58"/>
    </row>
    <row r="131" spans="1:118" ht="13.15" hidden="1" customHeight="1" x14ac:dyDescent="0.2">
      <c r="A131" s="3" t="s">
        <v>101</v>
      </c>
      <c r="B131" s="4" t="s">
        <v>529</v>
      </c>
      <c r="C131" s="28">
        <v>2019</v>
      </c>
      <c r="D131" s="16">
        <v>68</v>
      </c>
      <c r="E131" s="16">
        <v>8</v>
      </c>
      <c r="F131" s="5" t="s">
        <v>1085</v>
      </c>
      <c r="G131" s="5" t="s">
        <v>388</v>
      </c>
      <c r="H131" s="5" t="s">
        <v>5</v>
      </c>
      <c r="I131" s="5" t="s">
        <v>535</v>
      </c>
      <c r="J131" s="5" t="s">
        <v>25</v>
      </c>
      <c r="K131" s="48" t="s">
        <v>726</v>
      </c>
      <c r="L131" s="5" t="s">
        <v>8</v>
      </c>
      <c r="M131" s="5" t="s">
        <v>9</v>
      </c>
      <c r="N131" s="7">
        <v>1.825</v>
      </c>
      <c r="O131" s="7">
        <v>2.29</v>
      </c>
      <c r="P131" s="7" t="s">
        <v>866</v>
      </c>
      <c r="Q131" s="5" t="s">
        <v>39</v>
      </c>
      <c r="R131" s="5" t="s">
        <v>67</v>
      </c>
      <c r="S131" s="5" t="s">
        <v>348</v>
      </c>
      <c r="T131" s="5" t="s">
        <v>1335</v>
      </c>
      <c r="U131" s="9">
        <f>0.806+N131</f>
        <v>2.6310000000000002</v>
      </c>
      <c r="V131" s="9">
        <f t="shared" si="6"/>
        <v>-0.53448869969600721</v>
      </c>
      <c r="W131" s="9"/>
      <c r="X131" s="9"/>
      <c r="Y131" s="9">
        <f t="shared" si="7"/>
        <v>4.49</v>
      </c>
      <c r="Z131" s="9"/>
      <c r="AA131" s="5" t="s">
        <v>12</v>
      </c>
      <c r="AB131" s="7" t="s">
        <v>1123</v>
      </c>
      <c r="AC131" s="5" t="s">
        <v>13</v>
      </c>
      <c r="AD131" s="3">
        <v>9</v>
      </c>
      <c r="AE131" s="5" t="s">
        <v>8</v>
      </c>
      <c r="AF131" s="5" t="s">
        <v>531</v>
      </c>
      <c r="AG131" s="19" t="s">
        <v>8</v>
      </c>
      <c r="AH131" s="19" t="s">
        <v>8</v>
      </c>
      <c r="AI131" s="19" t="s">
        <v>14</v>
      </c>
      <c r="AJ131" s="19" t="s">
        <v>14</v>
      </c>
      <c r="AK131" s="5" t="s">
        <v>84</v>
      </c>
      <c r="AL131" s="5" t="s">
        <v>8</v>
      </c>
      <c r="AM131" s="5" t="s">
        <v>532</v>
      </c>
      <c r="AN131" s="5" t="s">
        <v>67</v>
      </c>
      <c r="AO131" s="5" t="s">
        <v>18</v>
      </c>
      <c r="AP131" s="19" t="s">
        <v>530</v>
      </c>
      <c r="AQ131" s="19" t="s">
        <v>533</v>
      </c>
      <c r="BD131" s="58"/>
      <c r="BM131" s="58"/>
    </row>
    <row r="132" spans="1:118" ht="13.15" hidden="1" customHeight="1" x14ac:dyDescent="0.2">
      <c r="A132" s="3" t="s">
        <v>101</v>
      </c>
      <c r="B132" s="4" t="s">
        <v>529</v>
      </c>
      <c r="C132" s="28">
        <v>2019</v>
      </c>
      <c r="D132" s="16">
        <v>68</v>
      </c>
      <c r="E132" s="16">
        <v>1</v>
      </c>
      <c r="F132" s="5" t="s">
        <v>1085</v>
      </c>
      <c r="G132" s="5" t="s">
        <v>388</v>
      </c>
      <c r="H132" s="5" t="s">
        <v>5</v>
      </c>
      <c r="I132" s="5" t="s">
        <v>43</v>
      </c>
      <c r="J132" s="5" t="s">
        <v>25</v>
      </c>
      <c r="K132" s="48" t="s">
        <v>726</v>
      </c>
      <c r="L132" s="5" t="s">
        <v>8</v>
      </c>
      <c r="M132" s="5" t="s">
        <v>9</v>
      </c>
      <c r="N132" s="7">
        <v>1.825</v>
      </c>
      <c r="O132" s="7">
        <v>2.29</v>
      </c>
      <c r="P132" s="7" t="s">
        <v>866</v>
      </c>
      <c r="Q132" s="5" t="s">
        <v>39</v>
      </c>
      <c r="R132" s="5" t="s">
        <v>67</v>
      </c>
      <c r="S132" s="5" t="s">
        <v>348</v>
      </c>
      <c r="T132" s="5" t="s">
        <v>1335</v>
      </c>
      <c r="U132" s="9">
        <f>0.928+N132</f>
        <v>2.7530000000000001</v>
      </c>
      <c r="V132" s="9">
        <f t="shared" si="6"/>
        <v>-0.48916147559369277</v>
      </c>
      <c r="W132" s="9"/>
      <c r="X132" s="9"/>
      <c r="Y132" s="9">
        <f t="shared" si="7"/>
        <v>4.49</v>
      </c>
      <c r="Z132" s="9"/>
      <c r="AA132" s="5" t="s">
        <v>12</v>
      </c>
      <c r="AB132" s="7" t="s">
        <v>1123</v>
      </c>
      <c r="AC132" s="5" t="s">
        <v>13</v>
      </c>
      <c r="AD132" s="3">
        <v>9</v>
      </c>
      <c r="AE132" s="5" t="s">
        <v>8</v>
      </c>
      <c r="AF132" s="5" t="s">
        <v>531</v>
      </c>
      <c r="AG132" s="19" t="s">
        <v>8</v>
      </c>
      <c r="AH132" s="19" t="s">
        <v>8</v>
      </c>
      <c r="AI132" s="19" t="s">
        <v>14</v>
      </c>
      <c r="AJ132" s="19" t="s">
        <v>14</v>
      </c>
      <c r="AK132" s="5" t="s">
        <v>84</v>
      </c>
      <c r="AL132" s="5" t="s">
        <v>8</v>
      </c>
      <c r="AM132" s="5" t="s">
        <v>532</v>
      </c>
      <c r="AN132" s="5" t="s">
        <v>67</v>
      </c>
      <c r="AO132" s="5" t="s">
        <v>44</v>
      </c>
      <c r="AP132" s="19" t="s">
        <v>530</v>
      </c>
      <c r="AQ132" s="19" t="s">
        <v>533</v>
      </c>
      <c r="BD132" s="58"/>
      <c r="BM132" s="58"/>
    </row>
    <row r="133" spans="1:118" ht="13.15" hidden="1" customHeight="1" x14ac:dyDescent="0.2">
      <c r="A133" s="3" t="s">
        <v>101</v>
      </c>
      <c r="B133" s="4" t="s">
        <v>529</v>
      </c>
      <c r="C133" s="28">
        <v>2019</v>
      </c>
      <c r="D133" s="16">
        <v>68</v>
      </c>
      <c r="E133" s="16">
        <v>2</v>
      </c>
      <c r="F133" s="5" t="s">
        <v>1085</v>
      </c>
      <c r="G133" s="5" t="s">
        <v>388</v>
      </c>
      <c r="H133" s="5" t="s">
        <v>5</v>
      </c>
      <c r="I133" s="5" t="s">
        <v>454</v>
      </c>
      <c r="J133" s="5" t="s">
        <v>7</v>
      </c>
      <c r="K133" s="48" t="s">
        <v>1046</v>
      </c>
      <c r="L133" s="5" t="s">
        <v>1049</v>
      </c>
      <c r="M133" s="5" t="s">
        <v>9</v>
      </c>
      <c r="N133" s="7">
        <v>1.825</v>
      </c>
      <c r="O133" s="7">
        <v>2.29</v>
      </c>
      <c r="P133" s="7" t="s">
        <v>866</v>
      </c>
      <c r="Q133" s="5" t="s">
        <v>39</v>
      </c>
      <c r="R133" s="5" t="s">
        <v>67</v>
      </c>
      <c r="S133" s="5" t="s">
        <v>348</v>
      </c>
      <c r="T133" s="5" t="s">
        <v>1335</v>
      </c>
      <c r="U133" s="9">
        <f>0.968+N133</f>
        <v>2.7930000000000001</v>
      </c>
      <c r="V133" s="9">
        <f t="shared" si="6"/>
        <v>-0.47473641479112322</v>
      </c>
      <c r="W133" s="9"/>
      <c r="X133" s="9"/>
      <c r="Y133" s="9">
        <f t="shared" si="7"/>
        <v>4.49</v>
      </c>
      <c r="Z133" s="9"/>
      <c r="AA133" s="5" t="s">
        <v>12</v>
      </c>
      <c r="AB133" s="7" t="s">
        <v>1123</v>
      </c>
      <c r="AC133" s="5" t="s">
        <v>13</v>
      </c>
      <c r="AD133" s="3">
        <v>9</v>
      </c>
      <c r="AE133" s="5" t="s">
        <v>8</v>
      </c>
      <c r="AF133" s="5" t="s">
        <v>531</v>
      </c>
      <c r="AG133" s="19" t="s">
        <v>8</v>
      </c>
      <c r="AH133" s="19" t="s">
        <v>8</v>
      </c>
      <c r="AI133" s="19" t="s">
        <v>14</v>
      </c>
      <c r="AJ133" s="19" t="s">
        <v>14</v>
      </c>
      <c r="AK133" s="5" t="s">
        <v>84</v>
      </c>
      <c r="AL133" s="5" t="s">
        <v>8</v>
      </c>
      <c r="AM133" s="5" t="s">
        <v>532</v>
      </c>
      <c r="AN133" s="5" t="s">
        <v>67</v>
      </c>
      <c r="AO133" s="5" t="s">
        <v>67</v>
      </c>
      <c r="AP133" s="19" t="s">
        <v>530</v>
      </c>
      <c r="AQ133" s="19" t="s">
        <v>533</v>
      </c>
      <c r="BD133" s="58"/>
      <c r="BM133" s="58"/>
    </row>
    <row r="134" spans="1:118" ht="13.15" hidden="1" customHeight="1" x14ac:dyDescent="0.2">
      <c r="A134" s="3" t="s">
        <v>101</v>
      </c>
      <c r="B134" s="4" t="s">
        <v>529</v>
      </c>
      <c r="C134" s="28">
        <v>2019</v>
      </c>
      <c r="D134" s="16">
        <v>68</v>
      </c>
      <c r="E134" s="16">
        <v>3</v>
      </c>
      <c r="F134" s="5" t="s">
        <v>1085</v>
      </c>
      <c r="G134" s="5" t="s">
        <v>388</v>
      </c>
      <c r="H134" s="5" t="s">
        <v>5</v>
      </c>
      <c r="I134" s="5" t="s">
        <v>534</v>
      </c>
      <c r="J134" s="5" t="s">
        <v>90</v>
      </c>
      <c r="K134" s="48" t="s">
        <v>1046</v>
      </c>
      <c r="L134" s="5" t="s">
        <v>1049</v>
      </c>
      <c r="M134" s="5" t="s">
        <v>9</v>
      </c>
      <c r="N134" s="7">
        <v>1.825</v>
      </c>
      <c r="O134" s="7">
        <v>2.29</v>
      </c>
      <c r="P134" s="7" t="s">
        <v>866</v>
      </c>
      <c r="Q134" s="5" t="s">
        <v>39</v>
      </c>
      <c r="R134" s="5" t="s">
        <v>67</v>
      </c>
      <c r="S134" s="5" t="s">
        <v>348</v>
      </c>
      <c r="T134" s="5" t="s">
        <v>1335</v>
      </c>
      <c r="U134" s="9">
        <f>0.77+N134</f>
        <v>2.5949999999999998</v>
      </c>
      <c r="V134" s="9">
        <f t="shared" si="6"/>
        <v>-0.54826618513631109</v>
      </c>
      <c r="W134" s="9"/>
      <c r="X134" s="9"/>
      <c r="Y134" s="9">
        <f t="shared" si="7"/>
        <v>4.49</v>
      </c>
      <c r="Z134" s="9"/>
      <c r="AA134" s="5" t="s">
        <v>12</v>
      </c>
      <c r="AB134" s="7" t="s">
        <v>1123</v>
      </c>
      <c r="AC134" s="5" t="s">
        <v>13</v>
      </c>
      <c r="AD134" s="3">
        <v>9</v>
      </c>
      <c r="AE134" s="5" t="s">
        <v>8</v>
      </c>
      <c r="AF134" s="5" t="s">
        <v>531</v>
      </c>
      <c r="AG134" s="19" t="s">
        <v>8</v>
      </c>
      <c r="AH134" s="19" t="s">
        <v>8</v>
      </c>
      <c r="AI134" s="19" t="s">
        <v>14</v>
      </c>
      <c r="AJ134" s="19" t="s">
        <v>14</v>
      </c>
      <c r="AK134" s="5" t="s">
        <v>84</v>
      </c>
      <c r="AL134" s="5" t="s">
        <v>8</v>
      </c>
      <c r="AM134" s="5" t="s">
        <v>532</v>
      </c>
      <c r="AN134" s="5" t="s">
        <v>67</v>
      </c>
      <c r="AO134" s="5" t="s">
        <v>67</v>
      </c>
      <c r="AP134" s="19" t="s">
        <v>530</v>
      </c>
      <c r="AQ134" s="19" t="s">
        <v>533</v>
      </c>
      <c r="BD134" s="58"/>
      <c r="BM134" s="58"/>
    </row>
    <row r="135" spans="1:118" ht="13.15" hidden="1" customHeight="1" x14ac:dyDescent="0.2">
      <c r="A135" s="3" t="s">
        <v>101</v>
      </c>
      <c r="B135" s="4" t="s">
        <v>529</v>
      </c>
      <c r="C135" s="28">
        <v>2019</v>
      </c>
      <c r="D135" s="16">
        <v>68</v>
      </c>
      <c r="E135" s="16">
        <v>6</v>
      </c>
      <c r="F135" s="5" t="s">
        <v>1085</v>
      </c>
      <c r="G135" s="5" t="s">
        <v>388</v>
      </c>
      <c r="H135" s="5" t="s">
        <v>5</v>
      </c>
      <c r="I135" s="5" t="s">
        <v>534</v>
      </c>
      <c r="J135" s="5" t="s">
        <v>90</v>
      </c>
      <c r="K135" s="48" t="s">
        <v>1046</v>
      </c>
      <c r="L135" s="5" t="s">
        <v>1049</v>
      </c>
      <c r="M135" s="5" t="s">
        <v>9</v>
      </c>
      <c r="N135" s="7">
        <v>1.825</v>
      </c>
      <c r="O135" s="7">
        <v>2.29</v>
      </c>
      <c r="P135" s="7" t="s">
        <v>866</v>
      </c>
      <c r="Q135" s="5" t="s">
        <v>39</v>
      </c>
      <c r="R135" s="5" t="s">
        <v>67</v>
      </c>
      <c r="S135" s="5" t="s">
        <v>348</v>
      </c>
      <c r="T135" s="5" t="s">
        <v>1335</v>
      </c>
      <c r="U135" s="9">
        <f>0.899+N135</f>
        <v>2.7240000000000002</v>
      </c>
      <c r="V135" s="9">
        <f t="shared" si="6"/>
        <v>-0.49975131346689705</v>
      </c>
      <c r="W135" s="9"/>
      <c r="X135" s="9"/>
      <c r="Y135" s="9">
        <f t="shared" si="7"/>
        <v>4.49</v>
      </c>
      <c r="Z135" s="9"/>
      <c r="AA135" s="5" t="s">
        <v>12</v>
      </c>
      <c r="AB135" s="7" t="s">
        <v>1123</v>
      </c>
      <c r="AC135" s="5" t="s">
        <v>13</v>
      </c>
      <c r="AD135" s="3">
        <v>9</v>
      </c>
      <c r="AE135" s="5" t="s">
        <v>8</v>
      </c>
      <c r="AF135" s="5" t="s">
        <v>531</v>
      </c>
      <c r="AG135" s="19" t="s">
        <v>8</v>
      </c>
      <c r="AH135" s="19" t="s">
        <v>8</v>
      </c>
      <c r="AI135" s="19" t="s">
        <v>14</v>
      </c>
      <c r="AJ135" s="19" t="s">
        <v>14</v>
      </c>
      <c r="AK135" s="5" t="s">
        <v>84</v>
      </c>
      <c r="AL135" s="5" t="s">
        <v>8</v>
      </c>
      <c r="AM135" s="5" t="s">
        <v>532</v>
      </c>
      <c r="AN135" s="5" t="s">
        <v>67</v>
      </c>
      <c r="AO135" s="5" t="s">
        <v>18</v>
      </c>
      <c r="AP135" s="19" t="s">
        <v>530</v>
      </c>
      <c r="AQ135" s="19" t="s">
        <v>533</v>
      </c>
      <c r="BD135" s="58"/>
      <c r="BM135" s="58"/>
    </row>
    <row r="136" spans="1:118" ht="13.15" hidden="1" customHeight="1" x14ac:dyDescent="0.2">
      <c r="A136" s="3" t="s">
        <v>287</v>
      </c>
      <c r="B136" s="4" t="s">
        <v>536</v>
      </c>
      <c r="C136" s="28">
        <v>2007</v>
      </c>
      <c r="D136" s="16">
        <v>69</v>
      </c>
      <c r="E136" s="16">
        <v>1</v>
      </c>
      <c r="F136" s="5" t="s">
        <v>1082</v>
      </c>
      <c r="G136" s="5" t="s">
        <v>538</v>
      </c>
      <c r="H136" s="5" t="s">
        <v>539</v>
      </c>
      <c r="I136" s="5" t="s">
        <v>540</v>
      </c>
      <c r="J136" s="5" t="s">
        <v>90</v>
      </c>
      <c r="K136" s="5" t="s">
        <v>1046</v>
      </c>
      <c r="L136" s="5" t="s">
        <v>1049</v>
      </c>
      <c r="M136" s="5" t="s">
        <v>61</v>
      </c>
      <c r="N136" s="85">
        <v>0</v>
      </c>
      <c r="O136" s="85">
        <f>1.74*0.63</f>
        <v>1.0962000000000001</v>
      </c>
      <c r="P136" s="8" t="s">
        <v>541</v>
      </c>
      <c r="Q136" s="9" t="s">
        <v>39</v>
      </c>
      <c r="R136" s="9" t="s">
        <v>67</v>
      </c>
      <c r="S136" s="9" t="s">
        <v>96</v>
      </c>
      <c r="T136" s="5" t="s">
        <v>1335</v>
      </c>
      <c r="U136" s="9">
        <v>1.98</v>
      </c>
      <c r="V136" s="9">
        <f t="shared" si="6"/>
        <v>-0.7558374037376262</v>
      </c>
      <c r="W136" s="9"/>
      <c r="X136" s="9"/>
      <c r="Y136" s="9">
        <f>3.12+O136</f>
        <v>4.2162000000000006</v>
      </c>
      <c r="Z136" s="9"/>
      <c r="AA136" s="5" t="s">
        <v>12</v>
      </c>
      <c r="AB136" s="7" t="s">
        <v>1044</v>
      </c>
      <c r="AC136" s="5" t="s">
        <v>1304</v>
      </c>
      <c r="AD136" s="3">
        <v>9</v>
      </c>
      <c r="AE136" s="5" t="s">
        <v>8</v>
      </c>
      <c r="AF136" s="5" t="s">
        <v>1303</v>
      </c>
      <c r="AG136" s="19" t="s">
        <v>14</v>
      </c>
      <c r="AH136" s="19" t="s">
        <v>14</v>
      </c>
      <c r="AI136" s="19" t="s">
        <v>14</v>
      </c>
      <c r="AJ136" s="19" t="s">
        <v>14</v>
      </c>
      <c r="AK136" s="5" t="s">
        <v>145</v>
      </c>
      <c r="AL136" s="5" t="s">
        <v>8</v>
      </c>
      <c r="AM136" s="5" t="s">
        <v>542</v>
      </c>
      <c r="AN136" s="5" t="s">
        <v>44</v>
      </c>
      <c r="AO136" s="5" t="s">
        <v>44</v>
      </c>
      <c r="AP136" s="19" t="s">
        <v>537</v>
      </c>
      <c r="AQ136" s="19" t="s">
        <v>543</v>
      </c>
      <c r="AR136" s="18">
        <v>1.1702000000000001E-7</v>
      </c>
      <c r="AU136" s="18">
        <v>4.9804999999999994E-7</v>
      </c>
      <c r="AZ136" s="5">
        <v>1.7600000000000001E-2</v>
      </c>
      <c r="BC136" s="5">
        <v>2.3599999999999999E-2</v>
      </c>
      <c r="BD136" s="58">
        <f>LN(AZ136/BC136)</f>
        <v>-0.2933478099874583</v>
      </c>
      <c r="BI136" s="5">
        <v>4.8999999999999998E-3</v>
      </c>
      <c r="BL136" s="5">
        <v>1.6999999999999999E-3</v>
      </c>
      <c r="BM136" s="58">
        <f>LN(BI136/BL136)</f>
        <v>1.0586069540544105</v>
      </c>
      <c r="CP136" s="5">
        <v>5.9999999999999995E-4</v>
      </c>
      <c r="CS136" s="5">
        <v>8.9999999999999998E-4</v>
      </c>
    </row>
    <row r="137" spans="1:118" ht="13.15" hidden="1" customHeight="1" x14ac:dyDescent="0.25">
      <c r="A137" s="3" t="s">
        <v>287</v>
      </c>
      <c r="B137" s="65" t="s">
        <v>544</v>
      </c>
      <c r="C137" s="28">
        <v>2008</v>
      </c>
      <c r="D137" s="16">
        <v>70</v>
      </c>
      <c r="E137" s="16">
        <v>1</v>
      </c>
      <c r="F137" s="63" t="s">
        <v>1094</v>
      </c>
      <c r="G137" s="5" t="s">
        <v>546</v>
      </c>
      <c r="H137" s="5" t="s">
        <v>93</v>
      </c>
      <c r="I137" s="5" t="s">
        <v>547</v>
      </c>
      <c r="J137" s="5" t="s">
        <v>7</v>
      </c>
      <c r="K137" s="5" t="s">
        <v>1046</v>
      </c>
      <c r="L137" s="5" t="s">
        <v>1049</v>
      </c>
      <c r="M137" s="5" t="s">
        <v>61</v>
      </c>
      <c r="N137" s="85">
        <v>0</v>
      </c>
      <c r="O137" s="85">
        <f>1.74*0.63</f>
        <v>1.0962000000000001</v>
      </c>
      <c r="P137" s="8" t="s">
        <v>541</v>
      </c>
      <c r="Q137" s="9" t="s">
        <v>39</v>
      </c>
      <c r="R137" s="9" t="s">
        <v>27</v>
      </c>
      <c r="S137" s="9" t="s">
        <v>383</v>
      </c>
      <c r="T137" s="5" t="s">
        <v>1335</v>
      </c>
      <c r="U137" s="9">
        <f>4.2-0.25</f>
        <v>3.95</v>
      </c>
      <c r="V137" s="9">
        <f t="shared" si="6"/>
        <v>-0.30267044925243936</v>
      </c>
      <c r="W137" s="9">
        <v>4</v>
      </c>
      <c r="X137" s="9">
        <v>4.4000000000000004</v>
      </c>
      <c r="Y137" s="9">
        <f>4.25+O137</f>
        <v>5.3461999999999996</v>
      </c>
      <c r="Z137" s="9"/>
      <c r="AA137" s="5" t="s">
        <v>12</v>
      </c>
      <c r="AB137" s="62" t="s">
        <v>1043</v>
      </c>
      <c r="AC137" s="5" t="s">
        <v>13</v>
      </c>
      <c r="AD137" s="3">
        <v>9</v>
      </c>
      <c r="AE137" s="5" t="s">
        <v>8</v>
      </c>
      <c r="AF137" s="5" t="s">
        <v>1306</v>
      </c>
      <c r="AG137" s="19" t="s">
        <v>1028</v>
      </c>
      <c r="AH137" s="19" t="s">
        <v>1028</v>
      </c>
      <c r="AI137" s="19" t="s">
        <v>1028</v>
      </c>
      <c r="AJ137" s="19" t="s">
        <v>1028</v>
      </c>
      <c r="AK137" s="5" t="s">
        <v>548</v>
      </c>
      <c r="AL137" s="5" t="s">
        <v>14</v>
      </c>
      <c r="AM137" s="5" t="s">
        <v>549</v>
      </c>
      <c r="AN137" s="5" t="s">
        <v>18</v>
      </c>
      <c r="AO137" s="5" t="s">
        <v>18</v>
      </c>
      <c r="AP137" s="19" t="s">
        <v>545</v>
      </c>
      <c r="AQ137" s="19" t="s">
        <v>550</v>
      </c>
      <c r="BD137" s="58"/>
      <c r="BE137" s="5">
        <f>1.34-0.05</f>
        <v>1.29</v>
      </c>
      <c r="BH137" s="5">
        <f>1.21-0.05</f>
        <v>1.1599999999999999</v>
      </c>
      <c r="BM137" s="58"/>
      <c r="BN137" s="5">
        <f>(2.25-0.1)/1000</f>
        <v>2.15E-3</v>
      </c>
      <c r="BQ137" s="5">
        <f>(1.06-0.1)/1000</f>
        <v>9.6000000000000002E-4</v>
      </c>
      <c r="CT137" s="5">
        <v>72</v>
      </c>
      <c r="CW137" s="5">
        <f>94-2</f>
        <v>92</v>
      </c>
      <c r="CX137" s="59">
        <f>LN(CT137/CW137)</f>
        <v>-0.24512245803298496</v>
      </c>
    </row>
    <row r="138" spans="1:118" ht="13.15" hidden="1" customHeight="1" x14ac:dyDescent="0.2">
      <c r="A138" s="3" t="s">
        <v>353</v>
      </c>
      <c r="B138" s="4" t="s">
        <v>551</v>
      </c>
      <c r="C138" s="28">
        <v>2012</v>
      </c>
      <c r="D138" s="16">
        <v>71</v>
      </c>
      <c r="E138" s="16">
        <v>2</v>
      </c>
      <c r="F138" s="63" t="s">
        <v>1059</v>
      </c>
      <c r="G138" s="5" t="s">
        <v>556</v>
      </c>
      <c r="H138" s="5" t="s">
        <v>93</v>
      </c>
      <c r="I138" s="5" t="s">
        <v>557</v>
      </c>
      <c r="J138" s="5" t="s">
        <v>7</v>
      </c>
      <c r="K138" s="5" t="s">
        <v>1046</v>
      </c>
      <c r="L138" s="5" t="s">
        <v>1049</v>
      </c>
      <c r="M138" s="5" t="s">
        <v>9</v>
      </c>
      <c r="N138" s="7">
        <v>0</v>
      </c>
      <c r="O138" s="7">
        <v>3.66</v>
      </c>
      <c r="P138" s="7" t="s">
        <v>554</v>
      </c>
      <c r="Q138" s="5" t="s">
        <v>293</v>
      </c>
      <c r="R138" s="5" t="s">
        <v>1028</v>
      </c>
      <c r="S138" s="5" t="s">
        <v>96</v>
      </c>
      <c r="T138" s="5" t="s">
        <v>1335</v>
      </c>
      <c r="U138" s="9">
        <f>0.122171*1000</f>
        <v>122.17100000000001</v>
      </c>
      <c r="V138" s="9">
        <f t="shared" si="6"/>
        <v>-2.1059868947820264</v>
      </c>
      <c r="W138" s="9"/>
      <c r="X138" s="9"/>
      <c r="Y138" s="9">
        <f t="shared" ref="Y138:Y143" si="8">(((0.7+1.3)/2)*1000)+O138</f>
        <v>1003.66</v>
      </c>
      <c r="Z138" s="9"/>
      <c r="AA138" s="5" t="s">
        <v>12</v>
      </c>
      <c r="AB138" s="62" t="s">
        <v>1043</v>
      </c>
      <c r="AC138" s="5" t="s">
        <v>13</v>
      </c>
      <c r="AD138" s="3">
        <v>3</v>
      </c>
      <c r="AE138" s="5" t="s">
        <v>8</v>
      </c>
      <c r="AF138" s="5" t="s">
        <v>1279</v>
      </c>
      <c r="AG138" s="19" t="s">
        <v>8</v>
      </c>
      <c r="AH138" s="19" t="s">
        <v>8</v>
      </c>
      <c r="AI138" s="19" t="s">
        <v>8</v>
      </c>
      <c r="AJ138" s="19" t="s">
        <v>8</v>
      </c>
      <c r="AK138" s="5" t="s">
        <v>363</v>
      </c>
      <c r="AL138" s="5" t="s">
        <v>14</v>
      </c>
      <c r="AM138" s="5">
        <v>2010</v>
      </c>
      <c r="AN138" s="5" t="s">
        <v>44</v>
      </c>
      <c r="AO138" s="5" t="s">
        <v>44</v>
      </c>
      <c r="AP138" s="19" t="s">
        <v>552</v>
      </c>
      <c r="AQ138" s="19" t="s">
        <v>555</v>
      </c>
      <c r="BD138" s="58"/>
      <c r="BM138" s="58"/>
      <c r="DK138" s="5">
        <f>0.034797*1000</f>
        <v>34.797000000000004</v>
      </c>
      <c r="DN138" s="5">
        <f>((0.5+0.53)/2)*1000</f>
        <v>515</v>
      </c>
    </row>
    <row r="139" spans="1:118" ht="13.15" hidden="1" customHeight="1" x14ac:dyDescent="0.2">
      <c r="A139" s="3" t="s">
        <v>353</v>
      </c>
      <c r="B139" s="4" t="s">
        <v>551</v>
      </c>
      <c r="C139" s="28">
        <v>2012</v>
      </c>
      <c r="D139" s="16">
        <v>71</v>
      </c>
      <c r="E139" s="16">
        <v>1</v>
      </c>
      <c r="F139" s="63" t="s">
        <v>1059</v>
      </c>
      <c r="G139" s="5" t="s">
        <v>553</v>
      </c>
      <c r="H139" s="5" t="s">
        <v>93</v>
      </c>
      <c r="I139" s="5" t="s">
        <v>1048</v>
      </c>
      <c r="J139" s="5" t="s">
        <v>7</v>
      </c>
      <c r="K139" s="48" t="s">
        <v>1046</v>
      </c>
      <c r="L139" s="5" t="s">
        <v>1049</v>
      </c>
      <c r="M139" s="5" t="s">
        <v>9</v>
      </c>
      <c r="N139" s="7">
        <v>0</v>
      </c>
      <c r="O139" s="7">
        <v>3.66</v>
      </c>
      <c r="P139" s="7" t="s">
        <v>554</v>
      </c>
      <c r="Q139" s="5" t="s">
        <v>293</v>
      </c>
      <c r="R139" s="5" t="s">
        <v>1028</v>
      </c>
      <c r="S139" s="5" t="s">
        <v>96</v>
      </c>
      <c r="T139" s="5" t="s">
        <v>1335</v>
      </c>
      <c r="U139" s="9">
        <f>1.086412*1000</f>
        <v>1086.412</v>
      </c>
      <c r="V139" s="9">
        <f t="shared" si="6"/>
        <v>7.9227204918764921E-2</v>
      </c>
      <c r="W139" s="9"/>
      <c r="X139" s="9"/>
      <c r="Y139" s="9">
        <f t="shared" si="8"/>
        <v>1003.66</v>
      </c>
      <c r="Z139" s="9"/>
      <c r="AA139" s="5" t="s">
        <v>12</v>
      </c>
      <c r="AB139" s="62" t="s">
        <v>1043</v>
      </c>
      <c r="AC139" s="5" t="s">
        <v>13</v>
      </c>
      <c r="AD139" s="3">
        <v>3</v>
      </c>
      <c r="AE139" s="5" t="s">
        <v>8</v>
      </c>
      <c r="AF139" s="5" t="s">
        <v>1279</v>
      </c>
      <c r="AG139" s="19" t="s">
        <v>8</v>
      </c>
      <c r="AH139" s="19" t="s">
        <v>8</v>
      </c>
      <c r="AI139" s="19" t="s">
        <v>8</v>
      </c>
      <c r="AJ139" s="19" t="s">
        <v>8</v>
      </c>
      <c r="AK139" s="5" t="s">
        <v>363</v>
      </c>
      <c r="AL139" s="5" t="s">
        <v>14</v>
      </c>
      <c r="AM139" s="5">
        <v>2010</v>
      </c>
      <c r="AN139" s="5" t="s">
        <v>44</v>
      </c>
      <c r="AO139" s="5" t="s">
        <v>44</v>
      </c>
      <c r="AP139" s="19" t="s">
        <v>552</v>
      </c>
      <c r="AQ139" s="19" t="s">
        <v>555</v>
      </c>
      <c r="BD139" s="58"/>
      <c r="BM139" s="58"/>
      <c r="DK139" s="5">
        <f>0.291122*1000</f>
        <v>291.12200000000001</v>
      </c>
      <c r="DN139" s="5">
        <f>((0.5+0.53)/2)*1000</f>
        <v>515</v>
      </c>
    </row>
    <row r="140" spans="1:118" ht="13.15" hidden="1" customHeight="1" x14ac:dyDescent="0.2">
      <c r="A140" s="3" t="s">
        <v>353</v>
      </c>
      <c r="B140" s="4" t="s">
        <v>558</v>
      </c>
      <c r="C140" s="28">
        <v>2013</v>
      </c>
      <c r="D140" s="16">
        <v>72</v>
      </c>
      <c r="E140" s="16">
        <v>2</v>
      </c>
      <c r="F140" s="63" t="s">
        <v>1056</v>
      </c>
      <c r="G140" s="19" t="s">
        <v>563</v>
      </c>
      <c r="H140" s="5" t="s">
        <v>93</v>
      </c>
      <c r="I140" s="5" t="s">
        <v>561</v>
      </c>
      <c r="J140" s="5" t="s">
        <v>1260</v>
      </c>
      <c r="K140" s="48" t="s">
        <v>726</v>
      </c>
      <c r="L140" s="5" t="s">
        <v>8</v>
      </c>
      <c r="M140" s="5" t="s">
        <v>9</v>
      </c>
      <c r="N140" s="7">
        <v>0</v>
      </c>
      <c r="O140" s="7">
        <v>3.66</v>
      </c>
      <c r="P140" s="7" t="s">
        <v>554</v>
      </c>
      <c r="Q140" s="5" t="s">
        <v>293</v>
      </c>
      <c r="R140" s="5" t="s">
        <v>1028</v>
      </c>
      <c r="S140" s="5" t="s">
        <v>96</v>
      </c>
      <c r="T140" s="5" t="s">
        <v>1335</v>
      </c>
      <c r="U140" s="9">
        <f>1.9*100</f>
        <v>190</v>
      </c>
      <c r="V140" s="9">
        <f t="shared" si="6"/>
        <v>-1.6643845253195533</v>
      </c>
      <c r="W140" s="9"/>
      <c r="X140" s="9"/>
      <c r="Y140" s="9">
        <f t="shared" si="8"/>
        <v>1003.66</v>
      </c>
      <c r="Z140" s="9"/>
      <c r="AA140" s="5" t="s">
        <v>12</v>
      </c>
      <c r="AB140" s="62" t="s">
        <v>1043</v>
      </c>
      <c r="AC140" s="5" t="s">
        <v>13</v>
      </c>
      <c r="AD140" s="3">
        <v>9</v>
      </c>
      <c r="AE140" s="5" t="s">
        <v>8</v>
      </c>
      <c r="AF140" s="5" t="s">
        <v>29</v>
      </c>
      <c r="AG140" s="19" t="s">
        <v>8</v>
      </c>
      <c r="AH140" s="19" t="s">
        <v>8</v>
      </c>
      <c r="AI140" s="19" t="s">
        <v>8</v>
      </c>
      <c r="AJ140" s="19" t="s">
        <v>8</v>
      </c>
      <c r="AK140" s="5" t="s">
        <v>84</v>
      </c>
      <c r="AL140" s="5" t="s">
        <v>8</v>
      </c>
      <c r="AM140" s="5">
        <v>2010</v>
      </c>
      <c r="AN140" s="5" t="s">
        <v>18</v>
      </c>
      <c r="AO140" s="5" t="s">
        <v>1028</v>
      </c>
      <c r="AP140" s="19" t="s">
        <v>559</v>
      </c>
      <c r="AQ140" s="19" t="s">
        <v>562</v>
      </c>
      <c r="BD140" s="58"/>
      <c r="BM140" s="58"/>
    </row>
    <row r="141" spans="1:118" ht="13.15" hidden="1" customHeight="1" x14ac:dyDescent="0.2">
      <c r="A141" s="3" t="s">
        <v>353</v>
      </c>
      <c r="B141" s="4" t="s">
        <v>558</v>
      </c>
      <c r="C141" s="28">
        <v>2013</v>
      </c>
      <c r="D141" s="16">
        <v>72</v>
      </c>
      <c r="E141" s="16">
        <v>4</v>
      </c>
      <c r="F141" s="63" t="s">
        <v>1056</v>
      </c>
      <c r="G141" s="19" t="s">
        <v>565</v>
      </c>
      <c r="H141" s="5" t="s">
        <v>93</v>
      </c>
      <c r="I141" s="5" t="s">
        <v>561</v>
      </c>
      <c r="J141" s="5" t="s">
        <v>1260</v>
      </c>
      <c r="K141" s="48" t="s">
        <v>726</v>
      </c>
      <c r="L141" s="5" t="s">
        <v>8</v>
      </c>
      <c r="M141" s="5" t="s">
        <v>9</v>
      </c>
      <c r="N141" s="7">
        <v>0</v>
      </c>
      <c r="O141" s="7">
        <v>3.66</v>
      </c>
      <c r="P141" s="7" t="s">
        <v>554</v>
      </c>
      <c r="Q141" s="5" t="s">
        <v>293</v>
      </c>
      <c r="R141" s="5" t="s">
        <v>1028</v>
      </c>
      <c r="S141" s="5" t="s">
        <v>96</v>
      </c>
      <c r="T141" s="5" t="s">
        <v>1335</v>
      </c>
      <c r="U141" s="9">
        <f>3.6*100</f>
        <v>360</v>
      </c>
      <c r="V141" s="9">
        <f t="shared" si="6"/>
        <v>-1.0253045660298838</v>
      </c>
      <c r="W141" s="9"/>
      <c r="X141" s="9"/>
      <c r="Y141" s="9">
        <f t="shared" si="8"/>
        <v>1003.66</v>
      </c>
      <c r="Z141" s="9"/>
      <c r="AA141" s="5" t="s">
        <v>12</v>
      </c>
      <c r="AB141" s="62" t="s">
        <v>1043</v>
      </c>
      <c r="AC141" s="5" t="s">
        <v>13</v>
      </c>
      <c r="AD141" s="3">
        <v>9</v>
      </c>
      <c r="AE141" s="5" t="s">
        <v>8</v>
      </c>
      <c r="AF141" s="5" t="s">
        <v>29</v>
      </c>
      <c r="AG141" s="19" t="s">
        <v>8</v>
      </c>
      <c r="AH141" s="19" t="s">
        <v>8</v>
      </c>
      <c r="AI141" s="19" t="s">
        <v>8</v>
      </c>
      <c r="AJ141" s="19" t="s">
        <v>8</v>
      </c>
      <c r="AK141" s="5" t="s">
        <v>84</v>
      </c>
      <c r="AL141" s="5" t="s">
        <v>8</v>
      </c>
      <c r="AM141" s="5">
        <v>2010</v>
      </c>
      <c r="AN141" s="5" t="s">
        <v>18</v>
      </c>
      <c r="AO141" s="5" t="s">
        <v>1028</v>
      </c>
      <c r="AP141" s="19" t="s">
        <v>559</v>
      </c>
      <c r="AQ141" s="19" t="s">
        <v>562</v>
      </c>
      <c r="BD141" s="58"/>
      <c r="BM141" s="58"/>
    </row>
    <row r="142" spans="1:118" ht="13.15" hidden="1" customHeight="1" x14ac:dyDescent="0.2">
      <c r="A142" s="3" t="s">
        <v>353</v>
      </c>
      <c r="B142" s="4" t="s">
        <v>558</v>
      </c>
      <c r="C142" s="28">
        <v>2013</v>
      </c>
      <c r="D142" s="16">
        <v>72</v>
      </c>
      <c r="E142" s="16">
        <v>1</v>
      </c>
      <c r="F142" s="63" t="s">
        <v>1056</v>
      </c>
      <c r="G142" s="5" t="s">
        <v>560</v>
      </c>
      <c r="H142" s="5" t="s">
        <v>93</v>
      </c>
      <c r="I142" s="5" t="s">
        <v>561</v>
      </c>
      <c r="J142" s="5" t="s">
        <v>1260</v>
      </c>
      <c r="K142" s="48" t="s">
        <v>726</v>
      </c>
      <c r="L142" s="5" t="s">
        <v>8</v>
      </c>
      <c r="M142" s="5" t="s">
        <v>9</v>
      </c>
      <c r="N142" s="7">
        <v>0</v>
      </c>
      <c r="O142" s="7">
        <v>3.66</v>
      </c>
      <c r="P142" s="7" t="s">
        <v>554</v>
      </c>
      <c r="Q142" s="5" t="s">
        <v>293</v>
      </c>
      <c r="R142" s="5" t="s">
        <v>1028</v>
      </c>
      <c r="S142" s="5" t="s">
        <v>96</v>
      </c>
      <c r="T142" s="5" t="s">
        <v>1335</v>
      </c>
      <c r="U142" s="9">
        <f>9.8*100</f>
        <v>980.00000000000011</v>
      </c>
      <c r="V142" s="9">
        <f t="shared" si="6"/>
        <v>-2.385602581542173E-2</v>
      </c>
      <c r="W142" s="9"/>
      <c r="X142" s="9"/>
      <c r="Y142" s="9">
        <f t="shared" si="8"/>
        <v>1003.66</v>
      </c>
      <c r="Z142" s="9"/>
      <c r="AA142" s="5" t="s">
        <v>12</v>
      </c>
      <c r="AB142" s="62" t="s">
        <v>1043</v>
      </c>
      <c r="AC142" s="5" t="s">
        <v>13</v>
      </c>
      <c r="AD142" s="3">
        <v>9</v>
      </c>
      <c r="AE142" s="5" t="s">
        <v>8</v>
      </c>
      <c r="AF142" s="5" t="s">
        <v>29</v>
      </c>
      <c r="AG142" s="19" t="s">
        <v>8</v>
      </c>
      <c r="AH142" s="19" t="s">
        <v>8</v>
      </c>
      <c r="AI142" s="19" t="s">
        <v>8</v>
      </c>
      <c r="AJ142" s="19" t="s">
        <v>8</v>
      </c>
      <c r="AK142" s="5" t="s">
        <v>84</v>
      </c>
      <c r="AL142" s="5" t="s">
        <v>8</v>
      </c>
      <c r="AM142" s="5">
        <v>2010</v>
      </c>
      <c r="AN142" s="5" t="s">
        <v>18</v>
      </c>
      <c r="AO142" s="5" t="s">
        <v>1028</v>
      </c>
      <c r="AP142" s="19" t="s">
        <v>559</v>
      </c>
      <c r="AQ142" s="19" t="s">
        <v>562</v>
      </c>
      <c r="BD142" s="58"/>
      <c r="BM142" s="58"/>
    </row>
    <row r="143" spans="1:118" ht="13.15" hidden="1" customHeight="1" x14ac:dyDescent="0.2">
      <c r="A143" s="3" t="s">
        <v>353</v>
      </c>
      <c r="B143" s="4" t="s">
        <v>558</v>
      </c>
      <c r="C143" s="28">
        <v>2013</v>
      </c>
      <c r="D143" s="16">
        <v>72</v>
      </c>
      <c r="E143" s="16">
        <v>3</v>
      </c>
      <c r="F143" s="63" t="s">
        <v>1056</v>
      </c>
      <c r="G143" s="19" t="s">
        <v>564</v>
      </c>
      <c r="H143" s="5" t="s">
        <v>93</v>
      </c>
      <c r="I143" s="5" t="s">
        <v>561</v>
      </c>
      <c r="J143" s="5" t="s">
        <v>1260</v>
      </c>
      <c r="K143" s="5" t="s">
        <v>726</v>
      </c>
      <c r="L143" s="5" t="s">
        <v>8</v>
      </c>
      <c r="M143" s="5" t="s">
        <v>9</v>
      </c>
      <c r="N143" s="7">
        <v>0</v>
      </c>
      <c r="O143" s="7">
        <v>3.66</v>
      </c>
      <c r="P143" s="7" t="s">
        <v>554</v>
      </c>
      <c r="Q143" s="5" t="s">
        <v>293</v>
      </c>
      <c r="R143" s="5" t="s">
        <v>1028</v>
      </c>
      <c r="S143" s="5" t="s">
        <v>96</v>
      </c>
      <c r="T143" s="5" t="s">
        <v>1335</v>
      </c>
      <c r="U143" s="9">
        <f>11.6*100</f>
        <v>1160</v>
      </c>
      <c r="V143" s="9">
        <f t="shared" si="6"/>
        <v>0.14476668662037093</v>
      </c>
      <c r="W143" s="9"/>
      <c r="X143" s="9"/>
      <c r="Y143" s="9">
        <f t="shared" si="8"/>
        <v>1003.66</v>
      </c>
      <c r="Z143" s="9"/>
      <c r="AA143" s="5" t="s">
        <v>12</v>
      </c>
      <c r="AB143" s="62" t="s">
        <v>1043</v>
      </c>
      <c r="AC143" s="5" t="s">
        <v>13</v>
      </c>
      <c r="AD143" s="3">
        <v>9</v>
      </c>
      <c r="AE143" s="5" t="s">
        <v>8</v>
      </c>
      <c r="AF143" s="5" t="s">
        <v>29</v>
      </c>
      <c r="AG143" s="19" t="s">
        <v>8</v>
      </c>
      <c r="AH143" s="19" t="s">
        <v>8</v>
      </c>
      <c r="AI143" s="19" t="s">
        <v>8</v>
      </c>
      <c r="AJ143" s="19" t="s">
        <v>8</v>
      </c>
      <c r="AK143" s="5" t="s">
        <v>84</v>
      </c>
      <c r="AL143" s="5" t="s">
        <v>8</v>
      </c>
      <c r="AM143" s="5">
        <v>2010</v>
      </c>
      <c r="AN143" s="5" t="s">
        <v>18</v>
      </c>
      <c r="AO143" s="5" t="s">
        <v>1028</v>
      </c>
      <c r="AP143" s="19" t="s">
        <v>559</v>
      </c>
      <c r="AQ143" s="19" t="s">
        <v>562</v>
      </c>
      <c r="BD143" s="58"/>
      <c r="BM143" s="58"/>
    </row>
    <row r="144" spans="1:118" ht="13.15" hidden="1" customHeight="1" x14ac:dyDescent="0.2">
      <c r="A144" s="3" t="s">
        <v>353</v>
      </c>
      <c r="B144" s="4" t="s">
        <v>566</v>
      </c>
      <c r="C144" s="28">
        <v>2015</v>
      </c>
      <c r="D144" s="16">
        <v>73</v>
      </c>
      <c r="E144" s="16">
        <v>2</v>
      </c>
      <c r="F144" s="63" t="s">
        <v>1095</v>
      </c>
      <c r="G144" s="19" t="s">
        <v>573</v>
      </c>
      <c r="H144" s="5" t="s">
        <v>93</v>
      </c>
      <c r="I144" s="5" t="s">
        <v>561</v>
      </c>
      <c r="J144" s="5" t="s">
        <v>1260</v>
      </c>
      <c r="K144" s="48" t="s">
        <v>1045</v>
      </c>
      <c r="L144" s="5" t="s">
        <v>8</v>
      </c>
      <c r="M144" s="5" t="s">
        <v>61</v>
      </c>
      <c r="N144" s="7">
        <v>0</v>
      </c>
      <c r="O144" s="7">
        <v>2.29</v>
      </c>
      <c r="P144" s="7" t="s">
        <v>569</v>
      </c>
      <c r="Q144" s="5" t="s">
        <v>293</v>
      </c>
      <c r="R144" s="5" t="s">
        <v>27</v>
      </c>
      <c r="S144" s="5" t="s">
        <v>96</v>
      </c>
      <c r="T144" s="5" t="s">
        <v>1335</v>
      </c>
      <c r="U144" s="9">
        <f>2.48/0.254</f>
        <v>9.7637795275590555</v>
      </c>
      <c r="V144" s="9">
        <f t="shared" si="6"/>
        <v>-0.2739777080561368</v>
      </c>
      <c r="W144" s="9"/>
      <c r="X144" s="9"/>
      <c r="Y144" s="9">
        <f>(2.68/0.254)+O144</f>
        <v>12.841181102362206</v>
      </c>
      <c r="Z144" s="9"/>
      <c r="AA144" s="5" t="s">
        <v>12</v>
      </c>
      <c r="AB144" s="7" t="s">
        <v>1044</v>
      </c>
      <c r="AC144" s="5" t="s">
        <v>74</v>
      </c>
      <c r="AD144" s="3">
        <v>9</v>
      </c>
      <c r="AE144" s="5" t="s">
        <v>8</v>
      </c>
      <c r="AF144" s="5" t="s">
        <v>531</v>
      </c>
      <c r="AG144" s="19" t="s">
        <v>1028</v>
      </c>
      <c r="AH144" s="19" t="s">
        <v>1028</v>
      </c>
      <c r="AI144" s="19" t="s">
        <v>1028</v>
      </c>
      <c r="AJ144" s="19" t="s">
        <v>1028</v>
      </c>
      <c r="AK144" s="5" t="s">
        <v>570</v>
      </c>
      <c r="AL144" s="5" t="s">
        <v>8</v>
      </c>
      <c r="AM144" s="5" t="s">
        <v>571</v>
      </c>
      <c r="AN144" s="5" t="s">
        <v>67</v>
      </c>
      <c r="AO144" s="5" t="s">
        <v>67</v>
      </c>
      <c r="AP144" s="19" t="s">
        <v>567</v>
      </c>
      <c r="AQ144" s="19" t="s">
        <v>572</v>
      </c>
      <c r="BD144" s="58"/>
      <c r="BM144" s="58"/>
    </row>
    <row r="145" spans="1:202" ht="13.15" hidden="1" customHeight="1" x14ac:dyDescent="0.2">
      <c r="A145" s="3" t="s">
        <v>353</v>
      </c>
      <c r="B145" s="4" t="s">
        <v>566</v>
      </c>
      <c r="C145" s="28">
        <v>2015</v>
      </c>
      <c r="D145" s="16">
        <v>73</v>
      </c>
      <c r="E145" s="16">
        <v>1</v>
      </c>
      <c r="F145" s="63" t="s">
        <v>1095</v>
      </c>
      <c r="G145" s="19" t="s">
        <v>568</v>
      </c>
      <c r="H145" s="5" t="s">
        <v>93</v>
      </c>
      <c r="I145" s="5" t="s">
        <v>561</v>
      </c>
      <c r="J145" s="5" t="s">
        <v>1260</v>
      </c>
      <c r="K145" s="48" t="s">
        <v>1045</v>
      </c>
      <c r="L145" s="5" t="s">
        <v>8</v>
      </c>
      <c r="M145" s="5" t="s">
        <v>61</v>
      </c>
      <c r="N145" s="7">
        <v>0</v>
      </c>
      <c r="O145" s="7">
        <v>2.29</v>
      </c>
      <c r="P145" s="7" t="s">
        <v>569</v>
      </c>
      <c r="Q145" s="5" t="s">
        <v>293</v>
      </c>
      <c r="R145" s="5" t="s">
        <v>27</v>
      </c>
      <c r="S145" s="5" t="s">
        <v>96</v>
      </c>
      <c r="T145" s="5" t="s">
        <v>1335</v>
      </c>
      <c r="U145" s="9">
        <f>2.75/0.254</f>
        <v>10.826771653543307</v>
      </c>
      <c r="V145" s="9">
        <f t="shared" si="6"/>
        <v>-0.17063535655454776</v>
      </c>
      <c r="W145" s="9"/>
      <c r="X145" s="9"/>
      <c r="Y145" s="9">
        <f>(2.68/0.254)+O145</f>
        <v>12.841181102362206</v>
      </c>
      <c r="Z145" s="9"/>
      <c r="AA145" s="5" t="s">
        <v>12</v>
      </c>
      <c r="AB145" s="7" t="s">
        <v>1044</v>
      </c>
      <c r="AC145" s="5" t="s">
        <v>74</v>
      </c>
      <c r="AD145" s="3">
        <v>9</v>
      </c>
      <c r="AE145" s="5" t="s">
        <v>8</v>
      </c>
      <c r="AF145" s="5" t="s">
        <v>531</v>
      </c>
      <c r="AG145" s="19" t="s">
        <v>1028</v>
      </c>
      <c r="AH145" s="19" t="s">
        <v>1028</v>
      </c>
      <c r="AI145" s="19" t="s">
        <v>1028</v>
      </c>
      <c r="AJ145" s="19" t="s">
        <v>1028</v>
      </c>
      <c r="AK145" s="5" t="s">
        <v>570</v>
      </c>
      <c r="AL145" s="5" t="s">
        <v>8</v>
      </c>
      <c r="AM145" s="5" t="s">
        <v>571</v>
      </c>
      <c r="AN145" s="5" t="s">
        <v>67</v>
      </c>
      <c r="AO145" s="5" t="s">
        <v>67</v>
      </c>
      <c r="AP145" s="19" t="s">
        <v>567</v>
      </c>
      <c r="AQ145" s="19" t="s">
        <v>572</v>
      </c>
      <c r="BD145" s="58"/>
      <c r="BM145" s="58"/>
    </row>
    <row r="146" spans="1:202" ht="13.15" hidden="1" customHeight="1" x14ac:dyDescent="0.2">
      <c r="A146" s="3" t="s">
        <v>353</v>
      </c>
      <c r="B146" s="4" t="s">
        <v>574</v>
      </c>
      <c r="C146" s="28">
        <v>2015</v>
      </c>
      <c r="D146" s="16">
        <v>74</v>
      </c>
      <c r="E146" s="16">
        <v>1</v>
      </c>
      <c r="F146" s="5" t="s">
        <v>1056</v>
      </c>
      <c r="G146" s="19" t="s">
        <v>1018</v>
      </c>
      <c r="H146" s="5" t="s">
        <v>5</v>
      </c>
      <c r="I146" s="5" t="s">
        <v>357</v>
      </c>
      <c r="J146" s="5" t="s">
        <v>1260</v>
      </c>
      <c r="K146" s="5" t="s">
        <v>726</v>
      </c>
      <c r="L146" s="5" t="s">
        <v>8</v>
      </c>
      <c r="M146" s="5" t="s">
        <v>9</v>
      </c>
      <c r="N146" s="7">
        <v>0</v>
      </c>
      <c r="O146" s="7">
        <v>3.66</v>
      </c>
      <c r="P146" s="7" t="s">
        <v>554</v>
      </c>
      <c r="Q146" s="5" t="s">
        <v>293</v>
      </c>
      <c r="R146" s="5" t="s">
        <v>1028</v>
      </c>
      <c r="S146" s="5" t="s">
        <v>96</v>
      </c>
      <c r="T146" s="5" t="s">
        <v>1335</v>
      </c>
      <c r="U146" s="9">
        <f>0.1068*1000</f>
        <v>106.80000000000001</v>
      </c>
      <c r="V146" s="9">
        <f t="shared" si="6"/>
        <v>-2.2404506709539449</v>
      </c>
      <c r="W146" s="9">
        <f>0.06075*1000</f>
        <v>60.75</v>
      </c>
      <c r="X146" s="9">
        <f>1.5*100</f>
        <v>150</v>
      </c>
      <c r="Y146" s="9">
        <f>(((0.7+1.3)/2)*1000)+O146</f>
        <v>1003.66</v>
      </c>
      <c r="Z146" s="9"/>
      <c r="AA146" s="5" t="s">
        <v>12</v>
      </c>
      <c r="AB146" s="62" t="s">
        <v>1043</v>
      </c>
      <c r="AC146" s="5" t="s">
        <v>13</v>
      </c>
      <c r="AD146" s="3">
        <v>3</v>
      </c>
      <c r="AE146" s="5" t="s">
        <v>8</v>
      </c>
      <c r="AF146" s="5" t="s">
        <v>1279</v>
      </c>
      <c r="AG146" s="19" t="s">
        <v>8</v>
      </c>
      <c r="AH146" s="19" t="s">
        <v>8</v>
      </c>
      <c r="AI146" s="19" t="s">
        <v>8</v>
      </c>
      <c r="AJ146" s="19" t="s">
        <v>8</v>
      </c>
      <c r="AK146" s="5" t="s">
        <v>363</v>
      </c>
      <c r="AL146" s="5" t="s">
        <v>8</v>
      </c>
      <c r="AM146" s="5">
        <v>2015</v>
      </c>
      <c r="AN146" s="5" t="s">
        <v>67</v>
      </c>
      <c r="AO146" s="5" t="s">
        <v>67</v>
      </c>
      <c r="AP146" s="19" t="s">
        <v>575</v>
      </c>
      <c r="AQ146" s="19" t="s">
        <v>576</v>
      </c>
      <c r="BD146" s="58"/>
      <c r="BM146" s="58"/>
      <c r="DA146" s="68"/>
    </row>
    <row r="147" spans="1:202" ht="13.15" hidden="1" customHeight="1" x14ac:dyDescent="0.2">
      <c r="A147" s="3" t="s">
        <v>353</v>
      </c>
      <c r="B147" s="4" t="s">
        <v>574</v>
      </c>
      <c r="C147" s="28">
        <v>2015</v>
      </c>
      <c r="D147" s="16">
        <v>74</v>
      </c>
      <c r="E147" s="16">
        <v>2</v>
      </c>
      <c r="F147" s="5" t="s">
        <v>1056</v>
      </c>
      <c r="G147" s="19" t="s">
        <v>1018</v>
      </c>
      <c r="H147" s="5" t="s">
        <v>5</v>
      </c>
      <c r="I147" s="5" t="s">
        <v>357</v>
      </c>
      <c r="J147" s="5" t="s">
        <v>1260</v>
      </c>
      <c r="K147" s="5" t="s">
        <v>1045</v>
      </c>
      <c r="L147" s="5" t="s">
        <v>8</v>
      </c>
      <c r="M147" s="5" t="s">
        <v>9</v>
      </c>
      <c r="N147" s="7">
        <v>0</v>
      </c>
      <c r="O147" s="7">
        <v>3.66</v>
      </c>
      <c r="P147" s="7" t="s">
        <v>554</v>
      </c>
      <c r="Q147" s="5" t="s">
        <v>293</v>
      </c>
      <c r="R147" s="5" t="s">
        <v>1028</v>
      </c>
      <c r="S147" s="5" t="s">
        <v>96</v>
      </c>
      <c r="T147" s="5" t="s">
        <v>1335</v>
      </c>
      <c r="U147" s="9">
        <f>0.1416*1000</f>
        <v>141.6</v>
      </c>
      <c r="V147" s="9">
        <f t="shared" si="6"/>
        <v>-1.9584024162204201</v>
      </c>
      <c r="W147" s="9">
        <f>0.0955*1000</f>
        <v>95.5</v>
      </c>
      <c r="X147" s="9">
        <v>190</v>
      </c>
      <c r="Y147" s="9">
        <f>(((0.7+1.3)/2)*1000)+O147</f>
        <v>1003.66</v>
      </c>
      <c r="Z147" s="9"/>
      <c r="AA147" s="5" t="s">
        <v>12</v>
      </c>
      <c r="AB147" s="62" t="s">
        <v>1043</v>
      </c>
      <c r="AC147" s="5" t="s">
        <v>13</v>
      </c>
      <c r="AD147" s="3">
        <v>3</v>
      </c>
      <c r="AE147" s="5" t="s">
        <v>8</v>
      </c>
      <c r="AF147" s="5" t="s">
        <v>1279</v>
      </c>
      <c r="AG147" s="19" t="s">
        <v>8</v>
      </c>
      <c r="AH147" s="19" t="s">
        <v>8</v>
      </c>
      <c r="AI147" s="19" t="s">
        <v>8</v>
      </c>
      <c r="AJ147" s="19" t="s">
        <v>8</v>
      </c>
      <c r="AK147" s="5" t="s">
        <v>363</v>
      </c>
      <c r="AL147" s="5" t="s">
        <v>8</v>
      </c>
      <c r="AM147" s="5">
        <v>2015</v>
      </c>
      <c r="AN147" s="5" t="s">
        <v>67</v>
      </c>
      <c r="AO147" s="5" t="s">
        <v>67</v>
      </c>
      <c r="AP147" s="19" t="s">
        <v>575</v>
      </c>
      <c r="AQ147" s="19" t="s">
        <v>576</v>
      </c>
      <c r="BD147" s="58"/>
      <c r="BM147" s="58"/>
    </row>
    <row r="148" spans="1:202" ht="13.15" hidden="1" customHeight="1" x14ac:dyDescent="0.2">
      <c r="A148" s="3" t="s">
        <v>287</v>
      </c>
      <c r="B148" s="4" t="s">
        <v>577</v>
      </c>
      <c r="C148" s="28">
        <v>2015</v>
      </c>
      <c r="D148" s="16">
        <v>75</v>
      </c>
      <c r="E148" s="16">
        <v>2</v>
      </c>
      <c r="F148" s="63" t="s">
        <v>1104</v>
      </c>
      <c r="G148" s="5" t="s">
        <v>582</v>
      </c>
      <c r="H148" s="5" t="s">
        <v>93</v>
      </c>
      <c r="I148" s="5" t="s">
        <v>580</v>
      </c>
      <c r="J148" s="5" t="s">
        <v>1260</v>
      </c>
      <c r="K148" s="5" t="s">
        <v>1046</v>
      </c>
      <c r="L148" s="5" t="s">
        <v>1049</v>
      </c>
      <c r="M148" s="5" t="s">
        <v>61</v>
      </c>
      <c r="N148" s="8">
        <v>0</v>
      </c>
      <c r="O148" s="8">
        <f>1.74*0.7</f>
        <v>1.218</v>
      </c>
      <c r="P148" s="8" t="s">
        <v>541</v>
      </c>
      <c r="Q148" s="9" t="s">
        <v>309</v>
      </c>
      <c r="R148" s="9" t="s">
        <v>27</v>
      </c>
      <c r="S148" s="9" t="s">
        <v>96</v>
      </c>
      <c r="T148" s="5" t="s">
        <v>1335</v>
      </c>
      <c r="U148" s="9">
        <f>8.66</f>
        <v>8.66</v>
      </c>
      <c r="V148" s="9">
        <f t="shared" si="6"/>
        <v>0.49431219877566146</v>
      </c>
      <c r="W148" s="9"/>
      <c r="X148" s="9"/>
      <c r="Y148" s="9">
        <f>(5.04/1.24)+O148</f>
        <v>5.282516129032258</v>
      </c>
      <c r="Z148" s="9"/>
      <c r="AA148" s="5" t="s">
        <v>12</v>
      </c>
      <c r="AB148" s="62" t="s">
        <v>1043</v>
      </c>
      <c r="AC148" s="5" t="s">
        <v>13</v>
      </c>
      <c r="AD148" s="3">
        <v>9</v>
      </c>
      <c r="AE148" s="5" t="s">
        <v>8</v>
      </c>
      <c r="AF148" s="5" t="s">
        <v>531</v>
      </c>
      <c r="AG148" s="19" t="s">
        <v>8</v>
      </c>
      <c r="AH148" s="19" t="s">
        <v>8</v>
      </c>
      <c r="AI148" s="19" t="s">
        <v>8</v>
      </c>
      <c r="AJ148" s="19" t="s">
        <v>8</v>
      </c>
      <c r="AK148" s="5" t="s">
        <v>145</v>
      </c>
      <c r="AL148" s="5" t="s">
        <v>8</v>
      </c>
      <c r="AM148" s="5">
        <v>2012</v>
      </c>
      <c r="AN148" s="5" t="s">
        <v>67</v>
      </c>
      <c r="AO148" s="5" t="s">
        <v>67</v>
      </c>
      <c r="AP148" s="19" t="s">
        <v>578</v>
      </c>
      <c r="AQ148" s="19" t="s">
        <v>581</v>
      </c>
      <c r="BD148" s="58"/>
      <c r="BM148" s="58"/>
      <c r="CL148" s="9">
        <f>151.73</f>
        <v>151.72999999999999</v>
      </c>
      <c r="CM148" s="9"/>
      <c r="CN148" s="9"/>
      <c r="CO148" s="9">
        <f>106.72/1.24</f>
        <v>86.064516129032256</v>
      </c>
    </row>
    <row r="149" spans="1:202" ht="13.15" hidden="1" customHeight="1" x14ac:dyDescent="0.2">
      <c r="A149" s="3" t="s">
        <v>287</v>
      </c>
      <c r="B149" s="4" t="s">
        <v>577</v>
      </c>
      <c r="C149" s="28">
        <v>2015</v>
      </c>
      <c r="D149" s="16">
        <v>75</v>
      </c>
      <c r="E149" s="16">
        <v>1</v>
      </c>
      <c r="F149" s="63" t="s">
        <v>1106</v>
      </c>
      <c r="G149" s="5" t="s">
        <v>579</v>
      </c>
      <c r="H149" s="5" t="s">
        <v>5</v>
      </c>
      <c r="I149" s="5" t="s">
        <v>580</v>
      </c>
      <c r="J149" s="5" t="s">
        <v>1260</v>
      </c>
      <c r="K149" s="48" t="s">
        <v>1046</v>
      </c>
      <c r="L149" s="5" t="s">
        <v>1049</v>
      </c>
      <c r="M149" s="5" t="s">
        <v>61</v>
      </c>
      <c r="N149" s="8">
        <v>0</v>
      </c>
      <c r="O149" s="8">
        <f>1.74*0.7</f>
        <v>1.218</v>
      </c>
      <c r="P149" s="8" t="s">
        <v>541</v>
      </c>
      <c r="Q149" s="9" t="s">
        <v>309</v>
      </c>
      <c r="R149" s="9" t="s">
        <v>27</v>
      </c>
      <c r="S149" s="9" t="s">
        <v>96</v>
      </c>
      <c r="T149" s="5" t="s">
        <v>1335</v>
      </c>
      <c r="U149" s="9">
        <f>13.84/1.17</f>
        <v>11.82905982905983</v>
      </c>
      <c r="V149" s="9">
        <f t="shared" si="6"/>
        <v>0.80615667758117648</v>
      </c>
      <c r="W149" s="9"/>
      <c r="X149" s="9"/>
      <c r="Y149" s="9">
        <f>(5.04/1.24)+O149</f>
        <v>5.282516129032258</v>
      </c>
      <c r="Z149" s="9"/>
      <c r="AA149" s="5" t="s">
        <v>12</v>
      </c>
      <c r="AB149" s="62" t="s">
        <v>1043</v>
      </c>
      <c r="AC149" s="5" t="s">
        <v>13</v>
      </c>
      <c r="AD149" s="3">
        <v>9</v>
      </c>
      <c r="AE149" s="5" t="s">
        <v>8</v>
      </c>
      <c r="AF149" s="5" t="s">
        <v>531</v>
      </c>
      <c r="AG149" s="19" t="s">
        <v>8</v>
      </c>
      <c r="AH149" s="19" t="s">
        <v>8</v>
      </c>
      <c r="AI149" s="19" t="s">
        <v>8</v>
      </c>
      <c r="AJ149" s="19" t="s">
        <v>8</v>
      </c>
      <c r="AK149" s="5" t="s">
        <v>145</v>
      </c>
      <c r="AL149" s="5" t="s">
        <v>8</v>
      </c>
      <c r="AM149" s="5">
        <v>2012</v>
      </c>
      <c r="AN149" s="5" t="s">
        <v>67</v>
      </c>
      <c r="AO149" s="5" t="s">
        <v>67</v>
      </c>
      <c r="AP149" s="19" t="s">
        <v>578</v>
      </c>
      <c r="AQ149" s="19" t="s">
        <v>581</v>
      </c>
      <c r="BD149" s="58"/>
      <c r="BM149" s="58"/>
      <c r="CL149" s="9">
        <f>275.22/1.17</f>
        <v>235.23076923076925</v>
      </c>
      <c r="CM149" s="9"/>
      <c r="CN149" s="9"/>
      <c r="CO149" s="9">
        <f>106.72/1.24</f>
        <v>86.064516129032256</v>
      </c>
    </row>
    <row r="150" spans="1:202" hidden="1" x14ac:dyDescent="0.2">
      <c r="A150" s="3" t="s">
        <v>259</v>
      </c>
      <c r="B150" s="4" t="s">
        <v>583</v>
      </c>
      <c r="C150" s="28">
        <v>2008</v>
      </c>
      <c r="D150" s="16">
        <v>76</v>
      </c>
      <c r="E150" s="16">
        <v>1</v>
      </c>
      <c r="F150" s="5" t="s">
        <v>1070</v>
      </c>
      <c r="G150" s="5" t="s">
        <v>585</v>
      </c>
      <c r="H150" s="5" t="s">
        <v>5</v>
      </c>
      <c r="I150" s="5" t="s">
        <v>369</v>
      </c>
      <c r="J150" s="5" t="s">
        <v>7</v>
      </c>
      <c r="K150" s="48" t="s">
        <v>1046</v>
      </c>
      <c r="L150" s="5" t="s">
        <v>1049</v>
      </c>
      <c r="M150" s="5" t="s">
        <v>9</v>
      </c>
      <c r="N150" s="8">
        <v>0</v>
      </c>
      <c r="O150" s="8">
        <v>3.12</v>
      </c>
      <c r="P150" s="8" t="s">
        <v>586</v>
      </c>
      <c r="Q150" s="9" t="s">
        <v>39</v>
      </c>
      <c r="R150" s="9" t="s">
        <v>67</v>
      </c>
      <c r="S150" s="9" t="s">
        <v>96</v>
      </c>
      <c r="T150" s="5" t="s">
        <v>1335</v>
      </c>
      <c r="U150" s="9">
        <f>1.15</f>
        <v>1.1499999999999999</v>
      </c>
      <c r="V150" s="9">
        <f t="shared" si="6"/>
        <v>-1.1894328267041592</v>
      </c>
      <c r="W150" s="9"/>
      <c r="X150" s="9"/>
      <c r="Y150" s="9">
        <f>O150+0.658</f>
        <v>3.778</v>
      </c>
      <c r="Z150" s="9"/>
      <c r="AA150" s="5" t="s">
        <v>12</v>
      </c>
      <c r="AB150" s="62" t="s">
        <v>1043</v>
      </c>
      <c r="AC150" s="5" t="s">
        <v>13</v>
      </c>
      <c r="AD150" s="3">
        <v>9</v>
      </c>
      <c r="AE150" s="5" t="s">
        <v>8</v>
      </c>
      <c r="AF150" s="5" t="s">
        <v>531</v>
      </c>
      <c r="AG150" s="19" t="s">
        <v>8</v>
      </c>
      <c r="AH150" s="19" t="s">
        <v>8</v>
      </c>
      <c r="AI150" s="19" t="s">
        <v>8</v>
      </c>
      <c r="AJ150" s="19" t="s">
        <v>8</v>
      </c>
      <c r="AK150" s="5" t="s">
        <v>84</v>
      </c>
      <c r="AL150" s="5" t="s">
        <v>8</v>
      </c>
      <c r="AM150" s="5">
        <v>2005</v>
      </c>
      <c r="AN150" s="5" t="s">
        <v>67</v>
      </c>
      <c r="AO150" s="5" t="s">
        <v>67</v>
      </c>
      <c r="AP150" s="19" t="s">
        <v>584</v>
      </c>
      <c r="AQ150" s="19" t="s">
        <v>587</v>
      </c>
      <c r="AZ150" s="5">
        <v>1.37E-2</v>
      </c>
      <c r="BC150" s="5">
        <v>3.7000000000000002E-3</v>
      </c>
      <c r="BD150" s="58">
        <f>LN(AZ150/BC150)</f>
        <v>1.3090630131839005</v>
      </c>
      <c r="BI150" s="5">
        <v>8.1700000000000002E-3</v>
      </c>
      <c r="BL150" s="5">
        <v>1.73E-4</v>
      </c>
      <c r="BM150" s="58">
        <f>LN(BI150/BL150)</f>
        <v>3.8549325933562697</v>
      </c>
      <c r="CP150" s="5">
        <v>2.1599999999999999E-4</v>
      </c>
      <c r="CS150" s="5">
        <v>1.0859999999999999E-3</v>
      </c>
    </row>
    <row r="151" spans="1:202" ht="13.15" hidden="1" customHeight="1" x14ac:dyDescent="0.2">
      <c r="A151" s="3" t="s">
        <v>1</v>
      </c>
      <c r="B151" s="4" t="s">
        <v>588</v>
      </c>
      <c r="C151" s="28">
        <v>2013</v>
      </c>
      <c r="D151" s="16">
        <v>77</v>
      </c>
      <c r="E151" s="16">
        <v>1</v>
      </c>
      <c r="F151" s="5" t="s">
        <v>1109</v>
      </c>
      <c r="G151" s="5" t="s">
        <v>590</v>
      </c>
      <c r="H151" s="5" t="s">
        <v>93</v>
      </c>
      <c r="I151" s="5" t="s">
        <v>591</v>
      </c>
      <c r="J151" s="5" t="s">
        <v>25</v>
      </c>
      <c r="K151" s="48" t="s">
        <v>726</v>
      </c>
      <c r="L151" s="5" t="s">
        <v>8</v>
      </c>
      <c r="M151" s="5" t="s">
        <v>9</v>
      </c>
      <c r="N151" s="85">
        <v>2.2999999999999998</v>
      </c>
      <c r="O151" s="85">
        <v>1.42</v>
      </c>
      <c r="P151" s="7" t="s">
        <v>592</v>
      </c>
      <c r="Q151" s="5" t="s">
        <v>309</v>
      </c>
      <c r="R151" s="5" t="s">
        <v>67</v>
      </c>
      <c r="S151" s="5" t="s">
        <v>593</v>
      </c>
      <c r="T151" s="5" t="s">
        <v>1335</v>
      </c>
      <c r="U151" s="9">
        <f>0.57+N151</f>
        <v>2.8699999999999997</v>
      </c>
      <c r="V151" s="9">
        <f t="shared" si="6"/>
        <v>-0.63762710417431434</v>
      </c>
      <c r="W151" s="9"/>
      <c r="X151" s="9"/>
      <c r="Y151" s="9">
        <f>4.01+O151</f>
        <v>5.43</v>
      </c>
      <c r="Z151" s="9"/>
      <c r="AA151" s="5" t="s">
        <v>12</v>
      </c>
      <c r="AB151" s="62" t="s">
        <v>1043</v>
      </c>
      <c r="AC151" s="5" t="s">
        <v>13</v>
      </c>
      <c r="AD151" s="3">
        <v>9</v>
      </c>
      <c r="AE151" s="5" t="s">
        <v>8</v>
      </c>
      <c r="AF151" s="5" t="s">
        <v>1305</v>
      </c>
      <c r="AG151" s="19" t="s">
        <v>8</v>
      </c>
      <c r="AH151" s="19" t="s">
        <v>14</v>
      </c>
      <c r="AI151" s="19" t="s">
        <v>14</v>
      </c>
      <c r="AJ151" s="19" t="s">
        <v>8</v>
      </c>
      <c r="AK151" s="5" t="s">
        <v>594</v>
      </c>
      <c r="AL151" s="5" t="s">
        <v>8</v>
      </c>
      <c r="AM151" s="5" t="s">
        <v>595</v>
      </c>
      <c r="AN151" s="5" t="s">
        <v>67</v>
      </c>
      <c r="AO151" s="5" t="s">
        <v>67</v>
      </c>
      <c r="AP151" s="19" t="s">
        <v>589</v>
      </c>
      <c r="AQ151" s="19" t="s">
        <v>596</v>
      </c>
      <c r="AR151" s="18">
        <v>3.5999999999999999E-7</v>
      </c>
      <c r="AS151" s="18"/>
      <c r="AT151" s="18"/>
      <c r="AU151" s="18">
        <v>1.5300000000000001E-8</v>
      </c>
      <c r="BD151" s="58"/>
      <c r="BM151" s="58"/>
      <c r="CT151" s="5">
        <v>48</v>
      </c>
      <c r="CW151" s="5">
        <v>88.9</v>
      </c>
      <c r="CX151" s="59">
        <f>LN(CT151/CW151)</f>
        <v>-0.61631113161196815</v>
      </c>
      <c r="DW151" s="27">
        <v>5.2999999999999998E-4</v>
      </c>
      <c r="DZ151" s="5">
        <v>3.49E-3</v>
      </c>
      <c r="GM151" s="5">
        <v>2.3E-2</v>
      </c>
      <c r="GP151" s="5">
        <v>5.2499999999999998E-2</v>
      </c>
      <c r="GQ151" s="5">
        <v>6.8999999999999999E-3</v>
      </c>
      <c r="GT151" s="5">
        <v>2.3400000000000001E-2</v>
      </c>
    </row>
    <row r="152" spans="1:202" ht="13.15" customHeight="1" x14ac:dyDescent="0.2">
      <c r="A152" s="103" t="s">
        <v>329</v>
      </c>
      <c r="B152" s="104" t="s">
        <v>240</v>
      </c>
      <c r="C152" s="105">
        <v>2020</v>
      </c>
      <c r="D152" s="106">
        <v>27</v>
      </c>
      <c r="E152" s="106">
        <v>2</v>
      </c>
      <c r="F152" s="103" t="s">
        <v>1058</v>
      </c>
      <c r="G152" s="5" t="s">
        <v>242</v>
      </c>
      <c r="H152" s="5" t="s">
        <v>5</v>
      </c>
      <c r="I152" s="5" t="s">
        <v>37</v>
      </c>
      <c r="J152" s="5" t="s">
        <v>25</v>
      </c>
      <c r="K152" s="5" t="s">
        <v>726</v>
      </c>
      <c r="L152" s="5" t="s">
        <v>8</v>
      </c>
      <c r="M152" s="5" t="s">
        <v>179</v>
      </c>
      <c r="N152" s="7">
        <v>0</v>
      </c>
      <c r="O152" s="7">
        <v>1.83</v>
      </c>
      <c r="P152" s="107" t="s">
        <v>1023</v>
      </c>
      <c r="Q152" s="103" t="s">
        <v>39</v>
      </c>
      <c r="R152" s="103" t="s">
        <v>1028</v>
      </c>
      <c r="S152" s="103" t="s">
        <v>96</v>
      </c>
      <c r="T152" s="103" t="s">
        <v>1336</v>
      </c>
      <c r="U152" s="108">
        <f>0.0024</f>
        <v>2.3999999999999998E-3</v>
      </c>
      <c r="V152" s="108">
        <f t="shared" si="6"/>
        <v>-1.9367072174011959</v>
      </c>
      <c r="W152" s="108"/>
      <c r="X152" s="108"/>
      <c r="Y152" s="108">
        <f>(0.0081)+((O152/1000)*4.67)</f>
        <v>1.6646099999999997E-2</v>
      </c>
      <c r="Z152" s="108"/>
      <c r="AA152" s="103" t="s">
        <v>12</v>
      </c>
      <c r="AB152" s="109" t="s">
        <v>1043</v>
      </c>
      <c r="AC152" s="103" t="s">
        <v>64</v>
      </c>
      <c r="AD152" s="103">
        <v>9</v>
      </c>
      <c r="AE152" s="103" t="s">
        <v>8</v>
      </c>
      <c r="AF152" s="103" t="s">
        <v>1285</v>
      </c>
      <c r="AG152" s="103" t="s">
        <v>8</v>
      </c>
      <c r="AH152" s="103" t="s">
        <v>8</v>
      </c>
      <c r="AI152" s="103" t="s">
        <v>8</v>
      </c>
      <c r="AJ152" s="103" t="s">
        <v>14</v>
      </c>
      <c r="AK152" s="103" t="s">
        <v>84</v>
      </c>
      <c r="AL152" s="103" t="s">
        <v>8</v>
      </c>
      <c r="AM152" s="103" t="s">
        <v>243</v>
      </c>
      <c r="AN152" s="103" t="s">
        <v>1028</v>
      </c>
      <c r="AO152" s="103" t="s">
        <v>1028</v>
      </c>
      <c r="AP152" s="103" t="s">
        <v>241</v>
      </c>
      <c r="AQ152" s="103" t="s">
        <v>244</v>
      </c>
      <c r="AR152" s="103"/>
      <c r="AS152" s="103"/>
      <c r="AT152" s="103"/>
      <c r="AU152" s="103"/>
      <c r="AV152" s="103"/>
      <c r="AW152" s="103"/>
      <c r="AX152" s="103"/>
      <c r="AY152" s="103"/>
      <c r="AZ152" s="103"/>
      <c r="BA152" s="103"/>
      <c r="BB152" s="103"/>
      <c r="BC152" s="103"/>
      <c r="BD152" s="111"/>
      <c r="BE152" s="110">
        <f>((0.0000357)/5.58)*1000</f>
        <v>6.3978494623655917E-3</v>
      </c>
      <c r="BF152" s="110"/>
      <c r="BG152" s="110"/>
      <c r="BH152" s="110">
        <f>(((0.000611)/4.67)*1000)</f>
        <v>0.13083511777301926</v>
      </c>
      <c r="BI152" s="110">
        <f>((0.0000045)/5.58)*1000</f>
        <v>8.0645161290322581E-4</v>
      </c>
      <c r="BJ152" s="103"/>
      <c r="BK152" s="103"/>
      <c r="BL152" s="103">
        <f>(((0.00000352)/4.67)*1000)</f>
        <v>7.5374732334047118E-4</v>
      </c>
      <c r="BM152" s="111">
        <f>LN(BI152/BL152)</f>
        <v>6.7586702453854633E-2</v>
      </c>
      <c r="BN152" s="103"/>
      <c r="BO152" s="103"/>
      <c r="BP152" s="103"/>
      <c r="BQ152" s="103"/>
      <c r="BR152" s="112">
        <f>((0.000000155)/5.58)*1000</f>
        <v>2.7777777777777776E-5</v>
      </c>
      <c r="BS152" s="103"/>
      <c r="BT152" s="103"/>
      <c r="BU152" s="112">
        <f>(((0.000000352)/4.67)*1000)</f>
        <v>7.5374732334047097E-5</v>
      </c>
      <c r="BV152" s="103"/>
      <c r="BW152" s="103"/>
      <c r="BX152" s="103"/>
      <c r="BY152" s="103"/>
      <c r="BZ152" s="103"/>
      <c r="CA152" s="103"/>
      <c r="CB152" s="103"/>
      <c r="CC152" s="103"/>
      <c r="CD152" s="103"/>
      <c r="CE152" s="103"/>
      <c r="CF152" s="103"/>
      <c r="CG152" s="103"/>
      <c r="CH152" s="103"/>
      <c r="CI152" s="103"/>
      <c r="CJ152" s="103"/>
      <c r="CK152" s="103"/>
      <c r="CL152" s="108">
        <f>((0.162)/5.58)*1000</f>
        <v>29.032258064516132</v>
      </c>
      <c r="CM152" s="108"/>
      <c r="CN152" s="108"/>
      <c r="CO152" s="108">
        <f>(((0.397)/4.67)*1000)</f>
        <v>85.010706638115636</v>
      </c>
      <c r="CP152" s="103"/>
      <c r="CQ152" s="103"/>
      <c r="CR152" s="103"/>
      <c r="CS152" s="103"/>
      <c r="CT152" s="103"/>
      <c r="CU152" s="103"/>
      <c r="CV152" s="103"/>
      <c r="CW152" s="103"/>
      <c r="CX152" s="113"/>
      <c r="CY152" s="103"/>
      <c r="CZ152" s="103"/>
      <c r="DA152" s="127"/>
      <c r="DB152" s="103"/>
      <c r="DC152" s="103"/>
      <c r="DD152" s="103"/>
      <c r="DE152" s="103"/>
      <c r="DF152" s="103"/>
      <c r="DG152" s="103"/>
      <c r="DH152" s="103"/>
      <c r="DI152" s="103"/>
      <c r="DJ152" s="103"/>
      <c r="DK152" s="103"/>
      <c r="DL152" s="103"/>
      <c r="DM152" s="103"/>
      <c r="DN152" s="103"/>
      <c r="DO152" s="103"/>
      <c r="DP152" s="103"/>
      <c r="DQ152" s="103"/>
      <c r="DR152" s="103"/>
      <c r="DS152" s="103"/>
      <c r="DT152" s="103"/>
      <c r="DU152" s="103"/>
      <c r="DV152" s="103"/>
      <c r="DW152" s="103"/>
      <c r="DX152" s="103"/>
      <c r="DY152" s="103"/>
      <c r="DZ152" s="103"/>
      <c r="EA152" s="103">
        <f>((0.000611)/5.58)*1000</f>
        <v>0.10949820788530466</v>
      </c>
      <c r="EB152" s="128">
        <f>LN(EA152/ED152)</f>
        <v>-3.4050555339425386</v>
      </c>
      <c r="EC152" s="103"/>
      <c r="ED152" s="103">
        <f>(((0.0154)/4.67)*1000)</f>
        <v>3.2976445396145611</v>
      </c>
      <c r="EE152" s="103"/>
      <c r="EF152" s="103"/>
      <c r="EG152" s="103"/>
      <c r="EH152" s="103"/>
      <c r="EI152" s="103"/>
      <c r="EJ152" s="103"/>
      <c r="EK152" s="103"/>
      <c r="EL152" s="103"/>
      <c r="EM152" s="103"/>
      <c r="EN152" s="103"/>
      <c r="EO152" s="103"/>
      <c r="EP152" s="103"/>
      <c r="EQ152" s="103"/>
      <c r="ER152" s="103"/>
      <c r="ES152" s="103"/>
      <c r="ET152" s="103"/>
      <c r="EU152" s="103"/>
      <c r="EV152" s="103"/>
      <c r="EW152" s="103"/>
      <c r="EX152" s="103"/>
      <c r="EY152" s="103"/>
      <c r="EZ152" s="103"/>
      <c r="FA152" s="103"/>
      <c r="FB152" s="103"/>
      <c r="FC152" s="103"/>
      <c r="FD152" s="103"/>
      <c r="FE152" s="103"/>
      <c r="FF152" s="103"/>
      <c r="FG152" s="103"/>
      <c r="FH152" s="103"/>
      <c r="FI152" s="103"/>
      <c r="FJ152" s="103"/>
      <c r="FK152" s="103"/>
      <c r="FL152" s="103"/>
      <c r="FM152" s="103"/>
      <c r="FN152" s="103"/>
      <c r="FO152" s="103"/>
      <c r="FP152" s="103"/>
      <c r="FQ152" s="103"/>
      <c r="FR152" s="103"/>
      <c r="FS152" s="103"/>
      <c r="FT152" s="103"/>
      <c r="FU152" s="103"/>
      <c r="FV152" s="103"/>
      <c r="FW152" s="103"/>
      <c r="FX152" s="103"/>
      <c r="FY152" s="103"/>
      <c r="FZ152" s="103"/>
      <c r="GA152" s="103"/>
      <c r="GB152" s="103"/>
      <c r="GC152" s="103"/>
      <c r="GD152" s="103"/>
      <c r="GE152" s="103"/>
      <c r="GF152" s="103"/>
      <c r="GG152" s="103"/>
      <c r="GH152" s="103"/>
      <c r="GI152" s="103"/>
      <c r="GJ152" s="103"/>
      <c r="GK152" s="103"/>
      <c r="GL152" s="103"/>
      <c r="GM152" s="103"/>
      <c r="GN152" s="103"/>
      <c r="GO152" s="103"/>
      <c r="GP152" s="103"/>
      <c r="GQ152" s="103"/>
      <c r="GR152" s="103"/>
      <c r="GS152" s="103"/>
      <c r="GT152" s="103"/>
    </row>
    <row r="153" spans="1:202" ht="13.15" hidden="1" customHeight="1" x14ac:dyDescent="0.25">
      <c r="A153" s="3" t="s">
        <v>287</v>
      </c>
      <c r="B153" s="65" t="s">
        <v>604</v>
      </c>
      <c r="C153" s="28">
        <v>2014</v>
      </c>
      <c r="D153" s="16">
        <v>79</v>
      </c>
      <c r="E153" s="16">
        <v>1</v>
      </c>
      <c r="F153" s="5" t="s">
        <v>1117</v>
      </c>
      <c r="G153" s="5" t="s">
        <v>606</v>
      </c>
      <c r="H153" s="5" t="s">
        <v>539</v>
      </c>
      <c r="I153" s="5" t="s">
        <v>607</v>
      </c>
      <c r="J153" s="5" t="s">
        <v>25</v>
      </c>
      <c r="K153" s="5" t="s">
        <v>726</v>
      </c>
      <c r="L153" s="5" t="s">
        <v>8</v>
      </c>
      <c r="M153" s="5" t="s">
        <v>9</v>
      </c>
      <c r="N153" s="85">
        <v>0</v>
      </c>
      <c r="O153" s="85">
        <f>3.13*0.8</f>
        <v>2.504</v>
      </c>
      <c r="P153" s="7" t="s">
        <v>608</v>
      </c>
      <c r="Q153" s="5" t="s">
        <v>309</v>
      </c>
      <c r="R153" s="5" t="s">
        <v>67</v>
      </c>
      <c r="S153" s="5" t="s">
        <v>348</v>
      </c>
      <c r="T153" s="5" t="s">
        <v>1335</v>
      </c>
      <c r="U153" s="9">
        <v>3.64</v>
      </c>
      <c r="V153" s="9">
        <f t="shared" si="6"/>
        <v>-0.6444531656141822</v>
      </c>
      <c r="W153" s="9"/>
      <c r="X153" s="9"/>
      <c r="Y153" s="9">
        <f>4.43+O153</f>
        <v>6.9339999999999993</v>
      </c>
      <c r="Z153" s="9"/>
      <c r="AA153" s="5" t="s">
        <v>12</v>
      </c>
      <c r="AB153" s="62" t="s">
        <v>1043</v>
      </c>
      <c r="AC153" s="5" t="s">
        <v>13</v>
      </c>
      <c r="AD153" s="3">
        <v>9</v>
      </c>
      <c r="AE153" s="5" t="s">
        <v>8</v>
      </c>
      <c r="AF153" s="5" t="s">
        <v>1308</v>
      </c>
      <c r="AG153" s="19" t="s">
        <v>8</v>
      </c>
      <c r="AH153" s="19" t="s">
        <v>8</v>
      </c>
      <c r="AI153" s="19" t="s">
        <v>8</v>
      </c>
      <c r="AJ153" s="19" t="s">
        <v>8</v>
      </c>
      <c r="AK153" s="5" t="s">
        <v>84</v>
      </c>
      <c r="AL153" s="5" t="s">
        <v>8</v>
      </c>
      <c r="AM153" s="5" t="s">
        <v>30</v>
      </c>
      <c r="AN153" s="5" t="s">
        <v>680</v>
      </c>
      <c r="AO153" s="5" t="s">
        <v>680</v>
      </c>
      <c r="AP153" s="19" t="s">
        <v>605</v>
      </c>
      <c r="AQ153" s="19" t="s">
        <v>610</v>
      </c>
      <c r="BD153" s="58"/>
      <c r="BM153" s="58"/>
    </row>
    <row r="154" spans="1:202" ht="13.15" hidden="1" customHeight="1" x14ac:dyDescent="0.2">
      <c r="A154" s="3" t="s">
        <v>287</v>
      </c>
      <c r="B154" s="4" t="s">
        <v>604</v>
      </c>
      <c r="C154" s="28">
        <v>2014</v>
      </c>
      <c r="D154" s="16">
        <v>79</v>
      </c>
      <c r="E154" s="16">
        <v>2</v>
      </c>
      <c r="F154" s="5" t="s">
        <v>1117</v>
      </c>
      <c r="G154" s="5" t="s">
        <v>606</v>
      </c>
      <c r="H154" s="5" t="s">
        <v>539</v>
      </c>
      <c r="I154" s="5" t="s">
        <v>611</v>
      </c>
      <c r="J154" s="5" t="s">
        <v>25</v>
      </c>
      <c r="K154" s="5" t="s">
        <v>726</v>
      </c>
      <c r="L154" s="5" t="s">
        <v>8</v>
      </c>
      <c r="M154" s="5" t="s">
        <v>9</v>
      </c>
      <c r="N154" s="85">
        <v>0</v>
      </c>
      <c r="O154" s="85">
        <f>3.13*0.8</f>
        <v>2.504</v>
      </c>
      <c r="P154" s="7" t="s">
        <v>608</v>
      </c>
      <c r="Q154" s="5" t="s">
        <v>309</v>
      </c>
      <c r="R154" s="5" t="s">
        <v>67</v>
      </c>
      <c r="S154" s="5" t="s">
        <v>348</v>
      </c>
      <c r="T154" s="5" t="s">
        <v>1335</v>
      </c>
      <c r="U154" s="9">
        <v>3.68</v>
      </c>
      <c r="V154" s="9">
        <f t="shared" si="6"/>
        <v>-0.63352409508199192</v>
      </c>
      <c r="W154" s="9"/>
      <c r="X154" s="9"/>
      <c r="Y154" s="9">
        <f>4.43+O154</f>
        <v>6.9339999999999993</v>
      </c>
      <c r="Z154" s="9"/>
      <c r="AA154" s="5" t="s">
        <v>12</v>
      </c>
      <c r="AB154" s="62" t="s">
        <v>1043</v>
      </c>
      <c r="AC154" s="5" t="s">
        <v>13</v>
      </c>
      <c r="AD154" s="3">
        <v>9</v>
      </c>
      <c r="AE154" s="5" t="s">
        <v>8</v>
      </c>
      <c r="AF154" s="5" t="s">
        <v>1308</v>
      </c>
      <c r="AG154" s="19" t="s">
        <v>8</v>
      </c>
      <c r="AH154" s="19" t="s">
        <v>8</v>
      </c>
      <c r="AI154" s="19" t="s">
        <v>8</v>
      </c>
      <c r="AJ154" s="19" t="s">
        <v>8</v>
      </c>
      <c r="AK154" s="5" t="s">
        <v>84</v>
      </c>
      <c r="AL154" s="5" t="s">
        <v>8</v>
      </c>
      <c r="AM154" s="5" t="s">
        <v>30</v>
      </c>
      <c r="AN154" s="5" t="s">
        <v>680</v>
      </c>
      <c r="AO154" s="5" t="s">
        <v>680</v>
      </c>
      <c r="AP154" s="19" t="s">
        <v>605</v>
      </c>
      <c r="AQ154" s="19" t="s">
        <v>610</v>
      </c>
      <c r="BD154" s="58"/>
      <c r="BM154" s="58"/>
    </row>
    <row r="155" spans="1:202" ht="13.15" hidden="1" customHeight="1" x14ac:dyDescent="0.2">
      <c r="A155" s="3" t="s">
        <v>1</v>
      </c>
      <c r="B155" s="4" t="s">
        <v>612</v>
      </c>
      <c r="C155" s="28">
        <v>2019</v>
      </c>
      <c r="D155" s="16">
        <v>80</v>
      </c>
      <c r="E155" s="16">
        <v>1</v>
      </c>
      <c r="F155" s="5" t="s">
        <v>1113</v>
      </c>
      <c r="G155" s="5" t="s">
        <v>614</v>
      </c>
      <c r="H155" s="5" t="s">
        <v>93</v>
      </c>
      <c r="I155" s="5" t="s">
        <v>615</v>
      </c>
      <c r="J155" s="5" t="s">
        <v>1260</v>
      </c>
      <c r="K155" s="48" t="s">
        <v>726</v>
      </c>
      <c r="L155" s="5" t="s">
        <v>8</v>
      </c>
      <c r="M155" s="5" t="s">
        <v>179</v>
      </c>
      <c r="N155" s="7">
        <v>0</v>
      </c>
      <c r="O155" s="7">
        <v>2.8</v>
      </c>
      <c r="P155" s="7" t="s">
        <v>616</v>
      </c>
      <c r="Q155" s="5" t="s">
        <v>309</v>
      </c>
      <c r="R155" s="5" t="s">
        <v>27</v>
      </c>
      <c r="S155" s="5" t="s">
        <v>617</v>
      </c>
      <c r="T155" s="5" t="s">
        <v>1335</v>
      </c>
      <c r="U155" s="9">
        <v>4.4880000000000004</v>
      </c>
      <c r="V155" s="9">
        <f t="shared" si="6"/>
        <v>-0.27354518269127859</v>
      </c>
      <c r="W155" s="9"/>
      <c r="X155" s="9"/>
      <c r="Y155" s="9">
        <f>3.1+O155</f>
        <v>5.9</v>
      </c>
      <c r="Z155" s="9"/>
      <c r="AA155" s="5" t="s">
        <v>12</v>
      </c>
      <c r="AB155" s="62" t="s">
        <v>1043</v>
      </c>
      <c r="AC155" s="5" t="s">
        <v>13</v>
      </c>
      <c r="AD155" s="3">
        <v>9</v>
      </c>
      <c r="AE155" s="5" t="s">
        <v>14</v>
      </c>
      <c r="AF155" s="5" t="s">
        <v>618</v>
      </c>
      <c r="AG155" s="19" t="s">
        <v>8</v>
      </c>
      <c r="AH155" s="19" t="s">
        <v>14</v>
      </c>
      <c r="AI155" s="19" t="s">
        <v>8</v>
      </c>
      <c r="AJ155" s="19" t="s">
        <v>14</v>
      </c>
      <c r="AK155" s="5" t="s">
        <v>84</v>
      </c>
      <c r="AL155" s="5" t="s">
        <v>8</v>
      </c>
      <c r="AM155" s="5" t="s">
        <v>286</v>
      </c>
      <c r="AN155" s="5" t="s">
        <v>67</v>
      </c>
      <c r="AO155" s="5" t="s">
        <v>1028</v>
      </c>
      <c r="AP155" s="19" t="s">
        <v>613</v>
      </c>
      <c r="AQ155" s="19" t="s">
        <v>619</v>
      </c>
      <c r="BD155" s="58"/>
      <c r="BM155" s="58"/>
      <c r="DC155" s="5">
        <v>55.59</v>
      </c>
      <c r="DF155" s="5">
        <v>79.900000000000006</v>
      </c>
    </row>
    <row r="156" spans="1:202" ht="13.15" hidden="1" customHeight="1" x14ac:dyDescent="0.25">
      <c r="A156" s="3" t="s">
        <v>287</v>
      </c>
      <c r="B156" s="65" t="s">
        <v>620</v>
      </c>
      <c r="C156" s="28">
        <v>2020</v>
      </c>
      <c r="D156" s="16">
        <v>81</v>
      </c>
      <c r="E156" s="16">
        <v>1</v>
      </c>
      <c r="F156" s="63" t="s">
        <v>1116</v>
      </c>
      <c r="G156" s="5" t="s">
        <v>622</v>
      </c>
      <c r="H156" s="5" t="s">
        <v>93</v>
      </c>
      <c r="I156" s="5" t="s">
        <v>332</v>
      </c>
      <c r="J156" s="5" t="s">
        <v>7</v>
      </c>
      <c r="K156" s="48" t="s">
        <v>1046</v>
      </c>
      <c r="L156" s="5" t="s">
        <v>1049</v>
      </c>
      <c r="M156" s="5" t="s">
        <v>9</v>
      </c>
      <c r="N156" s="7">
        <v>2.75</v>
      </c>
      <c r="O156" s="7">
        <v>2.89</v>
      </c>
      <c r="P156" s="7" t="s">
        <v>623</v>
      </c>
      <c r="Q156" s="5" t="s">
        <v>309</v>
      </c>
      <c r="R156" s="5" t="s">
        <v>18</v>
      </c>
      <c r="S156" s="5" t="s">
        <v>624</v>
      </c>
      <c r="T156" s="5" t="s">
        <v>1335</v>
      </c>
      <c r="U156" s="9">
        <f>1.18+N156</f>
        <v>3.9299999999999997</v>
      </c>
      <c r="V156" s="9">
        <f t="shared" si="6"/>
        <v>-0.17251964579963619</v>
      </c>
      <c r="W156" s="9">
        <f>0.59+N156</f>
        <v>3.34</v>
      </c>
      <c r="X156" s="9">
        <f>1.77+N156</f>
        <v>4.5199999999999996</v>
      </c>
      <c r="Y156" s="8">
        <f>1.78+O156</f>
        <v>4.67</v>
      </c>
      <c r="Z156" s="9"/>
      <c r="AA156" s="5" t="s">
        <v>12</v>
      </c>
      <c r="AB156" s="7" t="s">
        <v>1043</v>
      </c>
      <c r="AC156" s="5" t="s">
        <v>13</v>
      </c>
      <c r="AD156" s="3">
        <v>3</v>
      </c>
      <c r="AE156" s="5" t="s">
        <v>8</v>
      </c>
      <c r="AF156" s="5" t="s">
        <v>1279</v>
      </c>
      <c r="AG156" s="19" t="s">
        <v>8</v>
      </c>
      <c r="AH156" s="19" t="s">
        <v>8</v>
      </c>
      <c r="AI156" s="19" t="s">
        <v>8</v>
      </c>
      <c r="AJ156" s="19" t="s">
        <v>8</v>
      </c>
      <c r="AK156" s="5" t="s">
        <v>548</v>
      </c>
      <c r="AL156" s="5" t="s">
        <v>14</v>
      </c>
      <c r="AM156" s="5" t="s">
        <v>625</v>
      </c>
      <c r="AN156" s="5" t="s">
        <v>18</v>
      </c>
      <c r="AO156" s="5" t="s">
        <v>18</v>
      </c>
      <c r="AP156" s="19" t="s">
        <v>621</v>
      </c>
      <c r="AQ156" s="19" t="s">
        <v>626</v>
      </c>
      <c r="BD156" s="58"/>
      <c r="BM156" s="58"/>
    </row>
    <row r="157" spans="1:202" ht="13.15" hidden="1" customHeight="1" x14ac:dyDescent="0.2">
      <c r="A157" s="3" t="s">
        <v>101</v>
      </c>
      <c r="B157" s="4" t="s">
        <v>627</v>
      </c>
      <c r="C157" s="28">
        <v>2019</v>
      </c>
      <c r="D157" s="16">
        <v>82</v>
      </c>
      <c r="E157" s="16">
        <v>2</v>
      </c>
      <c r="F157" s="5" t="s">
        <v>1051</v>
      </c>
      <c r="G157" s="5" t="s">
        <v>634</v>
      </c>
      <c r="H157" s="5" t="s">
        <v>5</v>
      </c>
      <c r="I157" s="5" t="s">
        <v>630</v>
      </c>
      <c r="J157" s="5" t="s">
        <v>631</v>
      </c>
      <c r="K157" s="48" t="s">
        <v>1047</v>
      </c>
      <c r="L157" s="5" t="s">
        <v>8</v>
      </c>
      <c r="M157" s="5" t="s">
        <v>9</v>
      </c>
      <c r="N157" s="85">
        <v>0</v>
      </c>
      <c r="O157" s="85">
        <v>1.47</v>
      </c>
      <c r="P157" s="7" t="s">
        <v>162</v>
      </c>
      <c r="Q157" s="5" t="s">
        <v>309</v>
      </c>
      <c r="R157" s="5" t="s">
        <v>67</v>
      </c>
      <c r="S157" s="5" t="s">
        <v>194</v>
      </c>
      <c r="T157" s="5" t="s">
        <v>1335</v>
      </c>
      <c r="U157" s="9">
        <f>(W157+X157)/2</f>
        <v>0.56999999999999995</v>
      </c>
      <c r="V157" s="9">
        <f t="shared" si="6"/>
        <v>-2.1594842493533726</v>
      </c>
      <c r="W157" s="9">
        <v>0.15</v>
      </c>
      <c r="X157" s="9">
        <v>0.99</v>
      </c>
      <c r="Y157" s="8">
        <f>3.47+O157</f>
        <v>4.9400000000000004</v>
      </c>
      <c r="Z157" s="9"/>
      <c r="AA157" s="5" t="s">
        <v>12</v>
      </c>
      <c r="AB157" s="62" t="s">
        <v>1043</v>
      </c>
      <c r="AC157" s="5" t="s">
        <v>632</v>
      </c>
      <c r="AD157" s="3">
        <v>9</v>
      </c>
      <c r="AE157" s="5" t="s">
        <v>8</v>
      </c>
      <c r="AF157" s="5" t="s">
        <v>1309</v>
      </c>
      <c r="AG157" s="19" t="s">
        <v>8</v>
      </c>
      <c r="AH157" s="19" t="s">
        <v>8</v>
      </c>
      <c r="AI157" s="19" t="s">
        <v>8</v>
      </c>
      <c r="AJ157" s="19" t="s">
        <v>8</v>
      </c>
      <c r="AK157" s="5" t="s">
        <v>109</v>
      </c>
      <c r="AL157" s="5" t="s">
        <v>8</v>
      </c>
      <c r="AM157" s="5" t="s">
        <v>625</v>
      </c>
      <c r="AN157" s="5" t="s">
        <v>67</v>
      </c>
      <c r="AO157" s="5" t="s">
        <v>67</v>
      </c>
      <c r="AP157" s="19" t="s">
        <v>628</v>
      </c>
      <c r="AQ157" s="19" t="s">
        <v>633</v>
      </c>
      <c r="BD157" s="58"/>
      <c r="BM157" s="58"/>
    </row>
    <row r="158" spans="1:202" ht="13.15" hidden="1" customHeight="1" x14ac:dyDescent="0.2">
      <c r="A158" s="3" t="s">
        <v>101</v>
      </c>
      <c r="B158" s="4" t="s">
        <v>627</v>
      </c>
      <c r="C158" s="28">
        <v>2019</v>
      </c>
      <c r="D158" s="16">
        <v>82</v>
      </c>
      <c r="E158" s="16">
        <v>1</v>
      </c>
      <c r="F158" s="5" t="s">
        <v>1054</v>
      </c>
      <c r="G158" s="5" t="s">
        <v>629</v>
      </c>
      <c r="H158" s="5" t="s">
        <v>5</v>
      </c>
      <c r="I158" s="5" t="s">
        <v>630</v>
      </c>
      <c r="J158" s="5" t="s">
        <v>631</v>
      </c>
      <c r="K158" s="48" t="s">
        <v>1047</v>
      </c>
      <c r="L158" s="5" t="s">
        <v>8</v>
      </c>
      <c r="M158" s="5" t="s">
        <v>9</v>
      </c>
      <c r="N158" s="85">
        <v>0</v>
      </c>
      <c r="O158" s="85">
        <v>1.49</v>
      </c>
      <c r="P158" s="7" t="s">
        <v>115</v>
      </c>
      <c r="Q158" s="5" t="s">
        <v>39</v>
      </c>
      <c r="R158" s="5" t="s">
        <v>27</v>
      </c>
      <c r="S158" s="5" t="s">
        <v>219</v>
      </c>
      <c r="T158" s="5" t="s">
        <v>1335</v>
      </c>
      <c r="U158" s="9">
        <f>(W158+X158)/2</f>
        <v>0.64500000000000002</v>
      </c>
      <c r="V158" s="9">
        <f t="shared" si="6"/>
        <v>-1.9580181670924779</v>
      </c>
      <c r="W158" s="9">
        <v>0.42</v>
      </c>
      <c r="X158" s="9">
        <v>0.87</v>
      </c>
      <c r="Y158" s="9">
        <f>Z158+O158</f>
        <v>4.57</v>
      </c>
      <c r="Z158" s="9">
        <v>3.08</v>
      </c>
      <c r="AA158" s="5" t="s">
        <v>12</v>
      </c>
      <c r="AB158" s="62" t="s">
        <v>1043</v>
      </c>
      <c r="AC158" s="5" t="s">
        <v>632</v>
      </c>
      <c r="AD158" s="3">
        <v>9</v>
      </c>
      <c r="AE158" s="5" t="s">
        <v>8</v>
      </c>
      <c r="AF158" s="5" t="s">
        <v>1309</v>
      </c>
      <c r="AG158" s="19" t="s">
        <v>8</v>
      </c>
      <c r="AH158" s="19" t="s">
        <v>8</v>
      </c>
      <c r="AI158" s="19" t="s">
        <v>8</v>
      </c>
      <c r="AJ158" s="19" t="s">
        <v>8</v>
      </c>
      <c r="AK158" s="5" t="s">
        <v>109</v>
      </c>
      <c r="AL158" s="5" t="s">
        <v>8</v>
      </c>
      <c r="AM158" s="5" t="s">
        <v>625</v>
      </c>
      <c r="AN158" s="5" t="s">
        <v>67</v>
      </c>
      <c r="AO158" s="5" t="s">
        <v>67</v>
      </c>
      <c r="AP158" s="19" t="s">
        <v>628</v>
      </c>
      <c r="AQ158" s="19" t="s">
        <v>633</v>
      </c>
      <c r="BD158" s="58"/>
      <c r="BM158" s="58"/>
    </row>
    <row r="159" spans="1:202" ht="13.15" hidden="1" customHeight="1" x14ac:dyDescent="0.2">
      <c r="A159" s="3" t="s">
        <v>1</v>
      </c>
      <c r="B159" s="4" t="s">
        <v>635</v>
      </c>
      <c r="C159" s="28">
        <v>2015</v>
      </c>
      <c r="D159" s="16">
        <v>83</v>
      </c>
      <c r="E159" s="16">
        <v>2</v>
      </c>
      <c r="F159" s="63" t="s">
        <v>1073</v>
      </c>
      <c r="G159" s="5" t="s">
        <v>638</v>
      </c>
      <c r="H159" s="5" t="s">
        <v>93</v>
      </c>
      <c r="I159" s="5" t="s">
        <v>643</v>
      </c>
      <c r="J159" s="5" t="s">
        <v>7</v>
      </c>
      <c r="K159" s="5" t="s">
        <v>1046</v>
      </c>
      <c r="L159" s="5" t="s">
        <v>1049</v>
      </c>
      <c r="M159" s="5" t="s">
        <v>9</v>
      </c>
      <c r="N159" s="7">
        <v>0</v>
      </c>
      <c r="O159" s="7">
        <v>3.32</v>
      </c>
      <c r="P159" s="7" t="s">
        <v>637</v>
      </c>
      <c r="Q159" s="5" t="s">
        <v>39</v>
      </c>
      <c r="R159" s="5" t="s">
        <v>640</v>
      </c>
      <c r="S159" s="5" t="s">
        <v>641</v>
      </c>
      <c r="T159" s="5" t="s">
        <v>1335</v>
      </c>
      <c r="U159" s="9">
        <v>8.5664999999999996</v>
      </c>
      <c r="V159" s="9">
        <f t="shared" si="6"/>
        <v>0.53045316570761292</v>
      </c>
      <c r="W159" s="9">
        <v>5.5004999999999997</v>
      </c>
      <c r="X159" s="9">
        <v>9.8681000000000001</v>
      </c>
      <c r="Y159" s="9">
        <f>1.72+O159</f>
        <v>5.04</v>
      </c>
      <c r="Z159" s="9">
        <f>1.72</f>
        <v>1.72</v>
      </c>
      <c r="AA159" s="5" t="s">
        <v>12</v>
      </c>
      <c r="AB159" s="7" t="s">
        <v>1123</v>
      </c>
      <c r="AC159" s="5" t="s">
        <v>13</v>
      </c>
      <c r="AD159" s="3">
        <v>9</v>
      </c>
      <c r="AE159" s="5" t="s">
        <v>14</v>
      </c>
      <c r="AF159" s="5" t="s">
        <v>97</v>
      </c>
      <c r="AG159" s="5" t="s">
        <v>14</v>
      </c>
      <c r="AH159" s="5" t="s">
        <v>8</v>
      </c>
      <c r="AI159" s="5" t="s">
        <v>8</v>
      </c>
      <c r="AJ159" s="5" t="s">
        <v>8</v>
      </c>
      <c r="AK159" s="5" t="s">
        <v>363</v>
      </c>
      <c r="AL159" s="5" t="s">
        <v>14</v>
      </c>
      <c r="AN159" s="5" t="s">
        <v>18</v>
      </c>
      <c r="AO159" s="5" t="s">
        <v>18</v>
      </c>
      <c r="AP159" s="5" t="s">
        <v>636</v>
      </c>
      <c r="AQ159" s="5" t="s">
        <v>642</v>
      </c>
      <c r="AR159" s="27">
        <v>9.9999999999999995E-7</v>
      </c>
      <c r="AS159" s="27">
        <v>6.0000000000000002E-6</v>
      </c>
      <c r="AT159" s="27">
        <v>9.9999999999999995E-7</v>
      </c>
      <c r="AU159" s="5" t="s">
        <v>1028</v>
      </c>
      <c r="AZ159" s="5">
        <v>3.4000000000000002E-2</v>
      </c>
      <c r="BA159" s="5">
        <v>2.18E-2</v>
      </c>
      <c r="BB159" s="5">
        <v>3.9199999999999999E-2</v>
      </c>
      <c r="BC159" s="5" t="s">
        <v>1028</v>
      </c>
      <c r="BD159" s="58" t="e">
        <f>LN(AZ159/BC159)</f>
        <v>#VALUE!</v>
      </c>
      <c r="BM159" s="58"/>
      <c r="DG159" s="5">
        <v>4.0861999999999998</v>
      </c>
      <c r="DH159" s="5">
        <v>2.6236999999999999</v>
      </c>
      <c r="DI159" s="5">
        <v>4.7070999999999996</v>
      </c>
      <c r="DJ159" s="5" t="s">
        <v>1028</v>
      </c>
      <c r="DK159" s="5">
        <v>1.3169</v>
      </c>
      <c r="DL159" s="5">
        <v>0.84560000000000002</v>
      </c>
      <c r="DM159" s="5">
        <v>1.5169999999999999</v>
      </c>
      <c r="DN159" s="5" t="s">
        <v>1028</v>
      </c>
      <c r="DO159" s="5">
        <v>1.67E-2</v>
      </c>
      <c r="DP159" s="5">
        <v>1.0699999999999999E-2</v>
      </c>
      <c r="DQ159" s="5">
        <v>1.9199999999999998E-2</v>
      </c>
      <c r="DR159" s="5" t="s">
        <v>1028</v>
      </c>
      <c r="DW159" s="5">
        <v>8.2683</v>
      </c>
      <c r="DX159" s="5">
        <v>5.3090000000000002</v>
      </c>
      <c r="DY159" s="5">
        <v>9.5245999999999995</v>
      </c>
      <c r="DZ159" s="5" t="s">
        <v>1028</v>
      </c>
      <c r="EI159" s="5">
        <v>1.47E-2</v>
      </c>
      <c r="EJ159" s="5">
        <v>9.4999999999999998E-3</v>
      </c>
      <c r="EK159" s="5">
        <v>1.17E-2</v>
      </c>
      <c r="EL159" s="5" t="s">
        <v>1028</v>
      </c>
      <c r="EM159" s="5">
        <v>1.1900000000000001E-2</v>
      </c>
      <c r="EN159" s="5">
        <v>7.6E-3</v>
      </c>
      <c r="EO159" s="5">
        <v>1.37E-2</v>
      </c>
      <c r="EP159" s="5" t="s">
        <v>1028</v>
      </c>
      <c r="EU159" s="5">
        <v>1.6199999999999999E-2</v>
      </c>
      <c r="EV159" s="5">
        <v>1.04E-2</v>
      </c>
      <c r="EW159" s="5">
        <v>1.8700000000000001E-2</v>
      </c>
      <c r="EX159" s="5" t="s">
        <v>1028</v>
      </c>
      <c r="FC159" s="5">
        <v>8.5000000000000006E-3</v>
      </c>
      <c r="FD159" s="5">
        <v>5.4999999999999997E-3</v>
      </c>
      <c r="FE159" s="5">
        <v>9.7999999999999997E-3</v>
      </c>
      <c r="FF159" s="5" t="s">
        <v>1028</v>
      </c>
      <c r="FG159" s="5">
        <v>0.72340000000000004</v>
      </c>
      <c r="FH159" s="5">
        <v>0.64500000000000002</v>
      </c>
      <c r="FI159" s="5">
        <v>0.83330000000000004</v>
      </c>
      <c r="FJ159" s="5" t="s">
        <v>1028</v>
      </c>
      <c r="FK159" s="5">
        <v>8.0199999999999994E-2</v>
      </c>
      <c r="FL159" s="5">
        <v>5.1499999999999997E-2</v>
      </c>
      <c r="FM159" s="5">
        <v>9.2399999999999996E-2</v>
      </c>
      <c r="FN159" s="5" t="s">
        <v>1028</v>
      </c>
      <c r="FO159" s="5">
        <v>2E-3</v>
      </c>
      <c r="FP159" s="5">
        <v>1.2999999999999999E-3</v>
      </c>
      <c r="FQ159" s="5">
        <v>2.3E-3</v>
      </c>
      <c r="FR159" s="5" t="s">
        <v>1028</v>
      </c>
      <c r="FS159" s="5">
        <v>0</v>
      </c>
      <c r="FT159" s="5">
        <v>0</v>
      </c>
      <c r="FU159" s="5">
        <v>0</v>
      </c>
      <c r="FV159" s="5" t="s">
        <v>1028</v>
      </c>
      <c r="FW159" s="5">
        <v>2.5000000000000001E-3</v>
      </c>
      <c r="FX159" s="5">
        <v>1.6000000000000001E-3</v>
      </c>
      <c r="FY159" s="5">
        <v>2.8999999999999998E-3</v>
      </c>
      <c r="FZ159" s="5" t="s">
        <v>1028</v>
      </c>
    </row>
    <row r="160" spans="1:202" ht="13.15" hidden="1" customHeight="1" x14ac:dyDescent="0.2">
      <c r="A160" s="3" t="s">
        <v>1</v>
      </c>
      <c r="B160" s="4" t="s">
        <v>635</v>
      </c>
      <c r="C160" s="28">
        <v>2015</v>
      </c>
      <c r="D160" s="16">
        <v>83</v>
      </c>
      <c r="E160" s="16">
        <v>1</v>
      </c>
      <c r="F160" s="63" t="s">
        <v>1073</v>
      </c>
      <c r="G160" s="5" t="s">
        <v>638</v>
      </c>
      <c r="H160" s="5" t="s">
        <v>93</v>
      </c>
      <c r="I160" s="5" t="s">
        <v>639</v>
      </c>
      <c r="J160" s="5" t="s">
        <v>90</v>
      </c>
      <c r="K160" s="48" t="s">
        <v>1046</v>
      </c>
      <c r="L160" s="5" t="s">
        <v>1049</v>
      </c>
      <c r="M160" s="5" t="s">
        <v>9</v>
      </c>
      <c r="N160" s="7">
        <v>0</v>
      </c>
      <c r="O160" s="7">
        <v>3.32</v>
      </c>
      <c r="P160" s="7" t="s">
        <v>637</v>
      </c>
      <c r="Q160" s="5" t="s">
        <v>39</v>
      </c>
      <c r="R160" s="5" t="s">
        <v>640</v>
      </c>
      <c r="S160" s="5" t="s">
        <v>641</v>
      </c>
      <c r="T160" s="5" t="s">
        <v>1335</v>
      </c>
      <c r="U160" s="9">
        <v>1.7314000000000001</v>
      </c>
      <c r="V160" s="9">
        <f t="shared" si="6"/>
        <v>-1.0684757522837409</v>
      </c>
      <c r="W160" s="9">
        <v>1.1379999999999999</v>
      </c>
      <c r="X160" s="9">
        <v>2.4977</v>
      </c>
      <c r="Y160" s="9">
        <f>1.72+O160</f>
        <v>5.04</v>
      </c>
      <c r="Z160" s="9">
        <f>1.72</f>
        <v>1.72</v>
      </c>
      <c r="AA160" s="5" t="s">
        <v>12</v>
      </c>
      <c r="AB160" s="7" t="s">
        <v>1123</v>
      </c>
      <c r="AC160" s="5" t="s">
        <v>13</v>
      </c>
      <c r="AD160" s="3">
        <v>9</v>
      </c>
      <c r="AE160" s="5" t="s">
        <v>14</v>
      </c>
      <c r="AF160" s="5" t="s">
        <v>97</v>
      </c>
      <c r="AG160" s="5" t="s">
        <v>14</v>
      </c>
      <c r="AH160" s="5" t="s">
        <v>8</v>
      </c>
      <c r="AI160" s="5" t="s">
        <v>8</v>
      </c>
      <c r="AJ160" s="5" t="s">
        <v>8</v>
      </c>
      <c r="AK160" s="5" t="s">
        <v>363</v>
      </c>
      <c r="AL160" s="5" t="s">
        <v>14</v>
      </c>
      <c r="AN160" s="5" t="s">
        <v>18</v>
      </c>
      <c r="AO160" s="5" t="s">
        <v>18</v>
      </c>
      <c r="AP160" s="5" t="s">
        <v>636</v>
      </c>
      <c r="AQ160" s="5" t="s">
        <v>642</v>
      </c>
      <c r="AR160" s="27">
        <v>1.9999999999999999E-7</v>
      </c>
      <c r="AS160" s="27">
        <v>9.9999999999999995E-8</v>
      </c>
      <c r="AT160" s="27">
        <v>2.9999999999999999E-7</v>
      </c>
      <c r="AU160" s="5" t="s">
        <v>1028</v>
      </c>
      <c r="AZ160" s="5">
        <v>7.4000000000000003E-3</v>
      </c>
      <c r="BA160" s="5">
        <v>4.5999999999999999E-3</v>
      </c>
      <c r="BB160" s="5">
        <v>1.23E-2</v>
      </c>
      <c r="BC160" s="5" t="s">
        <v>1028</v>
      </c>
      <c r="BD160" s="58" t="e">
        <f>LN(AZ160/BC160)</f>
        <v>#VALUE!</v>
      </c>
      <c r="BM160" s="58"/>
      <c r="DG160" s="5">
        <v>4.6486000000000001</v>
      </c>
      <c r="DH160" s="5">
        <v>2.4510000000000001</v>
      </c>
      <c r="DI160" s="5">
        <v>10.624000000000001</v>
      </c>
      <c r="DJ160" s="5" t="s">
        <v>1028</v>
      </c>
      <c r="DK160" s="5">
        <v>0.3856</v>
      </c>
      <c r="DL160" s="5">
        <v>0.25700000000000001</v>
      </c>
      <c r="DM160" s="5">
        <v>0.53339999999999999</v>
      </c>
      <c r="DN160" s="5" t="s">
        <v>1028</v>
      </c>
      <c r="DO160" s="5">
        <v>3.0999999999999999E-3</v>
      </c>
      <c r="DP160" s="5">
        <v>2E-3</v>
      </c>
      <c r="DQ160" s="5">
        <v>4.3E-3</v>
      </c>
      <c r="DR160" s="5" t="s">
        <v>1028</v>
      </c>
      <c r="DW160" s="5">
        <v>4.5713999999999997</v>
      </c>
      <c r="DX160" s="5">
        <v>2.9327000000000001</v>
      </c>
      <c r="DY160" s="5">
        <v>7.0614999999999997</v>
      </c>
      <c r="DZ160" s="5" t="s">
        <v>1028</v>
      </c>
      <c r="EI160" s="5">
        <v>3.7000000000000002E-3</v>
      </c>
      <c r="EJ160" s="5">
        <v>2.5000000000000001E-3</v>
      </c>
      <c r="EK160" s="5">
        <v>5.1999999999999998E-3</v>
      </c>
      <c r="EL160" s="5" t="s">
        <v>1028</v>
      </c>
      <c r="EM160" s="5">
        <v>1E-4</v>
      </c>
      <c r="EN160" s="5">
        <v>1E-4</v>
      </c>
      <c r="EO160" s="5">
        <v>1E-4</v>
      </c>
      <c r="EP160" s="5" t="s">
        <v>1028</v>
      </c>
      <c r="EU160" s="5">
        <v>6.7000000000000002E-3</v>
      </c>
      <c r="EV160" s="5">
        <v>4.3E-3</v>
      </c>
      <c r="EW160" s="5">
        <v>1.04E-2</v>
      </c>
      <c r="EX160" s="5" t="s">
        <v>1028</v>
      </c>
      <c r="FC160" s="5">
        <v>2.5000000000000001E-3</v>
      </c>
      <c r="FD160" s="5">
        <v>1.5E-3</v>
      </c>
      <c r="FE160" s="5">
        <v>4.0000000000000001E-3</v>
      </c>
      <c r="FF160" s="5" t="s">
        <v>1028</v>
      </c>
      <c r="FG160" s="5">
        <v>0.34</v>
      </c>
      <c r="FH160" s="5">
        <v>0.22589999999999999</v>
      </c>
      <c r="FI160" s="5">
        <v>0.47449999999999998</v>
      </c>
      <c r="FJ160" s="5" t="s">
        <v>1028</v>
      </c>
      <c r="FK160" s="5">
        <v>5.1499999999999997E-2</v>
      </c>
      <c r="FL160" s="5">
        <v>2.7900000000000001E-2</v>
      </c>
      <c r="FM160" s="5">
        <v>0.1129</v>
      </c>
      <c r="FN160" s="5" t="s">
        <v>1028</v>
      </c>
      <c r="FO160" s="5">
        <v>5.9999999999999995E-4</v>
      </c>
      <c r="FP160" s="5">
        <v>4.0000000000000002E-4</v>
      </c>
      <c r="FQ160" s="5">
        <v>1.1999999999999999E-3</v>
      </c>
      <c r="FR160" s="5" t="s">
        <v>1028</v>
      </c>
      <c r="FS160" s="5">
        <v>0</v>
      </c>
      <c r="FT160" s="5">
        <v>0</v>
      </c>
      <c r="FU160" s="5">
        <v>0</v>
      </c>
      <c r="FV160" s="5" t="s">
        <v>1028</v>
      </c>
      <c r="FW160" s="5">
        <v>1.1000000000000001E-3</v>
      </c>
      <c r="FX160" s="5">
        <v>6.9999999999999999E-4</v>
      </c>
      <c r="FY160" s="5">
        <v>1.5E-3</v>
      </c>
      <c r="FZ160" s="5" t="s">
        <v>1028</v>
      </c>
    </row>
    <row r="161" spans="1:162" ht="13.15" hidden="1" customHeight="1" x14ac:dyDescent="0.2">
      <c r="A161" s="3" t="s">
        <v>1</v>
      </c>
      <c r="B161" s="4" t="s">
        <v>644</v>
      </c>
      <c r="C161" s="28">
        <v>2015</v>
      </c>
      <c r="D161" s="16">
        <v>84</v>
      </c>
      <c r="E161" s="16">
        <v>3</v>
      </c>
      <c r="F161" s="5" t="s">
        <v>1111</v>
      </c>
      <c r="G161" s="5" t="s">
        <v>652</v>
      </c>
      <c r="H161" s="5" t="s">
        <v>93</v>
      </c>
      <c r="I161" s="5" t="s">
        <v>648</v>
      </c>
      <c r="J161" s="5" t="s">
        <v>7</v>
      </c>
      <c r="K161" s="5" t="s">
        <v>1046</v>
      </c>
      <c r="L161" s="5" t="s">
        <v>1049</v>
      </c>
      <c r="M161" s="5" t="s">
        <v>9</v>
      </c>
      <c r="N161" s="85">
        <v>0</v>
      </c>
      <c r="O161" s="85">
        <v>2.2999999999999998</v>
      </c>
      <c r="P161" s="7" t="s">
        <v>646</v>
      </c>
      <c r="Q161" s="5" t="s">
        <v>39</v>
      </c>
      <c r="R161" s="5" t="s">
        <v>295</v>
      </c>
      <c r="S161" s="5" t="s">
        <v>641</v>
      </c>
      <c r="T161" s="5" t="s">
        <v>1335</v>
      </c>
      <c r="U161" s="9">
        <v>6</v>
      </c>
      <c r="V161" s="9">
        <f t="shared" si="6"/>
        <v>-0.262364264467491</v>
      </c>
      <c r="W161" s="9">
        <v>2.95</v>
      </c>
      <c r="X161" s="9">
        <v>13.63</v>
      </c>
      <c r="Y161" s="9">
        <f>O161+5.5</f>
        <v>7.8</v>
      </c>
      <c r="Z161" s="9"/>
      <c r="AA161" s="5" t="s">
        <v>12</v>
      </c>
      <c r="AB161" s="62" t="s">
        <v>1043</v>
      </c>
      <c r="AC161" s="5" t="s">
        <v>13</v>
      </c>
      <c r="AD161" s="3">
        <v>9</v>
      </c>
      <c r="AE161" s="5" t="s">
        <v>8</v>
      </c>
      <c r="AF161" s="5" t="s">
        <v>1310</v>
      </c>
      <c r="AG161" s="5" t="s">
        <v>8</v>
      </c>
      <c r="AH161" s="5" t="s">
        <v>8</v>
      </c>
      <c r="AI161" s="5" t="s">
        <v>8</v>
      </c>
      <c r="AJ161" s="5" t="s">
        <v>8</v>
      </c>
      <c r="AK161" s="5" t="s">
        <v>649</v>
      </c>
      <c r="AL161" s="5" t="s">
        <v>14</v>
      </c>
      <c r="AM161" s="5">
        <v>2013</v>
      </c>
      <c r="AN161" s="5" t="s">
        <v>67</v>
      </c>
      <c r="AO161" s="5" t="s">
        <v>67</v>
      </c>
      <c r="AP161" s="5" t="s">
        <v>645</v>
      </c>
      <c r="AQ161" s="5" t="s">
        <v>650</v>
      </c>
      <c r="AR161" s="5">
        <v>7.3E-7</v>
      </c>
      <c r="AU161" s="5">
        <v>6.8999999999999996E-7</v>
      </c>
      <c r="BD161" s="58"/>
      <c r="BE161" s="5">
        <v>4.1000000000000002E-2</v>
      </c>
      <c r="BH161" s="5">
        <v>2.4E-2</v>
      </c>
      <c r="BI161" s="5">
        <v>8.9999999999999998E-4</v>
      </c>
      <c r="BL161" s="5">
        <v>2.9E-4</v>
      </c>
      <c r="BM161" s="58">
        <f t="shared" ref="BM161:BM183" si="9">LN(BI161/BL161)</f>
        <v>1.1325138403437911</v>
      </c>
      <c r="BN161" s="28"/>
      <c r="CT161" s="5">
        <v>127</v>
      </c>
      <c r="CW161" s="5">
        <v>140</v>
      </c>
      <c r="CX161" s="59">
        <f t="shared" ref="CX161:CX172" si="10">LN(CT161/CW161)</f>
        <v>-9.7455336150713029E-2</v>
      </c>
      <c r="EU161" s="5">
        <v>1.29E-2</v>
      </c>
      <c r="EX161" s="5">
        <v>9.4000000000000004E-3</v>
      </c>
      <c r="FC161" s="5">
        <v>3.3E-3</v>
      </c>
      <c r="FF161" s="5">
        <v>2.7000000000000001E-3</v>
      </c>
    </row>
    <row r="162" spans="1:162" ht="13.15" hidden="1" customHeight="1" x14ac:dyDescent="0.2">
      <c r="A162" s="3" t="s">
        <v>1</v>
      </c>
      <c r="B162" s="4" t="s">
        <v>644</v>
      </c>
      <c r="C162" s="28">
        <v>2015</v>
      </c>
      <c r="D162" s="16">
        <v>84</v>
      </c>
      <c r="E162" s="16">
        <v>5</v>
      </c>
      <c r="F162" s="5" t="s">
        <v>1111</v>
      </c>
      <c r="G162" s="5" t="s">
        <v>653</v>
      </c>
      <c r="H162" s="5" t="s">
        <v>93</v>
      </c>
      <c r="I162" s="5" t="s">
        <v>648</v>
      </c>
      <c r="J162" s="5" t="s">
        <v>7</v>
      </c>
      <c r="K162" s="5" t="s">
        <v>1046</v>
      </c>
      <c r="L162" s="5" t="s">
        <v>1049</v>
      </c>
      <c r="M162" s="5" t="s">
        <v>9</v>
      </c>
      <c r="N162" s="85">
        <v>0</v>
      </c>
      <c r="O162" s="85">
        <v>2.2999999999999998</v>
      </c>
      <c r="P162" s="7" t="s">
        <v>646</v>
      </c>
      <c r="Q162" s="5" t="s">
        <v>39</v>
      </c>
      <c r="R162" s="5" t="s">
        <v>295</v>
      </c>
      <c r="S162" s="5" t="s">
        <v>641</v>
      </c>
      <c r="T162" s="5" t="s">
        <v>1335</v>
      </c>
      <c r="U162" s="9">
        <v>6.5</v>
      </c>
      <c r="V162" s="9">
        <f t="shared" si="6"/>
        <v>-0.18232155679395459</v>
      </c>
      <c r="W162" s="9"/>
      <c r="X162" s="9"/>
      <c r="Y162" s="9">
        <f>O162+5.5</f>
        <v>7.8</v>
      </c>
      <c r="Z162" s="9"/>
      <c r="AA162" s="5" t="s">
        <v>12</v>
      </c>
      <c r="AB162" s="62" t="s">
        <v>1043</v>
      </c>
      <c r="AC162" s="5" t="s">
        <v>13</v>
      </c>
      <c r="AD162" s="3">
        <v>9</v>
      </c>
      <c r="AE162" s="5" t="s">
        <v>8</v>
      </c>
      <c r="AF162" s="5" t="s">
        <v>1310</v>
      </c>
      <c r="AG162" s="5" t="s">
        <v>8</v>
      </c>
      <c r="AH162" s="5" t="s">
        <v>8</v>
      </c>
      <c r="AI162" s="5" t="s">
        <v>8</v>
      </c>
      <c r="AJ162" s="5" t="s">
        <v>8</v>
      </c>
      <c r="AK162" s="5" t="s">
        <v>649</v>
      </c>
      <c r="AL162" s="5" t="s">
        <v>14</v>
      </c>
      <c r="AM162" s="5">
        <v>2013</v>
      </c>
      <c r="AN162" s="5" t="s">
        <v>67</v>
      </c>
      <c r="AO162" s="5" t="s">
        <v>67</v>
      </c>
      <c r="AP162" s="5" t="s">
        <v>645</v>
      </c>
      <c r="AQ162" s="5" t="s">
        <v>650</v>
      </c>
      <c r="AR162" s="5">
        <v>1.4300000000000001E-6</v>
      </c>
      <c r="AU162" s="5">
        <v>6.8999999999999996E-7</v>
      </c>
      <c r="BD162" s="58"/>
      <c r="BE162" s="5">
        <v>4.1000000000000002E-2</v>
      </c>
      <c r="BH162" s="5">
        <v>2.4E-2</v>
      </c>
      <c r="BI162" s="5">
        <v>9.3999999999999997E-4</v>
      </c>
      <c r="BL162" s="5">
        <v>2.9E-4</v>
      </c>
      <c r="BM162" s="58">
        <f t="shared" si="9"/>
        <v>1.1759989522835299</v>
      </c>
      <c r="BN162" s="28"/>
      <c r="CT162" s="5">
        <v>136</v>
      </c>
      <c r="CW162" s="5">
        <v>140</v>
      </c>
      <c r="CX162" s="59">
        <f t="shared" si="10"/>
        <v>-2.8987536873252298E-2</v>
      </c>
      <c r="EU162" s="5">
        <v>1.3599999999999999E-2</v>
      </c>
      <c r="EX162" s="5">
        <v>9.4000000000000004E-3</v>
      </c>
      <c r="FC162" s="5">
        <v>3.3999999999999998E-3</v>
      </c>
      <c r="FF162" s="5">
        <v>2.7000000000000001E-3</v>
      </c>
    </row>
    <row r="163" spans="1:162" ht="13.15" hidden="1" customHeight="1" x14ac:dyDescent="0.2">
      <c r="A163" s="3" t="s">
        <v>1</v>
      </c>
      <c r="B163" s="4" t="s">
        <v>644</v>
      </c>
      <c r="C163" s="28">
        <v>2015</v>
      </c>
      <c r="D163" s="16">
        <v>84</v>
      </c>
      <c r="E163" s="16">
        <v>1</v>
      </c>
      <c r="F163" s="5" t="s">
        <v>1111</v>
      </c>
      <c r="G163" s="5" t="s">
        <v>647</v>
      </c>
      <c r="H163" s="5" t="s">
        <v>93</v>
      </c>
      <c r="I163" s="5" t="s">
        <v>648</v>
      </c>
      <c r="J163" s="5" t="s">
        <v>7</v>
      </c>
      <c r="K163" s="5" t="s">
        <v>1046</v>
      </c>
      <c r="L163" s="5" t="s">
        <v>1049</v>
      </c>
      <c r="M163" s="5" t="s">
        <v>9</v>
      </c>
      <c r="N163" s="85">
        <v>0</v>
      </c>
      <c r="O163" s="85">
        <v>2.2999999999999998</v>
      </c>
      <c r="P163" s="7" t="s">
        <v>646</v>
      </c>
      <c r="Q163" s="5" t="s">
        <v>39</v>
      </c>
      <c r="R163" s="5" t="s">
        <v>295</v>
      </c>
      <c r="S163" s="5" t="s">
        <v>641</v>
      </c>
      <c r="T163" s="5" t="s">
        <v>1335</v>
      </c>
      <c r="U163" s="9">
        <v>7</v>
      </c>
      <c r="V163" s="9">
        <f t="shared" si="6"/>
        <v>-0.10821358464023272</v>
      </c>
      <c r="W163" s="9"/>
      <c r="X163" s="9"/>
      <c r="Y163" s="9">
        <f>O163+5.5</f>
        <v>7.8</v>
      </c>
      <c r="Z163" s="9"/>
      <c r="AA163" s="5" t="s">
        <v>12</v>
      </c>
      <c r="AB163" s="62" t="s">
        <v>1043</v>
      </c>
      <c r="AC163" s="5" t="s">
        <v>13</v>
      </c>
      <c r="AD163" s="3">
        <v>9</v>
      </c>
      <c r="AE163" s="5" t="s">
        <v>8</v>
      </c>
      <c r="AF163" s="5" t="s">
        <v>1310</v>
      </c>
      <c r="AG163" s="5" t="s">
        <v>8</v>
      </c>
      <c r="AH163" s="5" t="s">
        <v>8</v>
      </c>
      <c r="AI163" s="5" t="s">
        <v>8</v>
      </c>
      <c r="AJ163" s="5" t="s">
        <v>8</v>
      </c>
      <c r="AK163" s="5" t="s">
        <v>649</v>
      </c>
      <c r="AL163" s="5" t="s">
        <v>14</v>
      </c>
      <c r="AM163" s="5">
        <v>2013</v>
      </c>
      <c r="AN163" s="5" t="s">
        <v>67</v>
      </c>
      <c r="AO163" s="5" t="s">
        <v>67</v>
      </c>
      <c r="AP163" s="5" t="s">
        <v>645</v>
      </c>
      <c r="AQ163" s="5" t="s">
        <v>650</v>
      </c>
      <c r="AR163" s="5">
        <v>8.4E-7</v>
      </c>
      <c r="AU163" s="5">
        <v>6.8999999999999996E-7</v>
      </c>
      <c r="BD163" s="58"/>
      <c r="BE163" s="5">
        <v>4.7E-2</v>
      </c>
      <c r="BH163" s="5">
        <v>2.4E-2</v>
      </c>
      <c r="BI163" s="5">
        <v>1E-3</v>
      </c>
      <c r="BL163" s="5">
        <v>2.9E-4</v>
      </c>
      <c r="BM163" s="58">
        <f t="shared" si="9"/>
        <v>1.2378743560016174</v>
      </c>
      <c r="BN163" s="28"/>
      <c r="CT163" s="5">
        <v>147</v>
      </c>
      <c r="CW163" s="5">
        <v>140</v>
      </c>
      <c r="CX163" s="59">
        <f t="shared" si="10"/>
        <v>4.8790164169432049E-2</v>
      </c>
      <c r="EU163" s="5">
        <v>1.49E-2</v>
      </c>
      <c r="EX163" s="5">
        <v>9.4000000000000004E-3</v>
      </c>
      <c r="FC163" s="5">
        <v>3.7000000000000002E-3</v>
      </c>
      <c r="FF163" s="5">
        <v>2.7000000000000001E-3</v>
      </c>
    </row>
    <row r="164" spans="1:162" ht="13.15" hidden="1" customHeight="1" x14ac:dyDescent="0.2">
      <c r="A164" s="3" t="s">
        <v>1</v>
      </c>
      <c r="B164" s="4" t="s">
        <v>644</v>
      </c>
      <c r="C164" s="28">
        <v>2015</v>
      </c>
      <c r="D164" s="16">
        <v>84</v>
      </c>
      <c r="E164" s="16">
        <v>4</v>
      </c>
      <c r="F164" s="5" t="s">
        <v>1111</v>
      </c>
      <c r="G164" s="5" t="s">
        <v>652</v>
      </c>
      <c r="H164" s="5" t="s">
        <v>93</v>
      </c>
      <c r="I164" s="5" t="s">
        <v>651</v>
      </c>
      <c r="J164" s="5" t="s">
        <v>7</v>
      </c>
      <c r="K164" s="5" t="s">
        <v>1046</v>
      </c>
      <c r="L164" s="5" t="s">
        <v>1049</v>
      </c>
      <c r="M164" s="5" t="s">
        <v>9</v>
      </c>
      <c r="N164" s="85">
        <v>0</v>
      </c>
      <c r="O164" s="85">
        <v>2.2999999999999998</v>
      </c>
      <c r="P164" s="7" t="s">
        <v>646</v>
      </c>
      <c r="Q164" s="5" t="s">
        <v>39</v>
      </c>
      <c r="R164" s="5" t="s">
        <v>295</v>
      </c>
      <c r="S164" s="5" t="s">
        <v>641</v>
      </c>
      <c r="T164" s="5" t="s">
        <v>1335</v>
      </c>
      <c r="U164" s="9">
        <v>7</v>
      </c>
      <c r="V164" s="9">
        <f t="shared" si="6"/>
        <v>-0.10821358464023272</v>
      </c>
      <c r="W164" s="9"/>
      <c r="X164" s="9"/>
      <c r="Y164" s="9">
        <f>O164+5.5</f>
        <v>7.8</v>
      </c>
      <c r="Z164" s="9"/>
      <c r="AA164" s="5" t="s">
        <v>12</v>
      </c>
      <c r="AB164" s="62" t="s">
        <v>1043</v>
      </c>
      <c r="AC164" s="5" t="s">
        <v>13</v>
      </c>
      <c r="AD164" s="3">
        <v>9</v>
      </c>
      <c r="AE164" s="5" t="s">
        <v>8</v>
      </c>
      <c r="AF164" s="5" t="s">
        <v>1310</v>
      </c>
      <c r="AG164" s="5" t="s">
        <v>8</v>
      </c>
      <c r="AH164" s="5" t="s">
        <v>8</v>
      </c>
      <c r="AI164" s="5" t="s">
        <v>8</v>
      </c>
      <c r="AJ164" s="5" t="s">
        <v>8</v>
      </c>
      <c r="AK164" s="5" t="s">
        <v>649</v>
      </c>
      <c r="AL164" s="5" t="s">
        <v>14</v>
      </c>
      <c r="AM164" s="5">
        <v>2013</v>
      </c>
      <c r="AN164" s="5" t="s">
        <v>67</v>
      </c>
      <c r="AO164" s="5" t="s">
        <v>67</v>
      </c>
      <c r="AP164" s="5" t="s">
        <v>645</v>
      </c>
      <c r="AQ164" s="5" t="s">
        <v>650</v>
      </c>
      <c r="AR164" s="5">
        <v>8.1999999999999988E-7</v>
      </c>
      <c r="AU164" s="5">
        <v>6.8999999999999996E-7</v>
      </c>
      <c r="BD164" s="58"/>
      <c r="BE164" s="5">
        <v>4.2999999999999997E-2</v>
      </c>
      <c r="BH164" s="5">
        <v>2.4E-2</v>
      </c>
      <c r="BI164" s="5">
        <v>1E-3</v>
      </c>
      <c r="BL164" s="5">
        <v>2.9E-4</v>
      </c>
      <c r="BM164" s="58">
        <f t="shared" si="9"/>
        <v>1.2378743560016174</v>
      </c>
      <c r="BN164" s="28"/>
      <c r="CT164" s="5">
        <v>140</v>
      </c>
      <c r="CW164" s="5">
        <v>140</v>
      </c>
      <c r="CX164" s="59">
        <f t="shared" si="10"/>
        <v>0</v>
      </c>
      <c r="EU164" s="5">
        <v>1.34E-2</v>
      </c>
      <c r="EX164" s="5">
        <v>9.4000000000000004E-3</v>
      </c>
      <c r="FC164" s="5">
        <v>3.3999999999999998E-3</v>
      </c>
      <c r="FF164" s="5">
        <v>2.7000000000000001E-3</v>
      </c>
    </row>
    <row r="165" spans="1:162" ht="13.15" hidden="1" customHeight="1" x14ac:dyDescent="0.2">
      <c r="A165" s="3" t="s">
        <v>1</v>
      </c>
      <c r="B165" s="4" t="s">
        <v>644</v>
      </c>
      <c r="C165" s="28">
        <v>2015</v>
      </c>
      <c r="D165" s="16">
        <v>84</v>
      </c>
      <c r="E165" s="16">
        <v>6</v>
      </c>
      <c r="F165" s="5" t="s">
        <v>1111</v>
      </c>
      <c r="G165" s="5" t="s">
        <v>653</v>
      </c>
      <c r="H165" s="5" t="s">
        <v>93</v>
      </c>
      <c r="I165" s="5" t="s">
        <v>651</v>
      </c>
      <c r="J165" s="5" t="s">
        <v>7</v>
      </c>
      <c r="K165" s="5" t="s">
        <v>1046</v>
      </c>
      <c r="L165" s="5" t="s">
        <v>1049</v>
      </c>
      <c r="M165" s="5" t="s">
        <v>9</v>
      </c>
      <c r="N165" s="85">
        <v>0</v>
      </c>
      <c r="O165" s="85">
        <v>2.2999999999999998</v>
      </c>
      <c r="P165" s="7" t="s">
        <v>646</v>
      </c>
      <c r="Q165" s="5" t="s">
        <v>39</v>
      </c>
      <c r="R165" s="5" t="s">
        <v>295</v>
      </c>
      <c r="S165" s="5" t="s">
        <v>641</v>
      </c>
      <c r="T165" s="5" t="s">
        <v>1335</v>
      </c>
      <c r="U165" s="9">
        <v>7.5</v>
      </c>
      <c r="V165" s="9">
        <f t="shared" si="6"/>
        <v>-3.9220713153281267E-2</v>
      </c>
      <c r="W165" s="9"/>
      <c r="X165" s="9"/>
      <c r="Y165" s="9">
        <f>O165+5.5</f>
        <v>7.8</v>
      </c>
      <c r="Z165" s="9"/>
      <c r="AA165" s="5" t="s">
        <v>12</v>
      </c>
      <c r="AB165" s="62" t="s">
        <v>1043</v>
      </c>
      <c r="AC165" s="5" t="s">
        <v>13</v>
      </c>
      <c r="AD165" s="3">
        <v>9</v>
      </c>
      <c r="AE165" s="5" t="s">
        <v>8</v>
      </c>
      <c r="AF165" s="5" t="s">
        <v>1310</v>
      </c>
      <c r="AG165" s="5" t="s">
        <v>8</v>
      </c>
      <c r="AH165" s="5" t="s">
        <v>8</v>
      </c>
      <c r="AI165" s="5" t="s">
        <v>8</v>
      </c>
      <c r="AJ165" s="5" t="s">
        <v>8</v>
      </c>
      <c r="AK165" s="5" t="s">
        <v>649</v>
      </c>
      <c r="AL165" s="5" t="s">
        <v>14</v>
      </c>
      <c r="AM165" s="5">
        <v>2013</v>
      </c>
      <c r="AN165" s="5" t="s">
        <v>67</v>
      </c>
      <c r="AO165" s="5" t="s">
        <v>67</v>
      </c>
      <c r="AP165" s="5" t="s">
        <v>645</v>
      </c>
      <c r="AQ165" s="5" t="s">
        <v>650</v>
      </c>
      <c r="AR165" s="5">
        <v>1.5199999999999998E-6</v>
      </c>
      <c r="AU165" s="5">
        <v>6.8999999999999996E-7</v>
      </c>
      <c r="BD165" s="58"/>
      <c r="BE165" s="5">
        <v>4.2999999999999997E-2</v>
      </c>
      <c r="BH165" s="5">
        <v>2.4E-2</v>
      </c>
      <c r="BI165" s="5">
        <v>1.1000000000000001E-3</v>
      </c>
      <c r="BL165" s="5">
        <v>2.9E-4</v>
      </c>
      <c r="BM165" s="58">
        <f t="shared" si="9"/>
        <v>1.3331845358059422</v>
      </c>
      <c r="BN165" s="28"/>
      <c r="CT165" s="5">
        <v>149</v>
      </c>
      <c r="CW165" s="5">
        <v>140</v>
      </c>
      <c r="CX165" s="59">
        <f t="shared" si="10"/>
        <v>6.2303883336154837E-2</v>
      </c>
      <c r="EU165" s="5">
        <v>1.4E-2</v>
      </c>
      <c r="EX165" s="5">
        <v>9.4000000000000004E-3</v>
      </c>
      <c r="FC165" s="5">
        <v>3.5000000000000001E-3</v>
      </c>
      <c r="FF165" s="5">
        <v>2.7000000000000001E-3</v>
      </c>
    </row>
    <row r="166" spans="1:162" ht="13.15" hidden="1" customHeight="1" x14ac:dyDescent="0.2">
      <c r="A166" s="3" t="s">
        <v>1</v>
      </c>
      <c r="B166" s="4" t="s">
        <v>644</v>
      </c>
      <c r="C166" s="28">
        <v>2015</v>
      </c>
      <c r="D166" s="16">
        <v>84</v>
      </c>
      <c r="E166" s="16">
        <v>9</v>
      </c>
      <c r="F166" s="5" t="s">
        <v>1111</v>
      </c>
      <c r="G166" s="5" t="s">
        <v>652</v>
      </c>
      <c r="H166" s="5" t="s">
        <v>93</v>
      </c>
      <c r="I166" s="5" t="s">
        <v>648</v>
      </c>
      <c r="J166" s="5" t="s">
        <v>7</v>
      </c>
      <c r="K166" s="5" t="s">
        <v>1046</v>
      </c>
      <c r="L166" s="5" t="s">
        <v>1049</v>
      </c>
      <c r="M166" s="5" t="s">
        <v>9</v>
      </c>
      <c r="N166" s="85">
        <v>0</v>
      </c>
      <c r="O166" s="85">
        <v>2.2999999999999998</v>
      </c>
      <c r="P166" s="7" t="s">
        <v>646</v>
      </c>
      <c r="Q166" s="5" t="s">
        <v>39</v>
      </c>
      <c r="R166" s="5" t="s">
        <v>350</v>
      </c>
      <c r="S166" s="5" t="s">
        <v>641</v>
      </c>
      <c r="T166" s="5" t="s">
        <v>1335</v>
      </c>
      <c r="U166" s="9">
        <v>7.5</v>
      </c>
      <c r="V166" s="9">
        <f t="shared" si="6"/>
        <v>-7.6961041136128325E-2</v>
      </c>
      <c r="W166" s="9"/>
      <c r="X166" s="9"/>
      <c r="Y166" s="9">
        <f>O166+5.8</f>
        <v>8.1</v>
      </c>
      <c r="Z166" s="9"/>
      <c r="AA166" s="5" t="s">
        <v>12</v>
      </c>
      <c r="AB166" s="62" t="s">
        <v>1043</v>
      </c>
      <c r="AC166" s="5" t="s">
        <v>13</v>
      </c>
      <c r="AD166" s="3">
        <v>9</v>
      </c>
      <c r="AE166" s="5" t="s">
        <v>8</v>
      </c>
      <c r="AF166" s="5" t="s">
        <v>1310</v>
      </c>
      <c r="AG166" s="5" t="s">
        <v>8</v>
      </c>
      <c r="AH166" s="5" t="s">
        <v>8</v>
      </c>
      <c r="AI166" s="5" t="s">
        <v>8</v>
      </c>
      <c r="AJ166" s="5" t="s">
        <v>8</v>
      </c>
      <c r="AK166" s="5" t="s">
        <v>649</v>
      </c>
      <c r="AL166" s="5" t="s">
        <v>14</v>
      </c>
      <c r="AM166" s="5">
        <v>2013</v>
      </c>
      <c r="AN166" s="5" t="s">
        <v>67</v>
      </c>
      <c r="AO166" s="5" t="s">
        <v>67</v>
      </c>
      <c r="AP166" s="5" t="s">
        <v>645</v>
      </c>
      <c r="AQ166" s="5" t="s">
        <v>650</v>
      </c>
      <c r="AR166" s="5">
        <v>7.8999999999999995E-7</v>
      </c>
      <c r="AU166" s="5">
        <v>7.0999999999999998E-7</v>
      </c>
      <c r="BD166" s="58"/>
      <c r="BE166" s="5">
        <v>4.2999999999999997E-2</v>
      </c>
      <c r="BH166" s="5">
        <v>2.4E-2</v>
      </c>
      <c r="BI166" s="5">
        <v>2.8999999999999998E-3</v>
      </c>
      <c r="BL166" s="5">
        <v>6.8999999999999997E-4</v>
      </c>
      <c r="BM166" s="58">
        <f t="shared" si="9"/>
        <v>1.4357744183832604</v>
      </c>
      <c r="BN166" s="28"/>
      <c r="CT166" s="5">
        <v>125</v>
      </c>
      <c r="CW166" s="5">
        <v>140</v>
      </c>
      <c r="CX166" s="59">
        <f t="shared" si="10"/>
        <v>-0.11332868530700312</v>
      </c>
      <c r="EU166" s="5">
        <v>1.41E-2</v>
      </c>
      <c r="EX166" s="5">
        <v>9.5999999999999992E-3</v>
      </c>
      <c r="FC166" s="5">
        <v>3.3999999999999998E-3</v>
      </c>
      <c r="FF166" s="5">
        <v>2.7000000000000001E-3</v>
      </c>
    </row>
    <row r="167" spans="1:162" ht="13.15" hidden="1" customHeight="1" x14ac:dyDescent="0.2">
      <c r="A167" s="3" t="s">
        <v>1</v>
      </c>
      <c r="B167" s="4" t="s">
        <v>644</v>
      </c>
      <c r="C167" s="28">
        <v>2015</v>
      </c>
      <c r="D167" s="16">
        <v>84</v>
      </c>
      <c r="E167" s="16">
        <v>11</v>
      </c>
      <c r="F167" s="5" t="s">
        <v>1111</v>
      </c>
      <c r="G167" s="5" t="s">
        <v>653</v>
      </c>
      <c r="H167" s="5" t="s">
        <v>93</v>
      </c>
      <c r="I167" s="5" t="s">
        <v>648</v>
      </c>
      <c r="J167" s="5" t="s">
        <v>7</v>
      </c>
      <c r="K167" s="48" t="s">
        <v>1046</v>
      </c>
      <c r="L167" s="5" t="s">
        <v>1049</v>
      </c>
      <c r="M167" s="5" t="s">
        <v>9</v>
      </c>
      <c r="N167" s="85">
        <v>0</v>
      </c>
      <c r="O167" s="85">
        <v>2.2999999999999998</v>
      </c>
      <c r="P167" s="7" t="s">
        <v>646</v>
      </c>
      <c r="Q167" s="5" t="s">
        <v>39</v>
      </c>
      <c r="R167" s="5" t="s">
        <v>350</v>
      </c>
      <c r="S167" s="5" t="s">
        <v>641</v>
      </c>
      <c r="T167" s="5" t="s">
        <v>1335</v>
      </c>
      <c r="U167" s="9">
        <v>8</v>
      </c>
      <c r="V167" s="9">
        <f t="shared" si="6"/>
        <v>-1.2422519998557096E-2</v>
      </c>
      <c r="W167" s="9"/>
      <c r="X167" s="9"/>
      <c r="Y167" s="9">
        <f>O167+5.8</f>
        <v>8.1</v>
      </c>
      <c r="Z167" s="9"/>
      <c r="AA167" s="5" t="s">
        <v>12</v>
      </c>
      <c r="AB167" s="62" t="s">
        <v>1043</v>
      </c>
      <c r="AC167" s="5" t="s">
        <v>13</v>
      </c>
      <c r="AD167" s="3">
        <v>9</v>
      </c>
      <c r="AE167" s="5" t="s">
        <v>8</v>
      </c>
      <c r="AF167" s="5" t="s">
        <v>1310</v>
      </c>
      <c r="AG167" s="5" t="s">
        <v>8</v>
      </c>
      <c r="AH167" s="5" t="s">
        <v>8</v>
      </c>
      <c r="AI167" s="5" t="s">
        <v>8</v>
      </c>
      <c r="AJ167" s="5" t="s">
        <v>8</v>
      </c>
      <c r="AK167" s="5" t="s">
        <v>649</v>
      </c>
      <c r="AL167" s="5" t="s">
        <v>14</v>
      </c>
      <c r="AM167" s="5">
        <v>2013</v>
      </c>
      <c r="AN167" s="5" t="s">
        <v>67</v>
      </c>
      <c r="AO167" s="5" t="s">
        <v>67</v>
      </c>
      <c r="AP167" s="5" t="s">
        <v>645</v>
      </c>
      <c r="AQ167" s="5" t="s">
        <v>650</v>
      </c>
      <c r="AR167" s="5">
        <v>1.5E-6</v>
      </c>
      <c r="AU167" s="5">
        <v>7.0999999999999998E-7</v>
      </c>
      <c r="BD167" s="58"/>
      <c r="BE167" s="5">
        <v>4.2999999999999997E-2</v>
      </c>
      <c r="BH167" s="5">
        <v>2.4E-2</v>
      </c>
      <c r="BI167" s="5">
        <v>2.8999999999999998E-3</v>
      </c>
      <c r="BL167" s="5">
        <v>6.8999999999999997E-4</v>
      </c>
      <c r="BM167" s="58">
        <f t="shared" si="9"/>
        <v>1.4357744183832604</v>
      </c>
      <c r="BN167" s="28"/>
      <c r="CT167" s="5">
        <v>133</v>
      </c>
      <c r="CW167" s="5">
        <v>140</v>
      </c>
      <c r="CX167" s="59">
        <f t="shared" si="10"/>
        <v>-5.1293294387550578E-2</v>
      </c>
      <c r="EU167" s="5">
        <v>1.47E-2</v>
      </c>
      <c r="EX167" s="5">
        <v>9.5999999999999992E-3</v>
      </c>
      <c r="FC167" s="5">
        <v>3.6000000000000003E-3</v>
      </c>
      <c r="FF167" s="5">
        <v>2.7000000000000001E-3</v>
      </c>
    </row>
    <row r="168" spans="1:162" ht="13.15" hidden="1" customHeight="1" x14ac:dyDescent="0.2">
      <c r="A168" s="3" t="s">
        <v>1</v>
      </c>
      <c r="B168" s="4" t="s">
        <v>644</v>
      </c>
      <c r="C168" s="28">
        <v>2015</v>
      </c>
      <c r="D168" s="16">
        <v>84</v>
      </c>
      <c r="E168" s="16">
        <v>2</v>
      </c>
      <c r="F168" s="5" t="s">
        <v>1111</v>
      </c>
      <c r="G168" s="5" t="s">
        <v>647</v>
      </c>
      <c r="H168" s="5" t="s">
        <v>93</v>
      </c>
      <c r="I168" s="5" t="s">
        <v>651</v>
      </c>
      <c r="J168" s="5" t="s">
        <v>7</v>
      </c>
      <c r="K168" s="5" t="s">
        <v>1046</v>
      </c>
      <c r="L168" s="5" t="s">
        <v>1049</v>
      </c>
      <c r="M168" s="5" t="s">
        <v>9</v>
      </c>
      <c r="N168" s="85">
        <v>0</v>
      </c>
      <c r="O168" s="85">
        <v>2.2999999999999998</v>
      </c>
      <c r="P168" s="7" t="s">
        <v>646</v>
      </c>
      <c r="Q168" s="5" t="s">
        <v>39</v>
      </c>
      <c r="R168" s="5" t="s">
        <v>295</v>
      </c>
      <c r="S168" s="5" t="s">
        <v>641</v>
      </c>
      <c r="T168" s="5" t="s">
        <v>1335</v>
      </c>
      <c r="U168" s="9">
        <v>8.1</v>
      </c>
      <c r="V168" s="9">
        <f t="shared" si="6"/>
        <v>3.7740327982847113E-2</v>
      </c>
      <c r="W168" s="9"/>
      <c r="X168" s="9"/>
      <c r="Y168" s="9">
        <f>O168+5.5</f>
        <v>7.8</v>
      </c>
      <c r="Z168" s="9"/>
      <c r="AA168" s="5" t="s">
        <v>12</v>
      </c>
      <c r="AB168" s="62" t="s">
        <v>1043</v>
      </c>
      <c r="AC168" s="5" t="s">
        <v>13</v>
      </c>
      <c r="AD168" s="3">
        <v>9</v>
      </c>
      <c r="AE168" s="5" t="s">
        <v>8</v>
      </c>
      <c r="AF168" s="5" t="s">
        <v>1310</v>
      </c>
      <c r="AG168" s="5" t="s">
        <v>8</v>
      </c>
      <c r="AH168" s="5" t="s">
        <v>8</v>
      </c>
      <c r="AI168" s="5" t="s">
        <v>8</v>
      </c>
      <c r="AJ168" s="5" t="s">
        <v>8</v>
      </c>
      <c r="AK168" s="5" t="s">
        <v>649</v>
      </c>
      <c r="AL168" s="5" t="s">
        <v>14</v>
      </c>
      <c r="AM168" s="5">
        <v>2013</v>
      </c>
      <c r="AN168" s="5" t="s">
        <v>67</v>
      </c>
      <c r="AO168" s="5" t="s">
        <v>67</v>
      </c>
      <c r="AP168" s="5" t="s">
        <v>645</v>
      </c>
      <c r="AQ168" s="5" t="s">
        <v>650</v>
      </c>
      <c r="AR168" s="5">
        <v>9.4E-7</v>
      </c>
      <c r="AU168" s="5">
        <v>6.8999999999999996E-7</v>
      </c>
      <c r="BD168" s="58"/>
      <c r="BE168" s="5">
        <v>4.8000000000000001E-2</v>
      </c>
      <c r="BH168" s="5">
        <v>2.4E-2</v>
      </c>
      <c r="BI168" s="5">
        <v>1.1999999999999999E-3</v>
      </c>
      <c r="BL168" s="5">
        <v>2.9E-4</v>
      </c>
      <c r="BM168" s="58">
        <f t="shared" si="9"/>
        <v>1.4201959127955719</v>
      </c>
      <c r="BN168" s="28"/>
      <c r="CT168" s="5">
        <v>161</v>
      </c>
      <c r="CW168" s="5">
        <v>140</v>
      </c>
      <c r="CX168" s="59">
        <f t="shared" si="10"/>
        <v>0.13976194237515863</v>
      </c>
      <c r="EU168" s="5">
        <v>1.54E-2</v>
      </c>
      <c r="EX168" s="5">
        <v>9.4000000000000004E-3</v>
      </c>
      <c r="FC168" s="5">
        <v>3.8E-3</v>
      </c>
      <c r="FF168" s="5">
        <v>2.7000000000000001E-3</v>
      </c>
    </row>
    <row r="169" spans="1:162" ht="13.15" hidden="1" customHeight="1" x14ac:dyDescent="0.2">
      <c r="A169" s="3" t="s">
        <v>1</v>
      </c>
      <c r="B169" s="4" t="s">
        <v>644</v>
      </c>
      <c r="C169" s="28">
        <v>2015</v>
      </c>
      <c r="D169" s="16">
        <v>84</v>
      </c>
      <c r="E169" s="16">
        <v>10</v>
      </c>
      <c r="F169" s="5" t="s">
        <v>1111</v>
      </c>
      <c r="G169" s="5" t="s">
        <v>652</v>
      </c>
      <c r="H169" s="5" t="s">
        <v>93</v>
      </c>
      <c r="I169" s="5" t="s">
        <v>651</v>
      </c>
      <c r="J169" s="5" t="s">
        <v>7</v>
      </c>
      <c r="K169" s="5" t="s">
        <v>1046</v>
      </c>
      <c r="L169" s="5" t="s">
        <v>1049</v>
      </c>
      <c r="M169" s="5" t="s">
        <v>9</v>
      </c>
      <c r="N169" s="85">
        <v>0</v>
      </c>
      <c r="O169" s="85">
        <v>2.2999999999999998</v>
      </c>
      <c r="P169" s="7" t="s">
        <v>646</v>
      </c>
      <c r="Q169" s="5" t="s">
        <v>39</v>
      </c>
      <c r="R169" s="5" t="s">
        <v>350</v>
      </c>
      <c r="S169" s="5" t="s">
        <v>641</v>
      </c>
      <c r="T169" s="5" t="s">
        <v>1335</v>
      </c>
      <c r="U169" s="9">
        <v>8.6</v>
      </c>
      <c r="V169" s="9">
        <f t="shared" si="6"/>
        <v>5.9898141581069014E-2</v>
      </c>
      <c r="W169" s="9"/>
      <c r="X169" s="9"/>
      <c r="Y169" s="9">
        <f>O169+5.8</f>
        <v>8.1</v>
      </c>
      <c r="Z169" s="9"/>
      <c r="AA169" s="5" t="s">
        <v>12</v>
      </c>
      <c r="AB169" s="62" t="s">
        <v>1043</v>
      </c>
      <c r="AC169" s="5" t="s">
        <v>13</v>
      </c>
      <c r="AD169" s="3">
        <v>9</v>
      </c>
      <c r="AE169" s="5" t="s">
        <v>8</v>
      </c>
      <c r="AF169" s="5" t="s">
        <v>1310</v>
      </c>
      <c r="AG169" s="5" t="s">
        <v>8</v>
      </c>
      <c r="AH169" s="5" t="s">
        <v>8</v>
      </c>
      <c r="AI169" s="5" t="s">
        <v>8</v>
      </c>
      <c r="AJ169" s="5" t="s">
        <v>8</v>
      </c>
      <c r="AK169" s="5" t="s">
        <v>649</v>
      </c>
      <c r="AL169" s="5" t="s">
        <v>14</v>
      </c>
      <c r="AM169" s="5">
        <v>2013</v>
      </c>
      <c r="AN169" s="5" t="s">
        <v>67</v>
      </c>
      <c r="AO169" s="5" t="s">
        <v>67</v>
      </c>
      <c r="AP169" s="5" t="s">
        <v>645</v>
      </c>
      <c r="AQ169" s="5" t="s">
        <v>650</v>
      </c>
      <c r="AR169" s="5">
        <v>8.8000000000000004E-7</v>
      </c>
      <c r="AU169" s="5">
        <v>7.0999999999999998E-7</v>
      </c>
      <c r="BD169" s="58"/>
      <c r="BE169" s="5">
        <v>4.3999999999999997E-2</v>
      </c>
      <c r="BH169" s="5">
        <v>2.4E-2</v>
      </c>
      <c r="BI169" s="5">
        <v>3.2000000000000002E-3</v>
      </c>
      <c r="BL169" s="5">
        <v>6.8999999999999997E-4</v>
      </c>
      <c r="BM169" s="58">
        <f t="shared" si="9"/>
        <v>1.534214491196513</v>
      </c>
      <c r="BN169" s="28"/>
      <c r="CT169" s="5">
        <v>138</v>
      </c>
      <c r="CW169" s="5">
        <v>140</v>
      </c>
      <c r="CX169" s="59">
        <f t="shared" si="10"/>
        <v>-1.4388737452099556E-2</v>
      </c>
      <c r="EU169" s="5">
        <v>1.47E-2</v>
      </c>
      <c r="EX169" s="5">
        <v>9.5999999999999992E-3</v>
      </c>
      <c r="FC169" s="5">
        <v>3.5000000000000001E-3</v>
      </c>
      <c r="FF169" s="5">
        <v>2.7000000000000001E-3</v>
      </c>
    </row>
    <row r="170" spans="1:162" hidden="1" x14ac:dyDescent="0.2">
      <c r="A170" s="3" t="s">
        <v>1</v>
      </c>
      <c r="B170" s="4" t="s">
        <v>644</v>
      </c>
      <c r="C170" s="28">
        <v>2015</v>
      </c>
      <c r="D170" s="16">
        <v>84</v>
      </c>
      <c r="E170" s="16">
        <v>7</v>
      </c>
      <c r="F170" s="5" t="s">
        <v>1111</v>
      </c>
      <c r="G170" s="5" t="s">
        <v>647</v>
      </c>
      <c r="H170" s="5" t="s">
        <v>93</v>
      </c>
      <c r="I170" s="5" t="s">
        <v>648</v>
      </c>
      <c r="J170" s="5" t="s">
        <v>7</v>
      </c>
      <c r="K170" s="5" t="s">
        <v>1046</v>
      </c>
      <c r="L170" s="5" t="s">
        <v>1049</v>
      </c>
      <c r="M170" s="5" t="s">
        <v>9</v>
      </c>
      <c r="N170" s="85">
        <v>0</v>
      </c>
      <c r="O170" s="85">
        <v>2.2999999999999998</v>
      </c>
      <c r="P170" s="7" t="s">
        <v>646</v>
      </c>
      <c r="Q170" s="5" t="s">
        <v>39</v>
      </c>
      <c r="R170" s="5" t="s">
        <v>350</v>
      </c>
      <c r="S170" s="5" t="s">
        <v>641</v>
      </c>
      <c r="T170" s="5" t="s">
        <v>1335</v>
      </c>
      <c r="U170" s="9">
        <v>8.6999999999999993</v>
      </c>
      <c r="V170" s="9">
        <f t="shared" si="6"/>
        <v>7.1458963982144852E-2</v>
      </c>
      <c r="W170" s="9"/>
      <c r="X170" s="9"/>
      <c r="Y170" s="9">
        <f>O170+5.8</f>
        <v>8.1</v>
      </c>
      <c r="Z170" s="9"/>
      <c r="AA170" s="5" t="s">
        <v>12</v>
      </c>
      <c r="AB170" s="62" t="s">
        <v>1043</v>
      </c>
      <c r="AC170" s="5" t="s">
        <v>13</v>
      </c>
      <c r="AD170" s="3">
        <v>9</v>
      </c>
      <c r="AE170" s="5" t="s">
        <v>8</v>
      </c>
      <c r="AF170" s="5" t="s">
        <v>1310</v>
      </c>
      <c r="AG170" s="5" t="s">
        <v>8</v>
      </c>
      <c r="AH170" s="5" t="s">
        <v>8</v>
      </c>
      <c r="AI170" s="5" t="s">
        <v>8</v>
      </c>
      <c r="AJ170" s="5" t="s">
        <v>8</v>
      </c>
      <c r="AK170" s="5" t="s">
        <v>649</v>
      </c>
      <c r="AL170" s="5" t="s">
        <v>14</v>
      </c>
      <c r="AM170" s="5">
        <v>2013</v>
      </c>
      <c r="AN170" s="5" t="s">
        <v>67</v>
      </c>
      <c r="AO170" s="5" t="s">
        <v>67</v>
      </c>
      <c r="AP170" s="5" t="s">
        <v>645</v>
      </c>
      <c r="AQ170" s="5" t="s">
        <v>650</v>
      </c>
      <c r="AR170" s="5">
        <v>9.0999999999999997E-7</v>
      </c>
      <c r="AU170" s="5">
        <v>7.0999999999999998E-7</v>
      </c>
      <c r="BD170" s="58"/>
      <c r="BE170" s="5">
        <v>4.8000000000000001E-2</v>
      </c>
      <c r="BH170" s="5">
        <v>2.4E-2</v>
      </c>
      <c r="BI170" s="5">
        <v>3.3E-3</v>
      </c>
      <c r="BL170" s="5">
        <v>6.8999999999999997E-4</v>
      </c>
      <c r="BM170" s="58">
        <f t="shared" si="9"/>
        <v>1.5649861498632665</v>
      </c>
      <c r="BN170" s="28"/>
      <c r="CT170" s="5">
        <v>145</v>
      </c>
      <c r="CW170" s="5">
        <v>140</v>
      </c>
      <c r="CX170" s="59">
        <f t="shared" si="10"/>
        <v>3.5091319811270193E-2</v>
      </c>
      <c r="EU170" s="5">
        <v>1.6199999999999999E-2</v>
      </c>
      <c r="EX170" s="5">
        <v>9.5999999999999992E-3</v>
      </c>
      <c r="FC170" s="5">
        <v>3.8999999999999998E-3</v>
      </c>
      <c r="FF170" s="5">
        <v>2.7000000000000001E-3</v>
      </c>
    </row>
    <row r="171" spans="1:162" hidden="1" x14ac:dyDescent="0.2">
      <c r="A171" s="3" t="s">
        <v>1</v>
      </c>
      <c r="B171" s="4" t="s">
        <v>644</v>
      </c>
      <c r="C171" s="28">
        <v>2015</v>
      </c>
      <c r="D171" s="16">
        <v>84</v>
      </c>
      <c r="E171" s="16">
        <v>12</v>
      </c>
      <c r="F171" s="5" t="s">
        <v>1111</v>
      </c>
      <c r="G171" s="5" t="s">
        <v>653</v>
      </c>
      <c r="H171" s="5" t="s">
        <v>93</v>
      </c>
      <c r="I171" s="5" t="s">
        <v>651</v>
      </c>
      <c r="J171" s="5" t="s">
        <v>7</v>
      </c>
      <c r="K171" s="48" t="s">
        <v>1046</v>
      </c>
      <c r="L171" s="5" t="s">
        <v>1049</v>
      </c>
      <c r="M171" s="5" t="s">
        <v>9</v>
      </c>
      <c r="N171" s="85">
        <v>0</v>
      </c>
      <c r="O171" s="85">
        <v>2.2999999999999998</v>
      </c>
      <c r="P171" s="7" t="s">
        <v>646</v>
      </c>
      <c r="Q171" s="5" t="s">
        <v>39</v>
      </c>
      <c r="R171" s="5" t="s">
        <v>350</v>
      </c>
      <c r="S171" s="5" t="s">
        <v>641</v>
      </c>
      <c r="T171" s="5" t="s">
        <v>1335</v>
      </c>
      <c r="U171" s="9">
        <v>9</v>
      </c>
      <c r="V171" s="9">
        <f t="shared" si="6"/>
        <v>0.10536051565782635</v>
      </c>
      <c r="W171" s="9"/>
      <c r="X171" s="9"/>
      <c r="Y171" s="9">
        <f>O171+5.8</f>
        <v>8.1</v>
      </c>
      <c r="Z171" s="9"/>
      <c r="AA171" s="5" t="s">
        <v>12</v>
      </c>
      <c r="AB171" s="62" t="s">
        <v>1043</v>
      </c>
      <c r="AC171" s="5" t="s">
        <v>13</v>
      </c>
      <c r="AD171" s="3">
        <v>9</v>
      </c>
      <c r="AE171" s="5" t="s">
        <v>8</v>
      </c>
      <c r="AF171" s="5" t="s">
        <v>1310</v>
      </c>
      <c r="AG171" s="5" t="s">
        <v>8</v>
      </c>
      <c r="AH171" s="5" t="s">
        <v>8</v>
      </c>
      <c r="AI171" s="5" t="s">
        <v>8</v>
      </c>
      <c r="AJ171" s="5" t="s">
        <v>8</v>
      </c>
      <c r="AK171" s="5" t="s">
        <v>649</v>
      </c>
      <c r="AL171" s="5" t="s">
        <v>14</v>
      </c>
      <c r="AM171" s="5">
        <v>2013</v>
      </c>
      <c r="AN171" s="5" t="s">
        <v>67</v>
      </c>
      <c r="AO171" s="5" t="s">
        <v>67</v>
      </c>
      <c r="AP171" s="5" t="s">
        <v>645</v>
      </c>
      <c r="AQ171" s="5" t="s">
        <v>650</v>
      </c>
      <c r="AR171" s="5">
        <v>1.59E-6</v>
      </c>
      <c r="AU171" s="5">
        <v>7.0999999999999998E-7</v>
      </c>
      <c r="BD171" s="58"/>
      <c r="BE171" s="5">
        <v>4.3999999999999997E-2</v>
      </c>
      <c r="BH171" s="5">
        <v>2.4E-2</v>
      </c>
      <c r="BI171" s="5">
        <v>3.2000000000000002E-3</v>
      </c>
      <c r="BL171" s="5">
        <v>6.8999999999999997E-4</v>
      </c>
      <c r="BM171" s="58">
        <f t="shared" si="9"/>
        <v>1.534214491196513</v>
      </c>
      <c r="BN171" s="28"/>
      <c r="CT171" s="5">
        <v>147</v>
      </c>
      <c r="CW171" s="5">
        <v>140</v>
      </c>
      <c r="CX171" s="59">
        <f t="shared" si="10"/>
        <v>4.8790164169432049E-2</v>
      </c>
      <c r="EU171" s="5">
        <v>1.5299999999999999E-2</v>
      </c>
      <c r="EX171" s="5">
        <v>9.5999999999999992E-3</v>
      </c>
      <c r="FC171" s="5">
        <v>3.7000000000000002E-3</v>
      </c>
      <c r="FF171" s="5">
        <v>2.7000000000000001E-3</v>
      </c>
    </row>
    <row r="172" spans="1:162" ht="13.15" hidden="1" customHeight="1" x14ac:dyDescent="0.2">
      <c r="A172" s="3" t="s">
        <v>1</v>
      </c>
      <c r="B172" s="4" t="s">
        <v>644</v>
      </c>
      <c r="C172" s="28">
        <v>2015</v>
      </c>
      <c r="D172" s="16">
        <v>84</v>
      </c>
      <c r="E172" s="16">
        <v>8</v>
      </c>
      <c r="F172" s="5" t="s">
        <v>1111</v>
      </c>
      <c r="G172" s="5" t="s">
        <v>647</v>
      </c>
      <c r="H172" s="5" t="s">
        <v>93</v>
      </c>
      <c r="I172" s="5" t="s">
        <v>651</v>
      </c>
      <c r="J172" s="5" t="s">
        <v>7</v>
      </c>
      <c r="K172" s="5" t="s">
        <v>1046</v>
      </c>
      <c r="L172" s="5" t="s">
        <v>1049</v>
      </c>
      <c r="M172" s="5" t="s">
        <v>9</v>
      </c>
      <c r="N172" s="85">
        <v>0</v>
      </c>
      <c r="O172" s="85">
        <v>2.2999999999999998</v>
      </c>
      <c r="P172" s="7" t="s">
        <v>646</v>
      </c>
      <c r="Q172" s="5" t="s">
        <v>39</v>
      </c>
      <c r="R172" s="5" t="s">
        <v>350</v>
      </c>
      <c r="S172" s="5" t="s">
        <v>641</v>
      </c>
      <c r="T172" s="5" t="s">
        <v>1335</v>
      </c>
      <c r="U172" s="9">
        <v>9.9</v>
      </c>
      <c r="V172" s="9">
        <f t="shared" si="6"/>
        <v>0.20067069546215124</v>
      </c>
      <c r="W172" s="9"/>
      <c r="X172" s="9"/>
      <c r="Y172" s="9">
        <f>O172+5.8</f>
        <v>8.1</v>
      </c>
      <c r="Z172" s="9"/>
      <c r="AA172" s="5" t="s">
        <v>12</v>
      </c>
      <c r="AB172" s="62" t="s">
        <v>1043</v>
      </c>
      <c r="AC172" s="5" t="s">
        <v>13</v>
      </c>
      <c r="AD172" s="3">
        <v>9</v>
      </c>
      <c r="AE172" s="5" t="s">
        <v>8</v>
      </c>
      <c r="AF172" s="5" t="s">
        <v>1310</v>
      </c>
      <c r="AG172" s="5" t="s">
        <v>8</v>
      </c>
      <c r="AH172" s="5" t="s">
        <v>8</v>
      </c>
      <c r="AI172" s="5" t="s">
        <v>8</v>
      </c>
      <c r="AJ172" s="5" t="s">
        <v>8</v>
      </c>
      <c r="AK172" s="5" t="s">
        <v>649</v>
      </c>
      <c r="AL172" s="5" t="s">
        <v>14</v>
      </c>
      <c r="AM172" s="5">
        <v>2013</v>
      </c>
      <c r="AN172" s="5" t="s">
        <v>67</v>
      </c>
      <c r="AO172" s="5" t="s">
        <v>67</v>
      </c>
      <c r="AP172" s="5" t="s">
        <v>645</v>
      </c>
      <c r="AQ172" s="5" t="s">
        <v>650</v>
      </c>
      <c r="AR172" s="5">
        <v>1.02E-6</v>
      </c>
      <c r="AU172" s="5">
        <v>7.0999999999999998E-7</v>
      </c>
      <c r="BD172" s="58"/>
      <c r="BE172" s="5">
        <v>0.05</v>
      </c>
      <c r="BH172" s="5">
        <v>2.4E-2</v>
      </c>
      <c r="BI172" s="5">
        <v>1.2999999999999999E-3</v>
      </c>
      <c r="BL172" s="5">
        <v>6.8999999999999997E-4</v>
      </c>
      <c r="BM172" s="58">
        <f t="shared" si="9"/>
        <v>0.63342794585832296</v>
      </c>
      <c r="BN172" s="28"/>
      <c r="CT172" s="5">
        <v>159</v>
      </c>
      <c r="CW172" s="5">
        <v>140</v>
      </c>
      <c r="CX172" s="59">
        <f t="shared" si="10"/>
        <v>0.12726177961092719</v>
      </c>
      <c r="EU172" s="5">
        <v>1.6899999999999998E-2</v>
      </c>
      <c r="EX172" s="5">
        <v>9.5999999999999992E-3</v>
      </c>
      <c r="FC172" s="5">
        <v>4.0000000000000001E-3</v>
      </c>
      <c r="FF172" s="5">
        <v>2.7000000000000001E-3</v>
      </c>
    </row>
    <row r="173" spans="1:162" ht="13.15" hidden="1" customHeight="1" x14ac:dyDescent="0.2">
      <c r="A173" s="3" t="s">
        <v>1</v>
      </c>
      <c r="B173" s="4" t="s">
        <v>69</v>
      </c>
      <c r="C173" s="28">
        <v>2015</v>
      </c>
      <c r="D173" s="16">
        <v>85</v>
      </c>
      <c r="E173" s="16">
        <v>1</v>
      </c>
      <c r="F173" s="5" t="s">
        <v>1055</v>
      </c>
      <c r="G173" s="5" t="s">
        <v>655</v>
      </c>
      <c r="H173" s="5" t="s">
        <v>93</v>
      </c>
      <c r="I173" s="5" t="s">
        <v>656</v>
      </c>
      <c r="J173" s="5" t="s">
        <v>25</v>
      </c>
      <c r="K173" s="5" t="s">
        <v>1045</v>
      </c>
      <c r="L173" s="5" t="s">
        <v>8</v>
      </c>
      <c r="M173" s="5" t="s">
        <v>9</v>
      </c>
      <c r="N173" s="7">
        <v>5.78</v>
      </c>
      <c r="O173" s="7">
        <v>5.78</v>
      </c>
      <c r="P173" s="7" t="s">
        <v>71</v>
      </c>
      <c r="Q173" s="5" t="s">
        <v>39</v>
      </c>
      <c r="R173" s="5" t="s">
        <v>31</v>
      </c>
      <c r="S173" s="5" t="s">
        <v>96</v>
      </c>
      <c r="T173" s="5" t="s">
        <v>1335</v>
      </c>
      <c r="U173" s="9">
        <f>0.284+N173</f>
        <v>6.0640000000000001</v>
      </c>
      <c r="V173" s="9">
        <f t="shared" si="6"/>
        <v>-0.51115538469230948</v>
      </c>
      <c r="W173" s="9"/>
      <c r="X173" s="9"/>
      <c r="Y173" s="9">
        <f>4.33+O173</f>
        <v>10.11</v>
      </c>
      <c r="Z173" s="9"/>
      <c r="AA173" s="5" t="s">
        <v>12</v>
      </c>
      <c r="AB173" s="7" t="s">
        <v>1123</v>
      </c>
      <c r="AC173" s="5" t="s">
        <v>13</v>
      </c>
      <c r="AD173" s="3">
        <v>9</v>
      </c>
      <c r="AE173" s="5" t="s">
        <v>14</v>
      </c>
      <c r="AF173" s="5" t="s">
        <v>96</v>
      </c>
      <c r="AG173" s="5" t="s">
        <v>8</v>
      </c>
      <c r="AH173" s="5" t="s">
        <v>8</v>
      </c>
      <c r="AI173" s="5" t="s">
        <v>8</v>
      </c>
      <c r="AJ173" s="5" t="s">
        <v>8</v>
      </c>
      <c r="AL173" s="5" t="s">
        <v>8</v>
      </c>
      <c r="AM173" s="5">
        <v>2010</v>
      </c>
      <c r="AN173" s="5" t="s">
        <v>67</v>
      </c>
      <c r="AO173" s="5" t="s">
        <v>67</v>
      </c>
      <c r="AP173" s="5" t="s">
        <v>654</v>
      </c>
      <c r="AQ173" s="19" t="s">
        <v>657</v>
      </c>
      <c r="AZ173" s="5">
        <v>6.0600000000000003E-3</v>
      </c>
      <c r="BC173" s="5">
        <v>5.2199999999999998E-3</v>
      </c>
      <c r="BD173" s="58">
        <f t="shared" ref="BD173:BD185" si="11">LN(AZ173/BC173)</f>
        <v>0.14921239818667575</v>
      </c>
      <c r="BI173" s="5">
        <v>1.116E-3</v>
      </c>
      <c r="BL173" s="5">
        <v>5.5999999999999995E-4</v>
      </c>
      <c r="BM173" s="58">
        <f t="shared" si="9"/>
        <v>0.68956935921206142</v>
      </c>
      <c r="CP173" s="5">
        <v>1.4399999999999999E-5</v>
      </c>
      <c r="CS173" s="5">
        <v>1.2E-4</v>
      </c>
      <c r="DW173" s="5">
        <v>0.28599999999999998</v>
      </c>
      <c r="DZ173" s="5">
        <v>8.2299999999999998E-2</v>
      </c>
    </row>
    <row r="174" spans="1:162" hidden="1" x14ac:dyDescent="0.2">
      <c r="A174" s="3" t="s">
        <v>1</v>
      </c>
      <c r="B174" s="4" t="s">
        <v>69</v>
      </c>
      <c r="C174" s="28">
        <v>2015</v>
      </c>
      <c r="D174" s="16">
        <v>85</v>
      </c>
      <c r="E174" s="16">
        <v>2</v>
      </c>
      <c r="F174" s="5" t="s">
        <v>1055</v>
      </c>
      <c r="G174" s="5" t="s">
        <v>655</v>
      </c>
      <c r="H174" s="5" t="s">
        <v>93</v>
      </c>
      <c r="I174" s="5" t="s">
        <v>658</v>
      </c>
      <c r="J174" s="5" t="s">
        <v>25</v>
      </c>
      <c r="K174" s="5" t="s">
        <v>1045</v>
      </c>
      <c r="L174" s="5" t="s">
        <v>8</v>
      </c>
      <c r="M174" s="5" t="s">
        <v>9</v>
      </c>
      <c r="N174" s="7">
        <v>5.82</v>
      </c>
      <c r="O174" s="7">
        <v>5.82</v>
      </c>
      <c r="P174" s="7" t="s">
        <v>71</v>
      </c>
      <c r="Q174" s="5" t="s">
        <v>39</v>
      </c>
      <c r="R174" s="5" t="s">
        <v>31</v>
      </c>
      <c r="S174" s="5" t="s">
        <v>96</v>
      </c>
      <c r="T174" s="5" t="s">
        <v>1335</v>
      </c>
      <c r="U174" s="9">
        <f>0.27+N174</f>
        <v>6.09</v>
      </c>
      <c r="V174" s="9">
        <f t="shared" si="6"/>
        <v>-0.51082562376599072</v>
      </c>
      <c r="W174" s="9"/>
      <c r="X174" s="9"/>
      <c r="Y174" s="9">
        <f>4.33+O174</f>
        <v>10.15</v>
      </c>
      <c r="Z174" s="9"/>
      <c r="AA174" s="5" t="s">
        <v>12</v>
      </c>
      <c r="AB174" s="7" t="s">
        <v>1123</v>
      </c>
      <c r="AC174" s="5" t="s">
        <v>13</v>
      </c>
      <c r="AD174" s="3">
        <v>9</v>
      </c>
      <c r="AE174" s="5" t="s">
        <v>14</v>
      </c>
      <c r="AF174" s="5" t="s">
        <v>96</v>
      </c>
      <c r="AG174" s="5" t="s">
        <v>8</v>
      </c>
      <c r="AH174" s="5" t="s">
        <v>8</v>
      </c>
      <c r="AI174" s="5" t="s">
        <v>8</v>
      </c>
      <c r="AJ174" s="5" t="s">
        <v>8</v>
      </c>
      <c r="AL174" s="5" t="s">
        <v>8</v>
      </c>
      <c r="AM174" s="5">
        <v>2010</v>
      </c>
      <c r="AN174" s="5" t="s">
        <v>67</v>
      </c>
      <c r="AO174" s="5" t="s">
        <v>67</v>
      </c>
      <c r="AP174" s="5" t="s">
        <v>654</v>
      </c>
      <c r="AQ174" s="19" t="s">
        <v>657</v>
      </c>
      <c r="AZ174" s="5">
        <v>6.2199999999999998E-3</v>
      </c>
      <c r="BC174" s="5">
        <v>5.2199999999999998E-3</v>
      </c>
      <c r="BD174" s="58">
        <f t="shared" si="11"/>
        <v>0.17527250485654078</v>
      </c>
      <c r="BI174" s="5">
        <v>1.152E-3</v>
      </c>
      <c r="BL174" s="5">
        <v>5.5999999999999995E-4</v>
      </c>
      <c r="BM174" s="58">
        <f t="shared" si="9"/>
        <v>0.7213180575266418</v>
      </c>
      <c r="CP174" s="5">
        <v>1.42E-5</v>
      </c>
      <c r="CS174" s="5">
        <v>1.2E-4</v>
      </c>
      <c r="DW174" s="5">
        <v>1.9</v>
      </c>
      <c r="DZ174" s="5">
        <v>8.2299999999999998E-2</v>
      </c>
    </row>
    <row r="175" spans="1:162" hidden="1" x14ac:dyDescent="0.2">
      <c r="A175" s="3" t="s">
        <v>1</v>
      </c>
      <c r="B175" s="4" t="s">
        <v>69</v>
      </c>
      <c r="C175" s="28">
        <v>2015</v>
      </c>
      <c r="D175" s="16">
        <v>85</v>
      </c>
      <c r="E175" s="16">
        <v>3</v>
      </c>
      <c r="F175" s="5" t="s">
        <v>1055</v>
      </c>
      <c r="G175" s="5" t="s">
        <v>16</v>
      </c>
      <c r="H175" s="5" t="s">
        <v>5</v>
      </c>
      <c r="I175" s="5" t="s">
        <v>659</v>
      </c>
      <c r="J175" s="5" t="s">
        <v>25</v>
      </c>
      <c r="K175" s="5" t="s">
        <v>1045</v>
      </c>
      <c r="L175" s="5" t="s">
        <v>8</v>
      </c>
      <c r="M175" s="5" t="s">
        <v>9</v>
      </c>
      <c r="N175" s="7">
        <v>6.66</v>
      </c>
      <c r="O175" s="7">
        <v>6.66</v>
      </c>
      <c r="P175" s="7" t="s">
        <v>71</v>
      </c>
      <c r="Q175" s="5" t="s">
        <v>39</v>
      </c>
      <c r="R175" s="5" t="s">
        <v>31</v>
      </c>
      <c r="S175" s="5" t="s">
        <v>96</v>
      </c>
      <c r="T175" s="5" t="s">
        <v>1335</v>
      </c>
      <c r="U175" s="9">
        <f>1.308+N175</f>
        <v>7.968</v>
      </c>
      <c r="V175" s="9">
        <f t="shared" si="6"/>
        <v>-0.32155224813323285</v>
      </c>
      <c r="W175" s="9"/>
      <c r="X175" s="9"/>
      <c r="Y175" s="9">
        <f>4.33+O175</f>
        <v>10.99</v>
      </c>
      <c r="Z175" s="9"/>
      <c r="AA175" s="5" t="s">
        <v>12</v>
      </c>
      <c r="AB175" s="7" t="s">
        <v>1123</v>
      </c>
      <c r="AC175" s="5" t="s">
        <v>13</v>
      </c>
      <c r="AD175" s="3">
        <v>9</v>
      </c>
      <c r="AE175" s="5" t="s">
        <v>14</v>
      </c>
      <c r="AF175" s="5" t="s">
        <v>96</v>
      </c>
      <c r="AG175" s="5" t="s">
        <v>8</v>
      </c>
      <c r="AH175" s="5" t="s">
        <v>8</v>
      </c>
      <c r="AI175" s="5" t="s">
        <v>8</v>
      </c>
      <c r="AJ175" s="5" t="s">
        <v>8</v>
      </c>
      <c r="AL175" s="5" t="s">
        <v>8</v>
      </c>
      <c r="AM175" s="5">
        <v>2010</v>
      </c>
      <c r="AN175" s="5" t="s">
        <v>67</v>
      </c>
      <c r="AO175" s="5" t="s">
        <v>67</v>
      </c>
      <c r="AP175" s="5" t="s">
        <v>654</v>
      </c>
      <c r="AQ175" s="19" t="s">
        <v>657</v>
      </c>
      <c r="AZ175" s="5">
        <v>0.01</v>
      </c>
      <c r="BC175" s="5">
        <v>5.2199999999999998E-3</v>
      </c>
      <c r="BD175" s="58">
        <f t="shared" si="11"/>
        <v>0.65008769109949838</v>
      </c>
      <c r="BI175" s="5">
        <v>1.5200000000000001E-3</v>
      </c>
      <c r="BL175" s="5">
        <v>5.5999999999999995E-4</v>
      </c>
      <c r="BM175" s="58">
        <f t="shared" si="9"/>
        <v>0.99852883011112736</v>
      </c>
      <c r="CP175" s="5">
        <v>6.3800000000000003E-3</v>
      </c>
      <c r="CS175" s="5">
        <v>1.2E-4</v>
      </c>
      <c r="DW175" s="5">
        <v>7.1499999999999994E-2</v>
      </c>
      <c r="DZ175" s="5">
        <v>0.623</v>
      </c>
    </row>
    <row r="176" spans="1:162" hidden="1" x14ac:dyDescent="0.2">
      <c r="A176" s="3" t="s">
        <v>1</v>
      </c>
      <c r="B176" s="4" t="s">
        <v>69</v>
      </c>
      <c r="C176" s="28">
        <v>2015</v>
      </c>
      <c r="D176" s="16">
        <v>85</v>
      </c>
      <c r="E176" s="16">
        <v>4</v>
      </c>
      <c r="F176" s="5" t="s">
        <v>1055</v>
      </c>
      <c r="G176" s="5" t="s">
        <v>16</v>
      </c>
      <c r="H176" s="5" t="s">
        <v>5</v>
      </c>
      <c r="I176" s="5" t="s">
        <v>59</v>
      </c>
      <c r="J176" s="5" t="s">
        <v>7</v>
      </c>
      <c r="K176" s="5" t="s">
        <v>1045</v>
      </c>
      <c r="L176" s="5" t="s">
        <v>1049</v>
      </c>
      <c r="M176" s="5" t="s">
        <v>9</v>
      </c>
      <c r="N176" s="7">
        <v>15.12</v>
      </c>
      <c r="O176" s="7">
        <v>15.12</v>
      </c>
      <c r="P176" s="7" t="s">
        <v>71</v>
      </c>
      <c r="Q176" s="5" t="s">
        <v>39</v>
      </c>
      <c r="R176" s="5" t="s">
        <v>31</v>
      </c>
      <c r="S176" s="5" t="s">
        <v>96</v>
      </c>
      <c r="T176" s="5" t="s">
        <v>1335</v>
      </c>
      <c r="U176" s="9">
        <f>1.6+N176</f>
        <v>16.72</v>
      </c>
      <c r="V176" s="9">
        <f t="shared" si="6"/>
        <v>-0.15124146240789973</v>
      </c>
      <c r="W176" s="9"/>
      <c r="X176" s="9"/>
      <c r="Y176" s="9">
        <f>4.33+O176</f>
        <v>19.45</v>
      </c>
      <c r="Z176" s="9"/>
      <c r="AA176" s="5" t="s">
        <v>12</v>
      </c>
      <c r="AB176" s="7" t="s">
        <v>1123</v>
      </c>
      <c r="AC176" s="5" t="s">
        <v>13</v>
      </c>
      <c r="AD176" s="3">
        <v>9</v>
      </c>
      <c r="AE176" s="5" t="s">
        <v>14</v>
      </c>
      <c r="AF176" s="5" t="s">
        <v>96</v>
      </c>
      <c r="AG176" s="5" t="s">
        <v>8</v>
      </c>
      <c r="AH176" s="5" t="s">
        <v>8</v>
      </c>
      <c r="AI176" s="5" t="s">
        <v>8</v>
      </c>
      <c r="AJ176" s="5" t="s">
        <v>8</v>
      </c>
      <c r="AL176" s="5" t="s">
        <v>8</v>
      </c>
      <c r="AM176" s="5">
        <v>2010</v>
      </c>
      <c r="AN176" s="5" t="s">
        <v>67</v>
      </c>
      <c r="AO176" s="5" t="s">
        <v>44</v>
      </c>
      <c r="AP176" s="5" t="s">
        <v>654</v>
      </c>
      <c r="AQ176" s="19" t="s">
        <v>657</v>
      </c>
      <c r="AZ176" s="5">
        <v>1.37E-2</v>
      </c>
      <c r="BC176" s="5">
        <v>5.2199999999999998E-3</v>
      </c>
      <c r="BD176" s="58">
        <f t="shared" si="11"/>
        <v>0.96489843093953198</v>
      </c>
      <c r="BI176" s="5">
        <v>1.82E-3</v>
      </c>
      <c r="BL176" s="5">
        <v>5.5999999999999995E-4</v>
      </c>
      <c r="BM176" s="58">
        <f t="shared" si="9"/>
        <v>1.1786549963416462</v>
      </c>
      <c r="CP176" s="5">
        <v>6.28E-3</v>
      </c>
      <c r="CS176" s="5">
        <v>1.2E-4</v>
      </c>
      <c r="DW176" s="5">
        <v>6.6500000000000004E-2</v>
      </c>
      <c r="DZ176" s="5">
        <v>0.623</v>
      </c>
    </row>
    <row r="177" spans="1:178" ht="13.15" hidden="1" customHeight="1" x14ac:dyDescent="0.2">
      <c r="A177" s="3" t="s">
        <v>1</v>
      </c>
      <c r="B177" s="4" t="s">
        <v>129</v>
      </c>
      <c r="C177" s="28">
        <v>2016</v>
      </c>
      <c r="D177" s="16">
        <v>86</v>
      </c>
      <c r="E177" s="16">
        <v>6</v>
      </c>
      <c r="F177" s="63" t="s">
        <v>1077</v>
      </c>
      <c r="G177" s="5" t="s">
        <v>16</v>
      </c>
      <c r="H177" s="5" t="s">
        <v>5</v>
      </c>
      <c r="I177" s="5" t="s">
        <v>43</v>
      </c>
      <c r="J177" s="5" t="s">
        <v>25</v>
      </c>
      <c r="K177" s="5" t="s">
        <v>1045</v>
      </c>
      <c r="L177" s="5" t="s">
        <v>52</v>
      </c>
      <c r="M177" s="5" t="s">
        <v>9</v>
      </c>
      <c r="N177" s="85">
        <f>(0.44/(8.3+1.66))*1.66</f>
        <v>7.333333333333332E-2</v>
      </c>
      <c r="O177" s="85">
        <v>1.374427799</v>
      </c>
      <c r="P177" s="7" t="s">
        <v>667</v>
      </c>
      <c r="Q177" s="5" t="s">
        <v>39</v>
      </c>
      <c r="R177" s="5" t="s">
        <v>1028</v>
      </c>
      <c r="S177" s="5" t="s">
        <v>668</v>
      </c>
      <c r="T177" s="5" t="s">
        <v>1335</v>
      </c>
      <c r="U177" s="9">
        <f>0.77+N177</f>
        <v>0.84333333333333338</v>
      </c>
      <c r="V177" s="9">
        <f t="shared" si="6"/>
        <v>-0.80930982583177313</v>
      </c>
      <c r="W177" s="9"/>
      <c r="X177" s="9"/>
      <c r="Y177" s="9">
        <f>0.52+O177</f>
        <v>1.894427799</v>
      </c>
      <c r="Z177" s="9"/>
      <c r="AA177" s="5" t="s">
        <v>12</v>
      </c>
      <c r="AB177" s="7" t="s">
        <v>1123</v>
      </c>
      <c r="AC177" s="5" t="s">
        <v>13</v>
      </c>
      <c r="AD177" s="3">
        <v>9</v>
      </c>
      <c r="AE177" s="5" t="s">
        <v>14</v>
      </c>
      <c r="AF177" s="5" t="s">
        <v>1311</v>
      </c>
      <c r="AG177" s="5" t="s">
        <v>14</v>
      </c>
      <c r="AH177" s="5" t="s">
        <v>14</v>
      </c>
      <c r="AI177" s="5" t="s">
        <v>8</v>
      </c>
      <c r="AJ177" s="5" t="s">
        <v>8</v>
      </c>
      <c r="AL177" s="5" t="s">
        <v>8</v>
      </c>
      <c r="AM177" s="5" t="s">
        <v>1028</v>
      </c>
      <c r="AN177" s="5" t="s">
        <v>1028</v>
      </c>
      <c r="AO177" s="5" t="s">
        <v>1028</v>
      </c>
      <c r="AP177" s="5" t="s">
        <v>660</v>
      </c>
      <c r="AQ177" s="5" t="s">
        <v>663</v>
      </c>
      <c r="AZ177" s="5">
        <v>8.5800000000000004E-4</v>
      </c>
      <c r="BC177" s="5">
        <v>6.3000000000000003E-4</v>
      </c>
      <c r="BD177" s="58">
        <f t="shared" si="11"/>
        <v>0.30888428010238395</v>
      </c>
      <c r="BI177" s="5">
        <v>1.4499999999999999E-3</v>
      </c>
      <c r="BL177" s="5">
        <v>2.1100000000000001E-4</v>
      </c>
      <c r="BM177" s="58">
        <f t="shared" si="9"/>
        <v>1.9274607019385535</v>
      </c>
      <c r="CP177" s="5">
        <v>1E-3</v>
      </c>
      <c r="CS177" s="5">
        <v>1.25E-4</v>
      </c>
    </row>
    <row r="178" spans="1:178" ht="13.15" hidden="1" customHeight="1" x14ac:dyDescent="0.2">
      <c r="A178" s="3" t="s">
        <v>1</v>
      </c>
      <c r="B178" s="4" t="s">
        <v>129</v>
      </c>
      <c r="C178" s="28">
        <v>2016</v>
      </c>
      <c r="D178" s="16">
        <v>86</v>
      </c>
      <c r="E178" s="16">
        <v>4</v>
      </c>
      <c r="F178" s="63" t="s">
        <v>1068</v>
      </c>
      <c r="G178" s="5" t="s">
        <v>16</v>
      </c>
      <c r="H178" s="5" t="s">
        <v>5</v>
      </c>
      <c r="I178" s="5" t="s">
        <v>37</v>
      </c>
      <c r="J178" s="5" t="s">
        <v>25</v>
      </c>
      <c r="K178" s="5" t="s">
        <v>1045</v>
      </c>
      <c r="L178" s="5" t="s">
        <v>52</v>
      </c>
      <c r="M178" s="5" t="s">
        <v>9</v>
      </c>
      <c r="N178" s="85">
        <f>(1.49*1.7)*0.5*0.62</f>
        <v>0.78522999999999998</v>
      </c>
      <c r="O178" s="85">
        <v>0.95679884120000003</v>
      </c>
      <c r="P178" s="7" t="s">
        <v>664</v>
      </c>
      <c r="Q178" s="5" t="s">
        <v>39</v>
      </c>
      <c r="R178" s="5" t="s">
        <v>1028</v>
      </c>
      <c r="S178" s="5" t="s">
        <v>666</v>
      </c>
      <c r="T178" s="5" t="s">
        <v>1335</v>
      </c>
      <c r="U178" s="9">
        <f>1.19+N178</f>
        <v>1.9752299999999998</v>
      </c>
      <c r="V178" s="9">
        <f t="shared" si="6"/>
        <v>-0.54801925412847208</v>
      </c>
      <c r="W178" s="9"/>
      <c r="X178" s="9"/>
      <c r="Y178" s="9">
        <f>2.46+O178</f>
        <v>3.4167988411999999</v>
      </c>
      <c r="Z178" s="9"/>
      <c r="AA178" s="5" t="s">
        <v>12</v>
      </c>
      <c r="AB178" s="7" t="s">
        <v>1123</v>
      </c>
      <c r="AC178" s="5" t="s">
        <v>13</v>
      </c>
      <c r="AD178" s="3">
        <v>9</v>
      </c>
      <c r="AE178" s="5" t="s">
        <v>8</v>
      </c>
      <c r="AF178" s="5" t="s">
        <v>1312</v>
      </c>
      <c r="AG178" s="5" t="s">
        <v>8</v>
      </c>
      <c r="AH178" s="5" t="s">
        <v>8</v>
      </c>
      <c r="AI178" s="5" t="s">
        <v>8</v>
      </c>
      <c r="AJ178" s="5" t="s">
        <v>8</v>
      </c>
      <c r="AL178" s="5" t="s">
        <v>8</v>
      </c>
      <c r="AM178" s="5" t="s">
        <v>1028</v>
      </c>
      <c r="AN178" s="5" t="s">
        <v>1028</v>
      </c>
      <c r="AO178" s="5" t="s">
        <v>1028</v>
      </c>
      <c r="AP178" s="5" t="s">
        <v>660</v>
      </c>
      <c r="AQ178" s="5" t="s">
        <v>663</v>
      </c>
      <c r="AZ178" s="5">
        <v>4.5999999999999999E-2</v>
      </c>
      <c r="BC178" s="5">
        <v>1.0999999999999999E-2</v>
      </c>
      <c r="BD178" s="58">
        <f t="shared" si="11"/>
        <v>1.4307461236907244</v>
      </c>
      <c r="BI178" s="5">
        <v>1.38E-2</v>
      </c>
      <c r="BL178" s="5">
        <v>2.8500000000000001E-3</v>
      </c>
      <c r="BM178" s="58">
        <f t="shared" si="9"/>
        <v>1.5773495978825998</v>
      </c>
      <c r="CP178" s="5">
        <v>1.82E-3</v>
      </c>
      <c r="CS178" s="5">
        <v>1.92E-3</v>
      </c>
    </row>
    <row r="179" spans="1:178" hidden="1" x14ac:dyDescent="0.2">
      <c r="A179" s="3" t="s">
        <v>1</v>
      </c>
      <c r="B179" s="4" t="s">
        <v>129</v>
      </c>
      <c r="C179" s="28">
        <v>2016</v>
      </c>
      <c r="D179" s="16">
        <v>86</v>
      </c>
      <c r="E179" s="16">
        <v>3</v>
      </c>
      <c r="F179" s="63" t="s">
        <v>1068</v>
      </c>
      <c r="G179" s="5" t="s">
        <v>16</v>
      </c>
      <c r="H179" s="5" t="s">
        <v>5</v>
      </c>
      <c r="I179" s="5" t="s">
        <v>375</v>
      </c>
      <c r="J179" s="5" t="s">
        <v>25</v>
      </c>
      <c r="K179" s="5" t="s">
        <v>1045</v>
      </c>
      <c r="L179" s="5" t="s">
        <v>52</v>
      </c>
      <c r="M179" s="5" t="s">
        <v>9</v>
      </c>
      <c r="N179" s="85">
        <f>(1.51/2.3)*1.3*0.7</f>
        <v>0.59743478260869576</v>
      </c>
      <c r="O179" s="85">
        <v>0.95679884120000003</v>
      </c>
      <c r="P179" s="7" t="s">
        <v>664</v>
      </c>
      <c r="Q179" s="5" t="s">
        <v>39</v>
      </c>
      <c r="R179" s="5" t="s">
        <v>1028</v>
      </c>
      <c r="S179" s="5" t="s">
        <v>665</v>
      </c>
      <c r="T179" s="5" t="s">
        <v>1335</v>
      </c>
      <c r="U179" s="9">
        <f>1.47+N179</f>
        <v>2.0674347826086956</v>
      </c>
      <c r="V179" s="9">
        <f t="shared" si="6"/>
        <v>-0.50239549806199302</v>
      </c>
      <c r="W179" s="9"/>
      <c r="X179" s="9"/>
      <c r="Y179" s="9">
        <f>2.46+O179</f>
        <v>3.4167988411999999</v>
      </c>
      <c r="Z179" s="9"/>
      <c r="AA179" s="5" t="s">
        <v>12</v>
      </c>
      <c r="AB179" s="7" t="s">
        <v>1123</v>
      </c>
      <c r="AC179" s="5" t="s">
        <v>13</v>
      </c>
      <c r="AD179" s="3">
        <v>9</v>
      </c>
      <c r="AE179" s="5" t="s">
        <v>8</v>
      </c>
      <c r="AF179" s="5" t="s">
        <v>1313</v>
      </c>
      <c r="AG179" s="5" t="s">
        <v>8</v>
      </c>
      <c r="AH179" s="5" t="s">
        <v>8</v>
      </c>
      <c r="AI179" s="5" t="s">
        <v>8</v>
      </c>
      <c r="AJ179" s="5" t="s">
        <v>8</v>
      </c>
      <c r="AL179" s="5" t="s">
        <v>8</v>
      </c>
      <c r="AM179" s="5" t="s">
        <v>1028</v>
      </c>
      <c r="AN179" s="5" t="s">
        <v>1028</v>
      </c>
      <c r="AO179" s="5" t="s">
        <v>1028</v>
      </c>
      <c r="AP179" s="5" t="s">
        <v>660</v>
      </c>
      <c r="AQ179" s="5" t="s">
        <v>663</v>
      </c>
      <c r="AZ179" s="5">
        <v>1.4999999999999999E-2</v>
      </c>
      <c r="BC179" s="5">
        <v>1.0999999999999999E-2</v>
      </c>
      <c r="BD179" s="58">
        <f t="shared" si="11"/>
        <v>0.31015492830383962</v>
      </c>
      <c r="BI179" s="5">
        <v>4.8999999999999998E-3</v>
      </c>
      <c r="BL179" s="5">
        <v>2.8500000000000001E-3</v>
      </c>
      <c r="BM179" s="58">
        <f t="shared" si="9"/>
        <v>0.54191621083602159</v>
      </c>
      <c r="CP179" s="5">
        <v>9.4700000000000003E-4</v>
      </c>
      <c r="CS179" s="5">
        <v>1.92E-3</v>
      </c>
    </row>
    <row r="180" spans="1:178" ht="13.15" hidden="1" customHeight="1" x14ac:dyDescent="0.2">
      <c r="A180" s="3" t="s">
        <v>1</v>
      </c>
      <c r="B180" s="4" t="s">
        <v>129</v>
      </c>
      <c r="C180" s="28">
        <v>2016</v>
      </c>
      <c r="D180" s="16">
        <v>86</v>
      </c>
      <c r="E180" s="16">
        <v>2</v>
      </c>
      <c r="F180" s="5" t="s">
        <v>1100</v>
      </c>
      <c r="G180" s="5" t="s">
        <v>16</v>
      </c>
      <c r="H180" s="5" t="s">
        <v>5</v>
      </c>
      <c r="I180" s="5" t="s">
        <v>136</v>
      </c>
      <c r="J180" s="5" t="s">
        <v>25</v>
      </c>
      <c r="K180" s="5" t="s">
        <v>1045</v>
      </c>
      <c r="L180" s="5" t="s">
        <v>52</v>
      </c>
      <c r="M180" s="5" t="s">
        <v>9</v>
      </c>
      <c r="N180" s="7">
        <v>0</v>
      </c>
      <c r="O180" s="7">
        <v>2.274621212</v>
      </c>
      <c r="P180" s="7" t="s">
        <v>661</v>
      </c>
      <c r="Q180" s="5" t="s">
        <v>39</v>
      </c>
      <c r="R180" s="5" t="s">
        <v>1028</v>
      </c>
      <c r="S180" s="5" t="s">
        <v>662</v>
      </c>
      <c r="T180" s="5" t="s">
        <v>1335</v>
      </c>
      <c r="U180" s="9">
        <f>4.64+N180</f>
        <v>4.6399999999999997</v>
      </c>
      <c r="V180" s="9">
        <f t="shared" si="6"/>
        <v>2.2972811628088036E-2</v>
      </c>
      <c r="W180" s="9"/>
      <c r="X180" s="9"/>
      <c r="Y180" s="9">
        <f>2.26+O180</f>
        <v>4.5346212119999993</v>
      </c>
      <c r="Z180" s="9"/>
      <c r="AA180" s="5" t="s">
        <v>12</v>
      </c>
      <c r="AB180" s="7" t="s">
        <v>1123</v>
      </c>
      <c r="AC180" s="5" t="s">
        <v>13</v>
      </c>
      <c r="AD180" s="3">
        <v>9</v>
      </c>
      <c r="AE180" s="5" t="s">
        <v>14</v>
      </c>
      <c r="AF180" s="5" t="s">
        <v>97</v>
      </c>
      <c r="AG180" s="5" t="s">
        <v>8</v>
      </c>
      <c r="AH180" s="5" t="s">
        <v>8</v>
      </c>
      <c r="AI180" s="5" t="s">
        <v>8</v>
      </c>
      <c r="AJ180" s="5" t="s">
        <v>8</v>
      </c>
      <c r="AL180" s="5" t="s">
        <v>8</v>
      </c>
      <c r="AM180" s="5" t="s">
        <v>1028</v>
      </c>
      <c r="AN180" s="5" t="s">
        <v>1028</v>
      </c>
      <c r="AO180" s="5" t="s">
        <v>137</v>
      </c>
      <c r="AP180" s="5" t="s">
        <v>660</v>
      </c>
      <c r="AQ180" s="5" t="s">
        <v>663</v>
      </c>
      <c r="AZ180" s="5">
        <v>4.4999999999999998E-2</v>
      </c>
      <c r="BC180" s="5">
        <v>1.0999999999999999E-2</v>
      </c>
      <c r="BD180" s="58">
        <f t="shared" si="11"/>
        <v>1.4087672169719492</v>
      </c>
      <c r="BI180" s="5">
        <v>8.5000000000000006E-3</v>
      </c>
      <c r="BL180" s="5">
        <v>1.16E-3</v>
      </c>
      <c r="BM180" s="58">
        <f t="shared" si="9"/>
        <v>1.9916461583779976</v>
      </c>
      <c r="CP180" s="5">
        <v>5.1000000000000004E-3</v>
      </c>
      <c r="CS180" s="5">
        <v>1.92E-3</v>
      </c>
      <c r="DW180" s="5">
        <v>0.35599999999999998</v>
      </c>
      <c r="DZ180" s="5">
        <v>9.2099999999999994E-3</v>
      </c>
    </row>
    <row r="181" spans="1:178" hidden="1" x14ac:dyDescent="0.2">
      <c r="A181" s="3" t="s">
        <v>1</v>
      </c>
      <c r="B181" s="4" t="s">
        <v>129</v>
      </c>
      <c r="C181" s="28">
        <v>2016</v>
      </c>
      <c r="D181" s="16">
        <v>86</v>
      </c>
      <c r="E181" s="16">
        <v>5</v>
      </c>
      <c r="F181" s="5" t="s">
        <v>1077</v>
      </c>
      <c r="G181" s="5" t="s">
        <v>16</v>
      </c>
      <c r="H181" s="5" t="s">
        <v>5</v>
      </c>
      <c r="I181" s="5" t="s">
        <v>136</v>
      </c>
      <c r="J181" s="5" t="s">
        <v>25</v>
      </c>
      <c r="K181" s="5" t="s">
        <v>1045</v>
      </c>
      <c r="L181" s="5" t="s">
        <v>52</v>
      </c>
      <c r="M181" s="5" t="s">
        <v>9</v>
      </c>
      <c r="N181" s="85">
        <f>(1.27/2.22)*1.22*0.75</f>
        <v>0.52344594594594585</v>
      </c>
      <c r="O181" s="85">
        <v>1.374427799</v>
      </c>
      <c r="P181" s="7" t="s">
        <v>667</v>
      </c>
      <c r="Q181" s="5" t="s">
        <v>39</v>
      </c>
      <c r="R181" s="5" t="s">
        <v>1028</v>
      </c>
      <c r="S181" s="5" t="s">
        <v>666</v>
      </c>
      <c r="T181" s="5" t="s">
        <v>1335</v>
      </c>
      <c r="U181" s="9">
        <f>4.72+N181</f>
        <v>5.2434459459459459</v>
      </c>
      <c r="V181" s="9">
        <f t="shared" si="6"/>
        <v>1.0180620655625552</v>
      </c>
      <c r="W181" s="9"/>
      <c r="X181" s="9"/>
      <c r="Y181" s="9">
        <f>0.52+O181</f>
        <v>1.894427799</v>
      </c>
      <c r="Z181" s="9"/>
      <c r="AA181" s="5" t="s">
        <v>12</v>
      </c>
      <c r="AB181" s="7" t="s">
        <v>1123</v>
      </c>
      <c r="AC181" s="5" t="s">
        <v>13</v>
      </c>
      <c r="AD181" s="3">
        <v>9</v>
      </c>
      <c r="AE181" s="5" t="s">
        <v>14</v>
      </c>
      <c r="AF181" s="5" t="s">
        <v>97</v>
      </c>
      <c r="AG181" s="5" t="s">
        <v>14</v>
      </c>
      <c r="AH181" s="5" t="s">
        <v>8</v>
      </c>
      <c r="AI181" s="5" t="s">
        <v>8</v>
      </c>
      <c r="AJ181" s="5" t="s">
        <v>14</v>
      </c>
      <c r="AL181" s="5" t="s">
        <v>8</v>
      </c>
      <c r="AM181" s="5" t="s">
        <v>1028</v>
      </c>
      <c r="AN181" s="5" t="s">
        <v>1028</v>
      </c>
      <c r="AO181" s="5" t="s">
        <v>44</v>
      </c>
      <c r="AP181" s="5" t="s">
        <v>660</v>
      </c>
      <c r="AQ181" s="5" t="s">
        <v>663</v>
      </c>
      <c r="AZ181" s="5">
        <v>2.9000000000000001E-2</v>
      </c>
      <c r="BC181" s="5">
        <v>6.3000000000000003E-4</v>
      </c>
      <c r="BD181" s="58">
        <f t="shared" si="11"/>
        <v>3.8293312895830329</v>
      </c>
      <c r="BI181" s="5">
        <v>5.4299999999999999E-3</v>
      </c>
      <c r="BL181" s="5">
        <v>2.1100000000000001E-4</v>
      </c>
      <c r="BM181" s="58">
        <f t="shared" si="9"/>
        <v>3.2478362794519144</v>
      </c>
      <c r="CP181" s="5">
        <v>3.3E-3</v>
      </c>
      <c r="CS181" s="5">
        <v>1.25E-4</v>
      </c>
    </row>
    <row r="182" spans="1:178" hidden="1" x14ac:dyDescent="0.2">
      <c r="A182" s="3" t="s">
        <v>1</v>
      </c>
      <c r="B182" s="69" t="s">
        <v>129</v>
      </c>
      <c r="C182" s="76">
        <v>2016</v>
      </c>
      <c r="D182" s="16">
        <v>86</v>
      </c>
      <c r="E182" s="70">
        <v>1</v>
      </c>
      <c r="F182" s="3" t="s">
        <v>1100</v>
      </c>
      <c r="G182" s="3" t="s">
        <v>16</v>
      </c>
      <c r="H182" s="3" t="s">
        <v>5</v>
      </c>
      <c r="I182" s="3" t="s">
        <v>375</v>
      </c>
      <c r="J182" s="5" t="s">
        <v>25</v>
      </c>
      <c r="K182" s="5" t="s">
        <v>1045</v>
      </c>
      <c r="L182" s="3" t="s">
        <v>52</v>
      </c>
      <c r="M182" s="3" t="s">
        <v>9</v>
      </c>
      <c r="N182" s="85">
        <f>(1.51/2.3)*1.3*0.7</f>
        <v>0.59743478260869576</v>
      </c>
      <c r="O182" s="94">
        <v>2.274621212</v>
      </c>
      <c r="P182" s="66" t="s">
        <v>661</v>
      </c>
      <c r="Q182" s="3" t="s">
        <v>39</v>
      </c>
      <c r="R182" s="3" t="s">
        <v>1028</v>
      </c>
      <c r="S182" s="3" t="s">
        <v>662</v>
      </c>
      <c r="T182" s="5" t="s">
        <v>1335</v>
      </c>
      <c r="U182" s="98">
        <f>5.88+N182</f>
        <v>6.4774347826086958</v>
      </c>
      <c r="V182" s="98">
        <f t="shared" si="6"/>
        <v>0.35658301049675439</v>
      </c>
      <c r="W182" s="98"/>
      <c r="X182" s="98"/>
      <c r="Y182" s="98">
        <f>2.26+O182</f>
        <v>4.5346212119999993</v>
      </c>
      <c r="Z182" s="98"/>
      <c r="AA182" s="3" t="s">
        <v>12</v>
      </c>
      <c r="AB182" s="66" t="s">
        <v>1123</v>
      </c>
      <c r="AC182" s="3" t="s">
        <v>13</v>
      </c>
      <c r="AD182" s="3">
        <v>9</v>
      </c>
      <c r="AE182" s="5" t="s">
        <v>8</v>
      </c>
      <c r="AF182" s="5" t="s">
        <v>1313</v>
      </c>
      <c r="AG182" s="5" t="s">
        <v>8</v>
      </c>
      <c r="AH182" s="5" t="s">
        <v>8</v>
      </c>
      <c r="AI182" s="5" t="s">
        <v>8</v>
      </c>
      <c r="AJ182" s="5" t="s">
        <v>8</v>
      </c>
      <c r="AL182" s="5" t="s">
        <v>8</v>
      </c>
      <c r="AM182" s="5" t="s">
        <v>1028</v>
      </c>
      <c r="AN182" s="5" t="s">
        <v>1028</v>
      </c>
      <c r="AO182" s="5" t="s">
        <v>1028</v>
      </c>
      <c r="AP182" s="3" t="s">
        <v>660</v>
      </c>
      <c r="AQ182" s="5" t="s">
        <v>663</v>
      </c>
      <c r="AZ182" s="5">
        <v>0.06</v>
      </c>
      <c r="BC182" s="5">
        <v>1.0999999999999999E-2</v>
      </c>
      <c r="BD182" s="58">
        <f t="shared" si="11"/>
        <v>1.6964492894237302</v>
      </c>
      <c r="BI182" s="5">
        <v>0.02</v>
      </c>
      <c r="BL182" s="5">
        <v>1.16E-3</v>
      </c>
      <c r="BM182" s="58">
        <f t="shared" si="9"/>
        <v>2.8473122684357177</v>
      </c>
      <c r="CP182" s="5">
        <v>3.7699999999999999E-3</v>
      </c>
      <c r="CS182" s="5">
        <v>1.92E-3</v>
      </c>
      <c r="DW182" s="5">
        <v>1.19</v>
      </c>
      <c r="DZ182" s="5">
        <v>9.2099999999999994E-3</v>
      </c>
    </row>
    <row r="183" spans="1:178" hidden="1" x14ac:dyDescent="0.2">
      <c r="A183" s="3" t="s">
        <v>1</v>
      </c>
      <c r="B183" s="4" t="s">
        <v>669</v>
      </c>
      <c r="C183" s="28">
        <v>2016</v>
      </c>
      <c r="D183" s="16">
        <v>87</v>
      </c>
      <c r="E183" s="16">
        <v>1</v>
      </c>
      <c r="F183" s="63" t="s">
        <v>1083</v>
      </c>
      <c r="G183" s="5" t="s">
        <v>16</v>
      </c>
      <c r="H183" s="5" t="s">
        <v>5</v>
      </c>
      <c r="I183" s="5" t="s">
        <v>375</v>
      </c>
      <c r="J183" s="5" t="s">
        <v>25</v>
      </c>
      <c r="K183" s="5" t="s">
        <v>1046</v>
      </c>
      <c r="L183" s="5" t="s">
        <v>1049</v>
      </c>
      <c r="M183" s="5" t="s">
        <v>9</v>
      </c>
      <c r="N183" s="7">
        <v>1.95</v>
      </c>
      <c r="O183" s="7">
        <v>1.95</v>
      </c>
      <c r="P183" s="7" t="s">
        <v>118</v>
      </c>
      <c r="Q183" s="5" t="s">
        <v>39</v>
      </c>
      <c r="R183" s="5" t="s">
        <v>111</v>
      </c>
      <c r="S183" s="5" t="s">
        <v>671</v>
      </c>
      <c r="T183" s="5" t="s">
        <v>1335</v>
      </c>
      <c r="U183" s="9">
        <f>1.6+N183</f>
        <v>3.55</v>
      </c>
      <c r="V183" s="9">
        <f t="shared" si="6"/>
        <v>-0.58150720941727607</v>
      </c>
      <c r="W183" s="9">
        <f>U183*0.7407</f>
        <v>2.6294849999999999</v>
      </c>
      <c r="X183" s="9">
        <f>U183*1.2922</f>
        <v>4.5873099999999996</v>
      </c>
      <c r="Y183" s="9">
        <f>4.4+O183</f>
        <v>6.3500000000000005</v>
      </c>
      <c r="Z183" s="9"/>
      <c r="AA183" s="5" t="s">
        <v>12</v>
      </c>
      <c r="AB183" s="7" t="s">
        <v>1123</v>
      </c>
      <c r="AC183" s="5" t="s">
        <v>13</v>
      </c>
      <c r="AD183" s="3">
        <v>9</v>
      </c>
      <c r="AE183" s="5" t="s">
        <v>14</v>
      </c>
      <c r="AF183" s="5" t="s">
        <v>96</v>
      </c>
      <c r="AG183" s="5" t="s">
        <v>8</v>
      </c>
      <c r="AH183" s="5" t="s">
        <v>8</v>
      </c>
      <c r="AI183" s="5" t="s">
        <v>8</v>
      </c>
      <c r="AJ183" s="5" t="s">
        <v>8</v>
      </c>
      <c r="AK183" s="5" t="s">
        <v>363</v>
      </c>
      <c r="AL183" s="5" t="s">
        <v>14</v>
      </c>
      <c r="AM183" s="5" t="s">
        <v>1028</v>
      </c>
      <c r="AN183" s="5" t="s">
        <v>67</v>
      </c>
      <c r="AO183" s="5" t="s">
        <v>67</v>
      </c>
      <c r="AP183" s="5" t="s">
        <v>670</v>
      </c>
      <c r="AQ183" s="5" t="s">
        <v>672</v>
      </c>
      <c r="AR183" s="27">
        <v>2.1E-7</v>
      </c>
      <c r="AS183" s="27">
        <f>AR183*0.5226</f>
        <v>1.09746E-7</v>
      </c>
      <c r="AT183" s="27">
        <f>AR183*1.8395</f>
        <v>3.8629499999999998E-7</v>
      </c>
      <c r="AU183" s="27">
        <v>4.7999999999999996E-7</v>
      </c>
      <c r="AZ183" s="5">
        <v>0.01</v>
      </c>
      <c r="BA183" s="5">
        <f>AZ183*0.5432</f>
        <v>5.4320000000000002E-3</v>
      </c>
      <c r="BB183" s="5">
        <f>AZ183*1.7284</f>
        <v>1.7284000000000001E-2</v>
      </c>
      <c r="BC183" s="5">
        <v>1.2E-2</v>
      </c>
      <c r="BD183" s="58">
        <f t="shared" si="11"/>
        <v>-0.18232155679395459</v>
      </c>
      <c r="BI183" s="5">
        <v>9.1000000000000004E-3</v>
      </c>
      <c r="BL183" s="5">
        <v>1.2999999999999999E-4</v>
      </c>
      <c r="BM183" s="58">
        <f t="shared" si="9"/>
        <v>4.2484952420493594</v>
      </c>
      <c r="DW183" s="5">
        <v>0.83</v>
      </c>
      <c r="DX183" s="5">
        <f>DW183*0.679</f>
        <v>0.56357000000000002</v>
      </c>
      <c r="DY183" s="5">
        <f>DW183*1.4979</f>
        <v>1.2432570000000001</v>
      </c>
      <c r="DZ183" s="5">
        <v>11</v>
      </c>
      <c r="EQ183" s="5">
        <v>0.54</v>
      </c>
      <c r="ER183" s="5">
        <f>EQ183*0.6049</f>
        <v>0.32664599999999999</v>
      </c>
      <c r="ES183" s="5">
        <f>EQ183*1.5761</f>
        <v>0.85109400000000013</v>
      </c>
      <c r="ET183" s="5">
        <v>1.9</v>
      </c>
      <c r="EU183" s="5">
        <v>3.5000000000000001E-3</v>
      </c>
      <c r="EV183" s="5">
        <f>EU183*0.7366</f>
        <v>2.5781000000000003E-3</v>
      </c>
      <c r="EW183" s="5">
        <f>EU183*1.3539</f>
        <v>4.7386500000000005E-3</v>
      </c>
      <c r="EX183" s="5">
        <v>1.0999999999999999E-2</v>
      </c>
      <c r="FC183" s="5">
        <v>2.2000000000000001E-3</v>
      </c>
      <c r="FD183" s="5">
        <f>FC183*0.6502</f>
        <v>1.4304400000000001E-3</v>
      </c>
      <c r="FE183" s="5">
        <f>1.5432</f>
        <v>1.5431999999999999</v>
      </c>
      <c r="FF183" s="5">
        <v>4.0000000000000001E-3</v>
      </c>
    </row>
    <row r="184" spans="1:178" ht="13.15" hidden="1" customHeight="1" x14ac:dyDescent="0.2">
      <c r="A184" s="3" t="s">
        <v>1</v>
      </c>
      <c r="B184" s="4" t="s">
        <v>673</v>
      </c>
      <c r="C184" s="28">
        <v>2016</v>
      </c>
      <c r="D184" s="16">
        <v>88</v>
      </c>
      <c r="E184" s="16">
        <v>1</v>
      </c>
      <c r="F184" s="5" t="s">
        <v>1119</v>
      </c>
      <c r="G184" s="5" t="s">
        <v>676</v>
      </c>
      <c r="H184" s="5" t="s">
        <v>93</v>
      </c>
      <c r="I184" s="5" t="s">
        <v>677</v>
      </c>
      <c r="J184" s="5" t="s">
        <v>25</v>
      </c>
      <c r="K184" s="48" t="s">
        <v>1045</v>
      </c>
      <c r="L184" s="5" t="s">
        <v>8</v>
      </c>
      <c r="M184" s="5" t="s">
        <v>9</v>
      </c>
      <c r="N184" s="7">
        <v>0</v>
      </c>
      <c r="O184" s="7">
        <v>2.65</v>
      </c>
      <c r="P184" s="7" t="s">
        <v>675</v>
      </c>
      <c r="Q184" s="5" t="s">
        <v>39</v>
      </c>
      <c r="R184" s="5" t="s">
        <v>1028</v>
      </c>
      <c r="S184" s="5" t="s">
        <v>678</v>
      </c>
      <c r="T184" s="5" t="s">
        <v>1335</v>
      </c>
      <c r="U184" s="9">
        <f>13.4+N184</f>
        <v>13.4</v>
      </c>
      <c r="V184" s="9">
        <f t="shared" si="6"/>
        <v>-0.18666534271179969</v>
      </c>
      <c r="W184" s="9"/>
      <c r="X184" s="9"/>
      <c r="Y184" s="9">
        <f>13.5+O184</f>
        <v>16.149999999999999</v>
      </c>
      <c r="Z184" s="9"/>
      <c r="AA184" s="5" t="s">
        <v>12</v>
      </c>
      <c r="AB184" s="7" t="s">
        <v>1123</v>
      </c>
      <c r="AC184" s="5" t="s">
        <v>13</v>
      </c>
      <c r="AD184" s="3">
        <v>9</v>
      </c>
      <c r="AE184" s="5" t="s">
        <v>14</v>
      </c>
      <c r="AF184" s="5" t="s">
        <v>97</v>
      </c>
      <c r="AG184" s="5" t="s">
        <v>8</v>
      </c>
      <c r="AH184" s="5" t="s">
        <v>14</v>
      </c>
      <c r="AI184" s="5" t="s">
        <v>8</v>
      </c>
      <c r="AJ184" s="5" t="s">
        <v>8</v>
      </c>
      <c r="AK184" s="5" t="s">
        <v>679</v>
      </c>
      <c r="AL184" s="5" t="s">
        <v>8</v>
      </c>
      <c r="AM184" s="5" t="s">
        <v>1028</v>
      </c>
      <c r="AN184" s="5" t="s">
        <v>1028</v>
      </c>
      <c r="AO184" s="5" t="s">
        <v>680</v>
      </c>
      <c r="AP184" s="5" t="s">
        <v>674</v>
      </c>
      <c r="AQ184" s="5" t="s">
        <v>681</v>
      </c>
      <c r="AR184" s="27">
        <v>1.01E-4</v>
      </c>
      <c r="AU184" s="27">
        <v>5.6700000000000003E-7</v>
      </c>
      <c r="AV184" s="5">
        <v>0.98499999999999999</v>
      </c>
      <c r="AY184" s="5">
        <v>0.55900000000000005</v>
      </c>
      <c r="AZ184" s="5">
        <v>9.8799999999999999E-2</v>
      </c>
      <c r="BC184" s="5">
        <v>5.33E-2</v>
      </c>
      <c r="BD184" s="58">
        <f t="shared" si="11"/>
        <v>0.61716127358202322</v>
      </c>
      <c r="BM184" s="58"/>
      <c r="BN184" s="5">
        <v>4.36E-2</v>
      </c>
      <c r="BQ184" s="5">
        <v>2.8400000000000002E-2</v>
      </c>
      <c r="BR184" s="27">
        <v>7.3499999999999995E-7</v>
      </c>
      <c r="BU184" s="27">
        <v>5.8899999999999999E-7</v>
      </c>
      <c r="BV184" s="27">
        <v>1.06E-6</v>
      </c>
      <c r="BY184" s="27">
        <v>3.65E-7</v>
      </c>
      <c r="BZ184" s="27">
        <v>8.0400000000000003E-3</v>
      </c>
      <c r="CC184" s="5">
        <v>3.7200000000000002E-3</v>
      </c>
      <c r="CD184" s="5">
        <v>18</v>
      </c>
      <c r="CG184" s="5">
        <v>19.3</v>
      </c>
      <c r="CH184" s="5">
        <v>18.8</v>
      </c>
      <c r="CK184" s="5">
        <v>45.9</v>
      </c>
    </row>
    <row r="185" spans="1:178" hidden="1" x14ac:dyDescent="0.2">
      <c r="A185" s="3" t="s">
        <v>1</v>
      </c>
      <c r="B185" s="4" t="s">
        <v>682</v>
      </c>
      <c r="C185" s="28">
        <v>2016</v>
      </c>
      <c r="D185" s="16">
        <v>89</v>
      </c>
      <c r="E185" s="16">
        <v>1</v>
      </c>
      <c r="F185" s="63" t="s">
        <v>1051</v>
      </c>
      <c r="G185" s="5" t="s">
        <v>16</v>
      </c>
      <c r="H185" s="5" t="s">
        <v>5</v>
      </c>
      <c r="I185" s="5" t="s">
        <v>684</v>
      </c>
      <c r="J185" s="5" t="s">
        <v>25</v>
      </c>
      <c r="K185" s="48" t="s">
        <v>1045</v>
      </c>
      <c r="L185" s="5" t="s">
        <v>8</v>
      </c>
      <c r="M185" s="5" t="s">
        <v>9</v>
      </c>
      <c r="N185" s="7">
        <v>0</v>
      </c>
      <c r="O185" s="7">
        <v>1.47</v>
      </c>
      <c r="P185" s="7" t="s">
        <v>683</v>
      </c>
      <c r="Q185" s="5" t="s">
        <v>685</v>
      </c>
      <c r="R185" s="5" t="s">
        <v>166</v>
      </c>
      <c r="S185" s="5" t="s">
        <v>126</v>
      </c>
      <c r="T185" s="5" t="s">
        <v>1335</v>
      </c>
      <c r="U185" s="9">
        <f>0.4125+N185</f>
        <v>0.41249999999999998</v>
      </c>
      <c r="V185" s="9">
        <f t="shared" si="6"/>
        <v>-2.6447553507298966</v>
      </c>
      <c r="W185" s="9"/>
      <c r="X185" s="9"/>
      <c r="Y185" s="9">
        <f>4.338+O185</f>
        <v>5.8079999999999998</v>
      </c>
      <c r="Z185" s="9"/>
      <c r="AA185" s="5" t="s">
        <v>12</v>
      </c>
      <c r="AB185" s="7" t="s">
        <v>1123</v>
      </c>
      <c r="AC185" s="5" t="s">
        <v>13</v>
      </c>
      <c r="AD185" s="3">
        <v>9</v>
      </c>
      <c r="AE185" s="5" t="s">
        <v>14</v>
      </c>
      <c r="AF185" s="5" t="s">
        <v>97</v>
      </c>
      <c r="AG185" s="5" t="s">
        <v>8</v>
      </c>
      <c r="AH185" s="5" t="s">
        <v>14</v>
      </c>
      <c r="AI185" s="5" t="s">
        <v>8</v>
      </c>
      <c r="AJ185" s="5" t="s">
        <v>8</v>
      </c>
      <c r="AK185" s="5" t="s">
        <v>363</v>
      </c>
      <c r="AL185" s="5" t="s">
        <v>14</v>
      </c>
      <c r="AM185" s="5" t="s">
        <v>1028</v>
      </c>
      <c r="AN185" s="5" t="s">
        <v>166</v>
      </c>
      <c r="AO185" s="5" t="s">
        <v>166</v>
      </c>
      <c r="AP185" s="5" t="s">
        <v>1030</v>
      </c>
      <c r="AQ185" s="5" t="s">
        <v>686</v>
      </c>
      <c r="AR185" s="27">
        <v>7.6899999999999997E-9</v>
      </c>
      <c r="AU185" s="27">
        <v>5.7299999999999996E-7</v>
      </c>
      <c r="AZ185" s="5">
        <v>1.09E-3</v>
      </c>
      <c r="BC185" s="5">
        <v>1.932E-2</v>
      </c>
      <c r="BD185" s="58">
        <f t="shared" si="11"/>
        <v>-2.8749631325433196</v>
      </c>
      <c r="BI185" s="5">
        <v>4.6E-5</v>
      </c>
      <c r="BL185" s="5">
        <v>1.01E-3</v>
      </c>
      <c r="BM185" s="58">
        <f>LN(BI185/BL185)</f>
        <v>-3.0890642133462101</v>
      </c>
      <c r="CP185" s="5">
        <v>2.4399999999999999E-3</v>
      </c>
      <c r="CS185" s="5">
        <v>1.308E-2</v>
      </c>
      <c r="DA185" s="68"/>
      <c r="DG185" s="5">
        <v>6260</v>
      </c>
      <c r="DJ185" s="5">
        <v>0.15731000000000001</v>
      </c>
      <c r="DK185" s="5">
        <v>0.13705000000000001</v>
      </c>
      <c r="DN185" s="5">
        <v>1.4332199999999999</v>
      </c>
      <c r="DO185" s="5">
        <v>8.4499999999999992E-3</v>
      </c>
      <c r="DR185" s="5">
        <v>5.142E-2</v>
      </c>
      <c r="DW185" s="5">
        <v>1.5480000000000001E-2</v>
      </c>
      <c r="DZ185" s="5">
        <v>1.209E-2</v>
      </c>
      <c r="EI185" s="5">
        <v>7.2899999999999996E-3</v>
      </c>
      <c r="EL185" s="5">
        <v>5.076E-2</v>
      </c>
      <c r="EM185" s="5">
        <v>5.6999999999999998E-4</v>
      </c>
      <c r="EP185" s="5">
        <v>7.1000000000000002E-4</v>
      </c>
      <c r="EQ185" s="5">
        <v>6.0970000000000003E-2</v>
      </c>
      <c r="ET185" s="5">
        <v>1.8030200000000001</v>
      </c>
      <c r="FC185" s="5">
        <v>1.24E-3</v>
      </c>
      <c r="FF185" s="5">
        <v>6.5500000000000003E-3</v>
      </c>
      <c r="FG185" s="5">
        <v>1.316E-2</v>
      </c>
      <c r="FJ185" s="5">
        <v>0.41094999999999998</v>
      </c>
      <c r="FK185" s="5">
        <v>6260</v>
      </c>
      <c r="FN185" s="5">
        <v>0.15731000000000001</v>
      </c>
      <c r="FS185" s="5">
        <v>5.4799999999999996E-3</v>
      </c>
      <c r="FV185" s="5">
        <v>0.25946000000000002</v>
      </c>
    </row>
    <row r="186" spans="1:178" hidden="1" x14ac:dyDescent="0.2">
      <c r="A186" s="3" t="s">
        <v>1</v>
      </c>
      <c r="B186" s="4" t="s">
        <v>687</v>
      </c>
      <c r="C186" s="28">
        <v>2016</v>
      </c>
      <c r="D186" s="16">
        <v>90</v>
      </c>
      <c r="E186" s="16">
        <v>1</v>
      </c>
      <c r="F186" s="5" t="s">
        <v>1054</v>
      </c>
      <c r="G186" s="5" t="s">
        <v>16</v>
      </c>
      <c r="H186" s="5" t="s">
        <v>5</v>
      </c>
      <c r="I186" s="5" t="s">
        <v>689</v>
      </c>
      <c r="J186" s="5" t="s">
        <v>90</v>
      </c>
      <c r="K186" s="5" t="s">
        <v>1046</v>
      </c>
      <c r="L186" s="5" t="s">
        <v>1049</v>
      </c>
      <c r="M186" s="5" t="s">
        <v>9</v>
      </c>
      <c r="N186" s="85">
        <v>0</v>
      </c>
      <c r="O186" s="85">
        <v>1.49</v>
      </c>
      <c r="P186" s="7" t="s">
        <v>115</v>
      </c>
      <c r="Q186" s="5" t="s">
        <v>39</v>
      </c>
      <c r="R186" s="5" t="s">
        <v>18</v>
      </c>
      <c r="S186" s="5" t="s">
        <v>690</v>
      </c>
      <c r="T186" s="5" t="s">
        <v>1335</v>
      </c>
      <c r="U186" s="9">
        <f>0.87+N186</f>
        <v>0.87</v>
      </c>
      <c r="V186" s="9">
        <f t="shared" si="6"/>
        <v>-1.7160734769405139</v>
      </c>
      <c r="W186" s="9"/>
      <c r="X186" s="9"/>
      <c r="Y186" s="9">
        <f>0.87*3.85+O186</f>
        <v>4.8395000000000001</v>
      </c>
      <c r="Z186" s="9"/>
      <c r="AA186" s="5" t="s">
        <v>12</v>
      </c>
      <c r="AB186" s="7" t="s">
        <v>1044</v>
      </c>
      <c r="AC186" s="5" t="s">
        <v>1314</v>
      </c>
      <c r="AD186" s="3">
        <v>9</v>
      </c>
      <c r="AE186" s="5" t="s">
        <v>14</v>
      </c>
      <c r="AF186" s="5" t="s">
        <v>1315</v>
      </c>
      <c r="AG186" s="5" t="s">
        <v>8</v>
      </c>
      <c r="AH186" s="5" t="s">
        <v>8</v>
      </c>
      <c r="AI186" s="5" t="s">
        <v>14</v>
      </c>
      <c r="AJ186" s="5" t="s">
        <v>14</v>
      </c>
      <c r="AK186" s="5" t="s">
        <v>84</v>
      </c>
      <c r="AL186" s="5" t="s">
        <v>8</v>
      </c>
      <c r="AM186" s="5">
        <v>2011</v>
      </c>
      <c r="AN186" s="5" t="s">
        <v>18</v>
      </c>
      <c r="AO186" s="5" t="s">
        <v>18</v>
      </c>
      <c r="AP186" s="5" t="s">
        <v>688</v>
      </c>
      <c r="AQ186" s="5" t="s">
        <v>691</v>
      </c>
      <c r="BD186" s="58"/>
      <c r="BM186" s="58"/>
    </row>
    <row r="187" spans="1:178" ht="13.15" hidden="1" customHeight="1" x14ac:dyDescent="0.2">
      <c r="A187" s="3" t="s">
        <v>1</v>
      </c>
      <c r="B187" s="4" t="s">
        <v>687</v>
      </c>
      <c r="C187" s="28">
        <v>2016</v>
      </c>
      <c r="D187" s="16">
        <v>90</v>
      </c>
      <c r="E187" s="16">
        <v>2</v>
      </c>
      <c r="F187" s="5" t="s">
        <v>1054</v>
      </c>
      <c r="G187" s="5" t="s">
        <v>16</v>
      </c>
      <c r="H187" s="5" t="s">
        <v>5</v>
      </c>
      <c r="I187" s="5" t="s">
        <v>692</v>
      </c>
      <c r="J187" s="5" t="s">
        <v>90</v>
      </c>
      <c r="K187" s="5" t="s">
        <v>1046</v>
      </c>
      <c r="L187" s="5" t="s">
        <v>1049</v>
      </c>
      <c r="M187" s="5" t="s">
        <v>9</v>
      </c>
      <c r="N187" s="85">
        <v>0</v>
      </c>
      <c r="O187" s="85">
        <v>1.49</v>
      </c>
      <c r="P187" s="7" t="s">
        <v>115</v>
      </c>
      <c r="Q187" s="5" t="s">
        <v>39</v>
      </c>
      <c r="R187" s="5" t="s">
        <v>18</v>
      </c>
      <c r="S187" s="5" t="s">
        <v>690</v>
      </c>
      <c r="T187" s="5" t="s">
        <v>1335</v>
      </c>
      <c r="U187" s="9">
        <f>0.87*1.72+N187</f>
        <v>1.4964</v>
      </c>
      <c r="V187" s="9">
        <f t="shared" si="6"/>
        <v>-1.1737491861151523</v>
      </c>
      <c r="W187" s="9"/>
      <c r="X187" s="9"/>
      <c r="Y187" s="9">
        <v>4.8395000000000001</v>
      </c>
      <c r="Z187" s="9"/>
      <c r="AA187" s="5" t="s">
        <v>12</v>
      </c>
      <c r="AB187" s="7" t="s">
        <v>1044</v>
      </c>
      <c r="AC187" s="5" t="s">
        <v>1314</v>
      </c>
      <c r="AD187" s="3">
        <v>9</v>
      </c>
      <c r="AE187" s="5" t="s">
        <v>14</v>
      </c>
      <c r="AF187" s="5" t="s">
        <v>1315</v>
      </c>
      <c r="AG187" s="5" t="s">
        <v>8</v>
      </c>
      <c r="AH187" s="5" t="s">
        <v>8</v>
      </c>
      <c r="AI187" s="5" t="s">
        <v>14</v>
      </c>
      <c r="AJ187" s="5" t="s">
        <v>14</v>
      </c>
      <c r="AK187" s="5" t="s">
        <v>84</v>
      </c>
      <c r="AL187" s="5" t="s">
        <v>8</v>
      </c>
      <c r="AM187" s="5">
        <v>2011</v>
      </c>
      <c r="AN187" s="5" t="s">
        <v>18</v>
      </c>
      <c r="AO187" s="5" t="s">
        <v>18</v>
      </c>
      <c r="AP187" s="5" t="s">
        <v>688</v>
      </c>
      <c r="AQ187" s="5" t="s">
        <v>693</v>
      </c>
      <c r="BD187" s="58"/>
      <c r="BM187" s="58"/>
    </row>
    <row r="188" spans="1:178" ht="13.15" hidden="1" customHeight="1" x14ac:dyDescent="0.2">
      <c r="A188" s="3" t="s">
        <v>1</v>
      </c>
      <c r="B188" s="4" t="s">
        <v>694</v>
      </c>
      <c r="C188" s="28">
        <v>2016</v>
      </c>
      <c r="D188" s="16">
        <v>91</v>
      </c>
      <c r="E188" s="16">
        <v>4</v>
      </c>
      <c r="F188" s="5" t="s">
        <v>1054</v>
      </c>
      <c r="G188" s="5" t="s">
        <v>701</v>
      </c>
      <c r="H188" s="5" t="s">
        <v>5</v>
      </c>
      <c r="I188" s="5" t="s">
        <v>697</v>
      </c>
      <c r="J188" s="5" t="s">
        <v>25</v>
      </c>
      <c r="K188" s="5" t="s">
        <v>726</v>
      </c>
      <c r="L188" s="5" t="s">
        <v>8</v>
      </c>
      <c r="M188" s="5" t="s">
        <v>9</v>
      </c>
      <c r="N188" s="7">
        <v>0</v>
      </c>
      <c r="O188" s="7">
        <v>1.49</v>
      </c>
      <c r="P188" s="7" t="s">
        <v>115</v>
      </c>
      <c r="Q188" s="5" t="s">
        <v>39</v>
      </c>
      <c r="R188" s="5" t="s">
        <v>67</v>
      </c>
      <c r="S188" s="5" t="s">
        <v>641</v>
      </c>
      <c r="T188" s="5" t="s">
        <v>1335</v>
      </c>
      <c r="U188" s="9">
        <f>10.18+N188</f>
        <v>10.18</v>
      </c>
      <c r="V188" s="9">
        <f t="shared" si="6"/>
        <v>0.71901927038554048</v>
      </c>
      <c r="W188" s="9"/>
      <c r="X188" s="9"/>
      <c r="Y188" s="9">
        <f t="shared" ref="Y188:Y193" si="12">3.47+O188</f>
        <v>4.96</v>
      </c>
      <c r="Z188" s="9"/>
      <c r="AA188" s="5" t="s">
        <v>12</v>
      </c>
      <c r="AB188" s="7" t="s">
        <v>1123</v>
      </c>
      <c r="AC188" s="5" t="s">
        <v>13</v>
      </c>
      <c r="AD188" s="3">
        <v>9</v>
      </c>
      <c r="AE188" s="5" t="s">
        <v>14</v>
      </c>
      <c r="AF188" s="5" t="s">
        <v>97</v>
      </c>
      <c r="AG188" s="5" t="s">
        <v>8</v>
      </c>
      <c r="AH188" s="5" t="s">
        <v>8</v>
      </c>
      <c r="AI188" s="5" t="s">
        <v>8</v>
      </c>
      <c r="AJ188" s="5" t="s">
        <v>8</v>
      </c>
      <c r="AK188" s="5" t="s">
        <v>421</v>
      </c>
      <c r="AL188" s="5" t="s">
        <v>8</v>
      </c>
      <c r="AM188" s="5">
        <v>2015</v>
      </c>
      <c r="AN188" s="5" t="s">
        <v>67</v>
      </c>
      <c r="AO188" s="5" t="s">
        <v>67</v>
      </c>
      <c r="AP188" s="5" t="s">
        <v>695</v>
      </c>
      <c r="AQ188" s="5" t="s">
        <v>698</v>
      </c>
      <c r="BD188" s="58"/>
      <c r="BM188" s="58"/>
    </row>
    <row r="189" spans="1:178" ht="13.15" hidden="1" customHeight="1" x14ac:dyDescent="0.2">
      <c r="A189" s="3" t="s">
        <v>1</v>
      </c>
      <c r="B189" s="4" t="s">
        <v>694</v>
      </c>
      <c r="C189" s="28">
        <v>2016</v>
      </c>
      <c r="D189" s="16">
        <v>91</v>
      </c>
      <c r="E189" s="16">
        <v>5</v>
      </c>
      <c r="F189" s="5" t="s">
        <v>1054</v>
      </c>
      <c r="G189" s="5" t="s">
        <v>696</v>
      </c>
      <c r="H189" s="5" t="s">
        <v>5</v>
      </c>
      <c r="I189" s="5" t="s">
        <v>697</v>
      </c>
      <c r="J189" s="5" t="s">
        <v>25</v>
      </c>
      <c r="K189" s="5" t="s">
        <v>726</v>
      </c>
      <c r="L189" s="5" t="s">
        <v>8</v>
      </c>
      <c r="M189" s="5" t="s">
        <v>9</v>
      </c>
      <c r="N189" s="7">
        <v>0</v>
      </c>
      <c r="O189" s="7">
        <v>1.49</v>
      </c>
      <c r="P189" s="7" t="s">
        <v>115</v>
      </c>
      <c r="Q189" s="5" t="s">
        <v>39</v>
      </c>
      <c r="R189" s="5" t="s">
        <v>67</v>
      </c>
      <c r="S189" s="5" t="s">
        <v>641</v>
      </c>
      <c r="T189" s="5" t="s">
        <v>1335</v>
      </c>
      <c r="U189" s="9">
        <f>10.5+N189</f>
        <v>10.5</v>
      </c>
      <c r="V189" s="9">
        <f t="shared" ref="V189:V252" si="13">LN(U189/Y189)</f>
        <v>0.74996951642664167</v>
      </c>
      <c r="W189" s="9"/>
      <c r="X189" s="9"/>
      <c r="Y189" s="9">
        <f t="shared" si="12"/>
        <v>4.96</v>
      </c>
      <c r="Z189" s="9"/>
      <c r="AA189" s="5" t="s">
        <v>12</v>
      </c>
      <c r="AB189" s="7" t="s">
        <v>1123</v>
      </c>
      <c r="AC189" s="5" t="s">
        <v>13</v>
      </c>
      <c r="AD189" s="3">
        <v>9</v>
      </c>
      <c r="AE189" s="5" t="s">
        <v>14</v>
      </c>
      <c r="AF189" s="5" t="s">
        <v>97</v>
      </c>
      <c r="AG189" s="5" t="s">
        <v>8</v>
      </c>
      <c r="AH189" s="5" t="s">
        <v>8</v>
      </c>
      <c r="AI189" s="5" t="s">
        <v>8</v>
      </c>
      <c r="AJ189" s="5" t="s">
        <v>8</v>
      </c>
      <c r="AK189" s="5" t="s">
        <v>421</v>
      </c>
      <c r="AL189" s="5" t="s">
        <v>8</v>
      </c>
      <c r="AM189" s="5">
        <v>2015</v>
      </c>
      <c r="AN189" s="5" t="s">
        <v>67</v>
      </c>
      <c r="AO189" s="5" t="s">
        <v>67</v>
      </c>
      <c r="AP189" s="5" t="s">
        <v>695</v>
      </c>
      <c r="AQ189" s="5" t="s">
        <v>698</v>
      </c>
      <c r="BD189" s="58"/>
      <c r="BM189" s="58"/>
    </row>
    <row r="190" spans="1:178" ht="13.15" hidden="1" customHeight="1" x14ac:dyDescent="0.2">
      <c r="A190" s="3" t="s">
        <v>1</v>
      </c>
      <c r="B190" s="4" t="s">
        <v>694</v>
      </c>
      <c r="C190" s="28">
        <v>2016</v>
      </c>
      <c r="D190" s="16">
        <v>91</v>
      </c>
      <c r="E190" s="16">
        <v>1</v>
      </c>
      <c r="F190" s="5" t="s">
        <v>1054</v>
      </c>
      <c r="G190" s="5" t="s">
        <v>696</v>
      </c>
      <c r="H190" s="5" t="s">
        <v>5</v>
      </c>
      <c r="I190" s="5" t="s">
        <v>697</v>
      </c>
      <c r="J190" s="5" t="s">
        <v>25</v>
      </c>
      <c r="K190" s="5" t="s">
        <v>726</v>
      </c>
      <c r="L190" s="5" t="s">
        <v>8</v>
      </c>
      <c r="M190" s="5" t="s">
        <v>9</v>
      </c>
      <c r="N190" s="7">
        <v>0</v>
      </c>
      <c r="O190" s="7">
        <v>1.49</v>
      </c>
      <c r="P190" s="7" t="s">
        <v>115</v>
      </c>
      <c r="Q190" s="5" t="s">
        <v>39</v>
      </c>
      <c r="R190" s="5" t="s">
        <v>67</v>
      </c>
      <c r="S190" s="5" t="s">
        <v>641</v>
      </c>
      <c r="T190" s="5" t="s">
        <v>1335</v>
      </c>
      <c r="U190" s="9">
        <f>12+N190</f>
        <v>12</v>
      </c>
      <c r="V190" s="9">
        <f t="shared" si="13"/>
        <v>0.88350090905116418</v>
      </c>
      <c r="W190" s="9"/>
      <c r="X190" s="9"/>
      <c r="Y190" s="9">
        <f t="shared" si="12"/>
        <v>4.96</v>
      </c>
      <c r="Z190" s="9"/>
      <c r="AA190" s="5" t="s">
        <v>12</v>
      </c>
      <c r="AB190" s="7" t="s">
        <v>1123</v>
      </c>
      <c r="AC190" s="5" t="s">
        <v>13</v>
      </c>
      <c r="AD190" s="3">
        <v>9</v>
      </c>
      <c r="AE190" s="5" t="s">
        <v>14</v>
      </c>
      <c r="AF190" s="5" t="s">
        <v>97</v>
      </c>
      <c r="AG190" s="5" t="s">
        <v>8</v>
      </c>
      <c r="AH190" s="5" t="s">
        <v>8</v>
      </c>
      <c r="AI190" s="5" t="s">
        <v>8</v>
      </c>
      <c r="AJ190" s="5" t="s">
        <v>8</v>
      </c>
      <c r="AK190" s="5" t="s">
        <v>421</v>
      </c>
      <c r="AL190" s="5" t="s">
        <v>8</v>
      </c>
      <c r="AM190" s="5">
        <v>2015</v>
      </c>
      <c r="AN190" s="5" t="s">
        <v>67</v>
      </c>
      <c r="AO190" s="5" t="s">
        <v>67</v>
      </c>
      <c r="AP190" s="5" t="s">
        <v>695</v>
      </c>
      <c r="AQ190" s="5" t="s">
        <v>698</v>
      </c>
      <c r="BD190" s="58"/>
      <c r="BM190" s="58"/>
    </row>
    <row r="191" spans="1:178" ht="13.15" hidden="1" customHeight="1" x14ac:dyDescent="0.2">
      <c r="A191" s="3" t="s">
        <v>1</v>
      </c>
      <c r="B191" s="4" t="s">
        <v>694</v>
      </c>
      <c r="C191" s="28">
        <v>2016</v>
      </c>
      <c r="D191" s="16">
        <v>91</v>
      </c>
      <c r="E191" s="16">
        <v>3</v>
      </c>
      <c r="F191" s="5" t="s">
        <v>1054</v>
      </c>
      <c r="G191" s="5" t="s">
        <v>700</v>
      </c>
      <c r="H191" s="5" t="s">
        <v>5</v>
      </c>
      <c r="I191" s="5" t="s">
        <v>697</v>
      </c>
      <c r="J191" s="5" t="s">
        <v>25</v>
      </c>
      <c r="K191" s="48" t="s">
        <v>726</v>
      </c>
      <c r="L191" s="5" t="s">
        <v>8</v>
      </c>
      <c r="M191" s="5" t="s">
        <v>9</v>
      </c>
      <c r="N191" s="7">
        <v>0</v>
      </c>
      <c r="O191" s="7">
        <v>1.49</v>
      </c>
      <c r="P191" s="7" t="s">
        <v>115</v>
      </c>
      <c r="Q191" s="5" t="s">
        <v>39</v>
      </c>
      <c r="R191" s="5" t="s">
        <v>67</v>
      </c>
      <c r="S191" s="5" t="s">
        <v>641</v>
      </c>
      <c r="T191" s="5" t="s">
        <v>1335</v>
      </c>
      <c r="U191" s="9">
        <f>14.4+N191</f>
        <v>14.4</v>
      </c>
      <c r="V191" s="9">
        <f t="shared" si="13"/>
        <v>1.0658224658451187</v>
      </c>
      <c r="W191" s="9"/>
      <c r="X191" s="9"/>
      <c r="Y191" s="9">
        <f t="shared" si="12"/>
        <v>4.96</v>
      </c>
      <c r="Z191" s="9"/>
      <c r="AA191" s="5" t="s">
        <v>12</v>
      </c>
      <c r="AB191" s="7" t="s">
        <v>1123</v>
      </c>
      <c r="AC191" s="5" t="s">
        <v>13</v>
      </c>
      <c r="AD191" s="3">
        <v>9</v>
      </c>
      <c r="AE191" s="5" t="s">
        <v>14</v>
      </c>
      <c r="AF191" s="5" t="s">
        <v>97</v>
      </c>
      <c r="AG191" s="5" t="s">
        <v>8</v>
      </c>
      <c r="AH191" s="5" t="s">
        <v>8</v>
      </c>
      <c r="AI191" s="5" t="s">
        <v>8</v>
      </c>
      <c r="AJ191" s="5" t="s">
        <v>8</v>
      </c>
      <c r="AK191" s="5" t="s">
        <v>421</v>
      </c>
      <c r="AL191" s="5" t="s">
        <v>8</v>
      </c>
      <c r="AM191" s="5">
        <v>2015</v>
      </c>
      <c r="AN191" s="5" t="s">
        <v>67</v>
      </c>
      <c r="AO191" s="5" t="s">
        <v>67</v>
      </c>
      <c r="AP191" s="5" t="s">
        <v>695</v>
      </c>
      <c r="AQ191" s="5" t="s">
        <v>698</v>
      </c>
      <c r="BD191" s="58"/>
      <c r="BM191" s="58"/>
    </row>
    <row r="192" spans="1:178" ht="13.15" hidden="1" customHeight="1" x14ac:dyDescent="0.2">
      <c r="A192" s="3" t="s">
        <v>1</v>
      </c>
      <c r="B192" s="4" t="s">
        <v>694</v>
      </c>
      <c r="C192" s="28">
        <v>2016</v>
      </c>
      <c r="D192" s="16">
        <v>91</v>
      </c>
      <c r="E192" s="16">
        <v>2</v>
      </c>
      <c r="F192" s="5" t="s">
        <v>1054</v>
      </c>
      <c r="G192" s="5" t="s">
        <v>699</v>
      </c>
      <c r="H192" s="5" t="s">
        <v>5</v>
      </c>
      <c r="I192" s="5" t="s">
        <v>697</v>
      </c>
      <c r="J192" s="5" t="s">
        <v>25</v>
      </c>
      <c r="K192" s="48" t="s">
        <v>726</v>
      </c>
      <c r="L192" s="5" t="s">
        <v>8</v>
      </c>
      <c r="M192" s="5" t="s">
        <v>9</v>
      </c>
      <c r="N192" s="7">
        <v>0</v>
      </c>
      <c r="O192" s="7">
        <v>1.49</v>
      </c>
      <c r="P192" s="7" t="s">
        <v>115</v>
      </c>
      <c r="Q192" s="5" t="s">
        <v>39</v>
      </c>
      <c r="R192" s="5" t="s">
        <v>67</v>
      </c>
      <c r="S192" s="5" t="s">
        <v>641</v>
      </c>
      <c r="T192" s="5" t="s">
        <v>1335</v>
      </c>
      <c r="U192" s="9">
        <f>29.6+N192</f>
        <v>29.6</v>
      </c>
      <c r="V192" s="9">
        <f t="shared" si="13"/>
        <v>1.7863686205931786</v>
      </c>
      <c r="W192" s="9"/>
      <c r="X192" s="9"/>
      <c r="Y192" s="9">
        <f t="shared" si="12"/>
        <v>4.96</v>
      </c>
      <c r="Z192" s="9"/>
      <c r="AA192" s="5" t="s">
        <v>12</v>
      </c>
      <c r="AB192" s="7" t="s">
        <v>1123</v>
      </c>
      <c r="AC192" s="5" t="s">
        <v>13</v>
      </c>
      <c r="AD192" s="3">
        <v>9</v>
      </c>
      <c r="AE192" s="5" t="s">
        <v>14</v>
      </c>
      <c r="AF192" s="5" t="s">
        <v>97</v>
      </c>
      <c r="AG192" s="5" t="s">
        <v>8</v>
      </c>
      <c r="AH192" s="5" t="s">
        <v>8</v>
      </c>
      <c r="AI192" s="5" t="s">
        <v>8</v>
      </c>
      <c r="AJ192" s="5" t="s">
        <v>8</v>
      </c>
      <c r="AK192" s="5" t="s">
        <v>421</v>
      </c>
      <c r="AL192" s="5" t="s">
        <v>8</v>
      </c>
      <c r="AM192" s="5">
        <v>2015</v>
      </c>
      <c r="AN192" s="5" t="s">
        <v>67</v>
      </c>
      <c r="AO192" s="5" t="s">
        <v>67</v>
      </c>
      <c r="AP192" s="5" t="s">
        <v>695</v>
      </c>
      <c r="AQ192" s="5" t="s">
        <v>698</v>
      </c>
      <c r="BD192" s="58"/>
      <c r="BM192" s="58"/>
    </row>
    <row r="193" spans="1:130" ht="13.15" hidden="1" customHeight="1" x14ac:dyDescent="0.2">
      <c r="A193" s="3" t="s">
        <v>1</v>
      </c>
      <c r="B193" s="4" t="s">
        <v>694</v>
      </c>
      <c r="C193" s="28">
        <v>2016</v>
      </c>
      <c r="D193" s="16">
        <v>91</v>
      </c>
      <c r="E193" s="16">
        <v>6</v>
      </c>
      <c r="F193" s="5" t="s">
        <v>1054</v>
      </c>
      <c r="G193" s="5" t="s">
        <v>701</v>
      </c>
      <c r="H193" s="5" t="s">
        <v>5</v>
      </c>
      <c r="I193" s="5" t="s">
        <v>454</v>
      </c>
      <c r="J193" s="5" t="s">
        <v>7</v>
      </c>
      <c r="K193" s="5" t="s">
        <v>1046</v>
      </c>
      <c r="L193" s="5" t="s">
        <v>1049</v>
      </c>
      <c r="M193" s="5" t="s">
        <v>9</v>
      </c>
      <c r="N193" s="7">
        <v>0</v>
      </c>
      <c r="O193" s="7">
        <v>1.49</v>
      </c>
      <c r="P193" s="7" t="s">
        <v>115</v>
      </c>
      <c r="Q193" s="5" t="s">
        <v>39</v>
      </c>
      <c r="R193" s="5" t="s">
        <v>67</v>
      </c>
      <c r="S193" s="5" t="s">
        <v>641</v>
      </c>
      <c r="T193" s="5" t="s">
        <v>1335</v>
      </c>
      <c r="U193" s="9">
        <f>10+N193</f>
        <v>10</v>
      </c>
      <c r="V193" s="9">
        <f t="shared" si="13"/>
        <v>0.70117935225720951</v>
      </c>
      <c r="W193" s="9"/>
      <c r="X193" s="9"/>
      <c r="Y193" s="9">
        <f t="shared" si="12"/>
        <v>4.96</v>
      </c>
      <c r="Z193" s="9"/>
      <c r="AA193" s="5" t="s">
        <v>12</v>
      </c>
      <c r="AB193" s="7" t="s">
        <v>1123</v>
      </c>
      <c r="AC193" s="5" t="s">
        <v>13</v>
      </c>
      <c r="AD193" s="3">
        <v>9</v>
      </c>
      <c r="AE193" s="5" t="s">
        <v>14</v>
      </c>
      <c r="AF193" s="5" t="s">
        <v>97</v>
      </c>
      <c r="AG193" s="5" t="s">
        <v>8</v>
      </c>
      <c r="AH193" s="5" t="s">
        <v>8</v>
      </c>
      <c r="AI193" s="5" t="s">
        <v>8</v>
      </c>
      <c r="AJ193" s="5" t="s">
        <v>8</v>
      </c>
      <c r="AK193" s="5" t="s">
        <v>421</v>
      </c>
      <c r="AL193" s="5" t="s">
        <v>8</v>
      </c>
      <c r="AM193" s="5">
        <v>2015</v>
      </c>
      <c r="AN193" s="5" t="s">
        <v>67</v>
      </c>
      <c r="AO193" s="5" t="s">
        <v>67</v>
      </c>
      <c r="AP193" s="5" t="s">
        <v>695</v>
      </c>
      <c r="AQ193" s="5" t="s">
        <v>698</v>
      </c>
      <c r="BD193" s="58"/>
      <c r="BM193" s="58"/>
    </row>
    <row r="194" spans="1:130" ht="13.15" hidden="1" customHeight="1" x14ac:dyDescent="0.2">
      <c r="A194" s="3" t="s">
        <v>1</v>
      </c>
      <c r="B194" s="4" t="s">
        <v>702</v>
      </c>
      <c r="C194" s="28">
        <v>2016</v>
      </c>
      <c r="D194" s="16">
        <v>92</v>
      </c>
      <c r="E194" s="16">
        <v>2</v>
      </c>
      <c r="F194" s="63" t="s">
        <v>1063</v>
      </c>
      <c r="G194" s="5" t="s">
        <v>705</v>
      </c>
      <c r="H194" s="5" t="s">
        <v>93</v>
      </c>
      <c r="I194" s="5" t="s">
        <v>710</v>
      </c>
      <c r="J194" s="5" t="s">
        <v>7</v>
      </c>
      <c r="K194" s="5" t="s">
        <v>1046</v>
      </c>
      <c r="L194" s="5" t="s">
        <v>1049</v>
      </c>
      <c r="M194" s="5" t="s">
        <v>9</v>
      </c>
      <c r="N194" s="85">
        <v>0</v>
      </c>
      <c r="O194" s="85">
        <v>3.26</v>
      </c>
      <c r="P194" s="7" t="s">
        <v>704</v>
      </c>
      <c r="Q194" s="5" t="s">
        <v>39</v>
      </c>
      <c r="R194" s="5" t="s">
        <v>44</v>
      </c>
      <c r="S194" s="5" t="s">
        <v>707</v>
      </c>
      <c r="T194" s="5" t="s">
        <v>1335</v>
      </c>
      <c r="U194" s="9">
        <f>1.02+N194</f>
        <v>1.02</v>
      </c>
      <c r="V194" s="9">
        <f t="shared" si="13"/>
        <v>-1.6610252812245936</v>
      </c>
      <c r="W194" s="9"/>
      <c r="X194" s="9"/>
      <c r="Y194" s="9">
        <f t="shared" ref="Y194:Y199" si="14">2.11+O194</f>
        <v>5.3699999999999992</v>
      </c>
      <c r="Z194" s="9"/>
      <c r="AA194" s="5" t="s">
        <v>12</v>
      </c>
      <c r="AB194" s="7" t="s">
        <v>1123</v>
      </c>
      <c r="AC194" s="5" t="s">
        <v>74</v>
      </c>
      <c r="AD194" s="3">
        <v>9</v>
      </c>
      <c r="AE194" s="5" t="s">
        <v>8</v>
      </c>
      <c r="AF194" s="5" t="s">
        <v>1316</v>
      </c>
      <c r="AG194" s="5" t="s">
        <v>8</v>
      </c>
      <c r="AH194" s="5" t="s">
        <v>8</v>
      </c>
      <c r="AI194" s="5" t="s">
        <v>8</v>
      </c>
      <c r="AJ194" s="5" t="s">
        <v>8</v>
      </c>
      <c r="AK194" s="5" t="s">
        <v>708</v>
      </c>
      <c r="AL194" s="5" t="s">
        <v>8</v>
      </c>
      <c r="AM194" s="5">
        <v>2013</v>
      </c>
      <c r="AN194" s="5" t="s">
        <v>44</v>
      </c>
      <c r="AO194" s="5" t="s">
        <v>44</v>
      </c>
      <c r="AP194" s="5" t="s">
        <v>703</v>
      </c>
      <c r="AQ194" s="5" t="s">
        <v>709</v>
      </c>
      <c r="BD194" s="58"/>
      <c r="BM194" s="58"/>
      <c r="DW194" s="5">
        <v>1.9939999999999999E-2</v>
      </c>
      <c r="DZ194" s="5">
        <v>5.1799999999999997E-3</v>
      </c>
    </row>
    <row r="195" spans="1:130" ht="13.15" hidden="1" customHeight="1" x14ac:dyDescent="0.2">
      <c r="A195" s="3" t="s">
        <v>1</v>
      </c>
      <c r="B195" s="4" t="s">
        <v>702</v>
      </c>
      <c r="C195" s="28">
        <v>2016</v>
      </c>
      <c r="D195" s="16">
        <v>92</v>
      </c>
      <c r="E195" s="16">
        <v>1</v>
      </c>
      <c r="F195" s="63" t="s">
        <v>1063</v>
      </c>
      <c r="G195" s="5" t="s">
        <v>705</v>
      </c>
      <c r="H195" s="5" t="s">
        <v>93</v>
      </c>
      <c r="I195" s="5" t="s">
        <v>706</v>
      </c>
      <c r="J195" s="5" t="s">
        <v>7</v>
      </c>
      <c r="K195" s="5" t="s">
        <v>1046</v>
      </c>
      <c r="L195" s="5" t="s">
        <v>1049</v>
      </c>
      <c r="M195" s="5" t="s">
        <v>9</v>
      </c>
      <c r="N195" s="85">
        <v>0</v>
      </c>
      <c r="O195" s="85">
        <v>3.26</v>
      </c>
      <c r="P195" s="7" t="s">
        <v>704</v>
      </c>
      <c r="Q195" s="5" t="s">
        <v>39</v>
      </c>
      <c r="R195" s="5" t="s">
        <v>67</v>
      </c>
      <c r="S195" s="5" t="s">
        <v>707</v>
      </c>
      <c r="T195" s="5" t="s">
        <v>1335</v>
      </c>
      <c r="U195" s="9">
        <f>2.02+N195</f>
        <v>2.02</v>
      </c>
      <c r="V195" s="9">
        <f t="shared" si="13"/>
        <v>-0.97773039710765985</v>
      </c>
      <c r="W195" s="9"/>
      <c r="X195" s="9"/>
      <c r="Y195" s="9">
        <f t="shared" si="14"/>
        <v>5.3699999999999992</v>
      </c>
      <c r="Z195" s="9"/>
      <c r="AA195" s="5" t="s">
        <v>12</v>
      </c>
      <c r="AB195" s="7" t="s">
        <v>1123</v>
      </c>
      <c r="AC195" s="5" t="s">
        <v>74</v>
      </c>
      <c r="AD195" s="3">
        <v>9</v>
      </c>
      <c r="AE195" s="5" t="s">
        <v>8</v>
      </c>
      <c r="AF195" s="5" t="s">
        <v>1316</v>
      </c>
      <c r="AG195" s="5" t="s">
        <v>8</v>
      </c>
      <c r="AH195" s="5" t="s">
        <v>8</v>
      </c>
      <c r="AI195" s="5" t="s">
        <v>8</v>
      </c>
      <c r="AJ195" s="5" t="s">
        <v>8</v>
      </c>
      <c r="AK195" s="5" t="s">
        <v>708</v>
      </c>
      <c r="AL195" s="5" t="s">
        <v>8</v>
      </c>
      <c r="AM195" s="5">
        <v>2013</v>
      </c>
      <c r="AN195" s="5" t="s">
        <v>67</v>
      </c>
      <c r="AO195" s="5" t="s">
        <v>67</v>
      </c>
      <c r="AP195" s="5" t="s">
        <v>703</v>
      </c>
      <c r="AQ195" s="5" t="s">
        <v>709</v>
      </c>
      <c r="BD195" s="58"/>
      <c r="BM195" s="58"/>
      <c r="DW195" s="5">
        <v>1.2619999999999999E-2</v>
      </c>
      <c r="DZ195" s="5">
        <v>5.1799999999999997E-3</v>
      </c>
    </row>
    <row r="196" spans="1:130" ht="13.15" hidden="1" customHeight="1" x14ac:dyDescent="0.2">
      <c r="A196" s="3" t="s">
        <v>1</v>
      </c>
      <c r="B196" s="4" t="s">
        <v>702</v>
      </c>
      <c r="C196" s="28">
        <v>2016</v>
      </c>
      <c r="D196" s="16">
        <v>92</v>
      </c>
      <c r="E196" s="16">
        <v>5</v>
      </c>
      <c r="F196" s="63" t="s">
        <v>1063</v>
      </c>
      <c r="G196" s="5" t="s">
        <v>711</v>
      </c>
      <c r="H196" s="5" t="s">
        <v>93</v>
      </c>
      <c r="I196" s="5" t="s">
        <v>59</v>
      </c>
      <c r="J196" s="5" t="s">
        <v>7</v>
      </c>
      <c r="K196" s="5" t="s">
        <v>1046</v>
      </c>
      <c r="L196" s="5" t="s">
        <v>1049</v>
      </c>
      <c r="M196" s="5" t="s">
        <v>9</v>
      </c>
      <c r="N196" s="85">
        <v>0</v>
      </c>
      <c r="O196" s="85">
        <v>3.26</v>
      </c>
      <c r="P196" s="7" t="s">
        <v>704</v>
      </c>
      <c r="Q196" s="5" t="s">
        <v>39</v>
      </c>
      <c r="R196" s="5" t="s">
        <v>44</v>
      </c>
      <c r="S196" s="5" t="s">
        <v>707</v>
      </c>
      <c r="T196" s="5" t="s">
        <v>1335</v>
      </c>
      <c r="U196" s="9">
        <f>2.18+N196</f>
        <v>2.1800000000000002</v>
      </c>
      <c r="V196" s="9">
        <f t="shared" si="13"/>
        <v>-0.90150303171977553</v>
      </c>
      <c r="W196" s="9"/>
      <c r="X196" s="9"/>
      <c r="Y196" s="9">
        <f t="shared" si="14"/>
        <v>5.3699999999999992</v>
      </c>
      <c r="Z196" s="9"/>
      <c r="AA196" s="5" t="s">
        <v>12</v>
      </c>
      <c r="AB196" s="7" t="s">
        <v>1123</v>
      </c>
      <c r="AC196" s="5" t="s">
        <v>1194</v>
      </c>
      <c r="AD196" s="3">
        <v>9</v>
      </c>
      <c r="AE196" s="5" t="s">
        <v>8</v>
      </c>
      <c r="AF196" s="5" t="s">
        <v>1317</v>
      </c>
      <c r="AG196" s="5" t="s">
        <v>8</v>
      </c>
      <c r="AH196" s="5" t="s">
        <v>8</v>
      </c>
      <c r="AI196" s="5" t="s">
        <v>8</v>
      </c>
      <c r="AJ196" s="5" t="s">
        <v>8</v>
      </c>
      <c r="AK196" s="5" t="s">
        <v>708</v>
      </c>
      <c r="AL196" s="5" t="s">
        <v>8</v>
      </c>
      <c r="AM196" s="5">
        <v>2013</v>
      </c>
      <c r="AN196" s="5" t="s">
        <v>44</v>
      </c>
      <c r="AO196" s="5" t="s">
        <v>44</v>
      </c>
      <c r="AP196" s="5" t="s">
        <v>703</v>
      </c>
      <c r="AQ196" s="5" t="s">
        <v>709</v>
      </c>
      <c r="BD196" s="58"/>
      <c r="BM196" s="58"/>
      <c r="DW196" s="5">
        <v>2.7269999999999999E-2</v>
      </c>
      <c r="DZ196" s="5">
        <v>5.1799999999999997E-3</v>
      </c>
    </row>
    <row r="197" spans="1:130" hidden="1" x14ac:dyDescent="0.2">
      <c r="A197" s="3" t="s">
        <v>1</v>
      </c>
      <c r="B197" s="4" t="s">
        <v>702</v>
      </c>
      <c r="C197" s="28">
        <v>2016</v>
      </c>
      <c r="D197" s="16">
        <v>92</v>
      </c>
      <c r="E197" s="16">
        <v>3</v>
      </c>
      <c r="F197" s="63" t="s">
        <v>1063</v>
      </c>
      <c r="G197" s="5" t="s">
        <v>705</v>
      </c>
      <c r="H197" s="5" t="s">
        <v>93</v>
      </c>
      <c r="I197" s="5" t="s">
        <v>6</v>
      </c>
      <c r="J197" s="5" t="s">
        <v>7</v>
      </c>
      <c r="K197" s="5" t="s">
        <v>1046</v>
      </c>
      <c r="L197" s="5" t="s">
        <v>1049</v>
      </c>
      <c r="M197" s="5" t="s">
        <v>9</v>
      </c>
      <c r="N197" s="85">
        <v>0</v>
      </c>
      <c r="O197" s="85">
        <v>3.26</v>
      </c>
      <c r="P197" s="7" t="s">
        <v>704</v>
      </c>
      <c r="Q197" s="5" t="s">
        <v>39</v>
      </c>
      <c r="R197" s="5" t="s">
        <v>18</v>
      </c>
      <c r="S197" s="5" t="s">
        <v>707</v>
      </c>
      <c r="T197" s="5" t="s">
        <v>1335</v>
      </c>
      <c r="U197" s="9">
        <f>2.29+N197</f>
        <v>2.29</v>
      </c>
      <c r="V197" s="9">
        <f t="shared" si="13"/>
        <v>-0.85227609095462498</v>
      </c>
      <c r="W197" s="9"/>
      <c r="X197" s="9"/>
      <c r="Y197" s="9">
        <f t="shared" si="14"/>
        <v>5.3699999999999992</v>
      </c>
      <c r="Z197" s="9"/>
      <c r="AA197" s="5" t="s">
        <v>12</v>
      </c>
      <c r="AB197" s="7" t="s">
        <v>1123</v>
      </c>
      <c r="AC197" s="5" t="s">
        <v>74</v>
      </c>
      <c r="AD197" s="3">
        <v>9</v>
      </c>
      <c r="AE197" s="5" t="s">
        <v>8</v>
      </c>
      <c r="AF197" s="5" t="s">
        <v>1316</v>
      </c>
      <c r="AG197" s="5" t="s">
        <v>8</v>
      </c>
      <c r="AH197" s="5" t="s">
        <v>8</v>
      </c>
      <c r="AI197" s="5" t="s">
        <v>8</v>
      </c>
      <c r="AJ197" s="5" t="s">
        <v>8</v>
      </c>
      <c r="AK197" s="5" t="s">
        <v>708</v>
      </c>
      <c r="AL197" s="5" t="s">
        <v>8</v>
      </c>
      <c r="AM197" s="5">
        <v>2013</v>
      </c>
      <c r="AN197" s="5" t="s">
        <v>18</v>
      </c>
      <c r="AO197" s="5" t="s">
        <v>18</v>
      </c>
      <c r="AP197" s="5" t="s">
        <v>703</v>
      </c>
      <c r="AQ197" s="5" t="s">
        <v>709</v>
      </c>
      <c r="BD197" s="58"/>
      <c r="BM197" s="58"/>
      <c r="DW197" s="5">
        <v>2.862E-2</v>
      </c>
      <c r="DZ197" s="5">
        <v>5.1799999999999997E-3</v>
      </c>
    </row>
    <row r="198" spans="1:130" ht="13.15" hidden="1" customHeight="1" x14ac:dyDescent="0.2">
      <c r="A198" s="3" t="s">
        <v>1</v>
      </c>
      <c r="B198" s="4" t="s">
        <v>702</v>
      </c>
      <c r="C198" s="28">
        <v>2016</v>
      </c>
      <c r="D198" s="16">
        <v>92</v>
      </c>
      <c r="E198" s="16">
        <v>4</v>
      </c>
      <c r="F198" s="63" t="s">
        <v>1063</v>
      </c>
      <c r="G198" s="5" t="s">
        <v>711</v>
      </c>
      <c r="H198" s="5" t="s">
        <v>93</v>
      </c>
      <c r="I198" s="5" t="s">
        <v>706</v>
      </c>
      <c r="J198" s="5" t="s">
        <v>7</v>
      </c>
      <c r="K198" s="5" t="s">
        <v>1046</v>
      </c>
      <c r="L198" s="5" t="s">
        <v>1049</v>
      </c>
      <c r="M198" s="5" t="s">
        <v>9</v>
      </c>
      <c r="N198" s="85">
        <v>0</v>
      </c>
      <c r="O198" s="85">
        <v>3.26</v>
      </c>
      <c r="P198" s="7" t="s">
        <v>704</v>
      </c>
      <c r="Q198" s="5" t="s">
        <v>39</v>
      </c>
      <c r="R198" s="5" t="s">
        <v>67</v>
      </c>
      <c r="S198" s="5" t="s">
        <v>707</v>
      </c>
      <c r="T198" s="5" t="s">
        <v>1335</v>
      </c>
      <c r="U198" s="9">
        <f>3.61+N198</f>
        <v>3.61</v>
      </c>
      <c r="V198" s="9">
        <f t="shared" si="13"/>
        <v>-0.39712013617598357</v>
      </c>
      <c r="W198" s="9"/>
      <c r="X198" s="9"/>
      <c r="Y198" s="9">
        <f t="shared" si="14"/>
        <v>5.3699999999999992</v>
      </c>
      <c r="Z198" s="9"/>
      <c r="AA198" s="5" t="s">
        <v>12</v>
      </c>
      <c r="AB198" s="7" t="s">
        <v>1123</v>
      </c>
      <c r="AC198" s="5" t="s">
        <v>1194</v>
      </c>
      <c r="AD198" s="3">
        <v>9</v>
      </c>
      <c r="AE198" s="5" t="s">
        <v>8</v>
      </c>
      <c r="AF198" s="5" t="s">
        <v>1317</v>
      </c>
      <c r="AG198" s="5" t="s">
        <v>8</v>
      </c>
      <c r="AH198" s="5" t="s">
        <v>8</v>
      </c>
      <c r="AI198" s="5" t="s">
        <v>8</v>
      </c>
      <c r="AJ198" s="5" t="s">
        <v>8</v>
      </c>
      <c r="AK198" s="5" t="s">
        <v>708</v>
      </c>
      <c r="AL198" s="5" t="s">
        <v>8</v>
      </c>
      <c r="AM198" s="5">
        <v>2013</v>
      </c>
      <c r="AN198" s="5" t="s">
        <v>67</v>
      </c>
      <c r="AO198" s="5" t="s">
        <v>67</v>
      </c>
      <c r="AP198" s="5" t="s">
        <v>703</v>
      </c>
      <c r="AQ198" s="5" t="s">
        <v>709</v>
      </c>
      <c r="BD198" s="58"/>
      <c r="BM198" s="58"/>
      <c r="DW198" s="5">
        <v>1.6789999999999999E-2</v>
      </c>
      <c r="DZ198" s="5">
        <v>5.1799999999999997E-3</v>
      </c>
    </row>
    <row r="199" spans="1:130" hidden="1" x14ac:dyDescent="0.2">
      <c r="A199" s="3" t="s">
        <v>1</v>
      </c>
      <c r="B199" s="4" t="s">
        <v>702</v>
      </c>
      <c r="C199" s="28">
        <v>2016</v>
      </c>
      <c r="D199" s="16">
        <v>92</v>
      </c>
      <c r="E199" s="16">
        <v>6</v>
      </c>
      <c r="F199" s="63" t="s">
        <v>1063</v>
      </c>
      <c r="G199" s="5" t="s">
        <v>711</v>
      </c>
      <c r="H199" s="5" t="s">
        <v>93</v>
      </c>
      <c r="I199" s="5" t="s">
        <v>6</v>
      </c>
      <c r="J199" s="5" t="s">
        <v>7</v>
      </c>
      <c r="K199" s="5" t="s">
        <v>1046</v>
      </c>
      <c r="L199" s="5" t="s">
        <v>1049</v>
      </c>
      <c r="M199" s="5" t="s">
        <v>9</v>
      </c>
      <c r="N199" s="85">
        <v>0</v>
      </c>
      <c r="O199" s="85">
        <v>3.26</v>
      </c>
      <c r="P199" s="7" t="s">
        <v>704</v>
      </c>
      <c r="Q199" s="5" t="s">
        <v>39</v>
      </c>
      <c r="R199" s="5" t="s">
        <v>18</v>
      </c>
      <c r="S199" s="5" t="s">
        <v>707</v>
      </c>
      <c r="T199" s="5" t="s">
        <v>1335</v>
      </c>
      <c r="U199" s="9">
        <f>4+N199</f>
        <v>4</v>
      </c>
      <c r="V199" s="9">
        <f t="shared" si="13"/>
        <v>-0.29453354740088256</v>
      </c>
      <c r="W199" s="9"/>
      <c r="X199" s="9"/>
      <c r="Y199" s="9">
        <f t="shared" si="14"/>
        <v>5.3699999999999992</v>
      </c>
      <c r="Z199" s="9"/>
      <c r="AA199" s="5" t="s">
        <v>12</v>
      </c>
      <c r="AB199" s="7" t="s">
        <v>1123</v>
      </c>
      <c r="AC199" s="5" t="s">
        <v>1194</v>
      </c>
      <c r="AD199" s="3">
        <v>9</v>
      </c>
      <c r="AE199" s="5" t="s">
        <v>8</v>
      </c>
      <c r="AF199" s="5" t="s">
        <v>1317</v>
      </c>
      <c r="AG199" s="5" t="s">
        <v>8</v>
      </c>
      <c r="AH199" s="5" t="s">
        <v>8</v>
      </c>
      <c r="AI199" s="5" t="s">
        <v>8</v>
      </c>
      <c r="AJ199" s="5" t="s">
        <v>8</v>
      </c>
      <c r="AK199" s="5" t="s">
        <v>708</v>
      </c>
      <c r="AL199" s="5" t="s">
        <v>8</v>
      </c>
      <c r="AM199" s="5">
        <v>2013</v>
      </c>
      <c r="AN199" s="5" t="s">
        <v>18</v>
      </c>
      <c r="AO199" s="5" t="s">
        <v>18</v>
      </c>
      <c r="AP199" s="5" t="s">
        <v>703</v>
      </c>
      <c r="AQ199" s="5" t="s">
        <v>709</v>
      </c>
      <c r="BD199" s="58"/>
      <c r="BM199" s="58"/>
      <c r="DW199" s="5">
        <v>3.9780000000000003E-2</v>
      </c>
      <c r="DZ199" s="5">
        <v>5.1799999999999997E-3</v>
      </c>
    </row>
    <row r="200" spans="1:130" ht="13.15" hidden="1" customHeight="1" x14ac:dyDescent="0.2">
      <c r="A200" s="3" t="s">
        <v>1</v>
      </c>
      <c r="B200" s="4" t="s">
        <v>712</v>
      </c>
      <c r="C200" s="28">
        <v>2016</v>
      </c>
      <c r="D200" s="16">
        <v>93</v>
      </c>
      <c r="E200" s="16">
        <v>1</v>
      </c>
      <c r="F200" s="63" t="s">
        <v>1051</v>
      </c>
      <c r="G200" s="5" t="s">
        <v>16</v>
      </c>
      <c r="H200" s="5" t="s">
        <v>5</v>
      </c>
      <c r="I200" s="5" t="s">
        <v>714</v>
      </c>
      <c r="J200" s="5" t="s">
        <v>1260</v>
      </c>
      <c r="K200" s="5" t="s">
        <v>726</v>
      </c>
      <c r="L200" s="5" t="s">
        <v>8</v>
      </c>
      <c r="M200" s="5" t="s">
        <v>715</v>
      </c>
      <c r="N200" s="85">
        <v>0</v>
      </c>
      <c r="O200" s="85">
        <v>1.47</v>
      </c>
      <c r="P200" s="7" t="s">
        <v>683</v>
      </c>
      <c r="Q200" s="5" t="s">
        <v>39</v>
      </c>
      <c r="R200" s="5" t="s">
        <v>27</v>
      </c>
      <c r="S200" s="2" t="s">
        <v>716</v>
      </c>
      <c r="T200" s="5" t="s">
        <v>1335</v>
      </c>
      <c r="U200" s="9">
        <f>1.9+N200</f>
        <v>1.9</v>
      </c>
      <c r="V200" s="9">
        <f t="shared" si="13"/>
        <v>-1.1108181943476134</v>
      </c>
      <c r="W200" s="9"/>
      <c r="X200" s="9"/>
      <c r="Y200" s="9">
        <f>Z200+O200</f>
        <v>5.77</v>
      </c>
      <c r="Z200" s="9">
        <f>4.3</f>
        <v>4.3</v>
      </c>
      <c r="AA200" s="5" t="s">
        <v>12</v>
      </c>
      <c r="AB200" s="7" t="s">
        <v>1123</v>
      </c>
      <c r="AC200" s="5" t="s">
        <v>13</v>
      </c>
      <c r="AD200" s="3">
        <v>9</v>
      </c>
      <c r="AE200" s="5" t="s">
        <v>8</v>
      </c>
      <c r="AF200" s="5" t="s">
        <v>1318</v>
      </c>
      <c r="AG200" s="5" t="s">
        <v>8</v>
      </c>
      <c r="AH200" s="5" t="s">
        <v>8</v>
      </c>
      <c r="AI200" s="5" t="s">
        <v>8</v>
      </c>
      <c r="AJ200" s="5" t="s">
        <v>8</v>
      </c>
      <c r="AK200" s="5" t="s">
        <v>363</v>
      </c>
      <c r="AL200" s="5" t="s">
        <v>14</v>
      </c>
      <c r="AM200" s="5" t="s">
        <v>1028</v>
      </c>
      <c r="AN200" s="5" t="s">
        <v>1028</v>
      </c>
      <c r="AO200" s="5" t="s">
        <v>1028</v>
      </c>
      <c r="AP200" s="5" t="s">
        <v>713</v>
      </c>
      <c r="AQ200" s="5" t="s">
        <v>717</v>
      </c>
      <c r="BD200" s="58"/>
      <c r="BM200" s="58"/>
    </row>
    <row r="201" spans="1:130" hidden="1" x14ac:dyDescent="0.2">
      <c r="A201" s="3" t="s">
        <v>1</v>
      </c>
      <c r="B201" s="4" t="s">
        <v>712</v>
      </c>
      <c r="C201" s="28">
        <v>2016</v>
      </c>
      <c r="D201" s="16">
        <v>93</v>
      </c>
      <c r="E201" s="16">
        <v>2</v>
      </c>
      <c r="F201" s="5" t="s">
        <v>1076</v>
      </c>
      <c r="G201" s="5" t="s">
        <v>16</v>
      </c>
      <c r="H201" s="5" t="s">
        <v>5</v>
      </c>
      <c r="I201" s="5" t="s">
        <v>714</v>
      </c>
      <c r="J201" s="5" t="s">
        <v>1260</v>
      </c>
      <c r="K201" s="5" t="s">
        <v>726</v>
      </c>
      <c r="L201" s="5" t="s">
        <v>8</v>
      </c>
      <c r="M201" s="5" t="s">
        <v>715</v>
      </c>
      <c r="N201" s="85">
        <v>0</v>
      </c>
      <c r="O201" s="85">
        <v>1.78</v>
      </c>
      <c r="P201" s="7" t="s">
        <v>50</v>
      </c>
      <c r="Q201" s="5" t="s">
        <v>39</v>
      </c>
      <c r="R201" s="5" t="s">
        <v>27</v>
      </c>
      <c r="S201" s="5" t="s">
        <v>718</v>
      </c>
      <c r="T201" s="5" t="s">
        <v>1335</v>
      </c>
      <c r="U201" s="9">
        <f>2.84+N201</f>
        <v>2.84</v>
      </c>
      <c r="V201" s="9">
        <f t="shared" si="13"/>
        <v>-0.2591087000077249</v>
      </c>
      <c r="W201" s="9"/>
      <c r="X201" s="9"/>
      <c r="Y201" s="9">
        <f>Z201+O201</f>
        <v>3.6799999999999997</v>
      </c>
      <c r="Z201" s="9">
        <f>1.9</f>
        <v>1.9</v>
      </c>
      <c r="AA201" s="5" t="s">
        <v>12</v>
      </c>
      <c r="AB201" s="7" t="s">
        <v>1123</v>
      </c>
      <c r="AC201" s="5" t="s">
        <v>13</v>
      </c>
      <c r="AD201" s="3">
        <v>9</v>
      </c>
      <c r="AE201" s="5" t="s">
        <v>8</v>
      </c>
      <c r="AF201" s="5" t="s">
        <v>1318</v>
      </c>
      <c r="AG201" s="5" t="s">
        <v>8</v>
      </c>
      <c r="AH201" s="5" t="s">
        <v>8</v>
      </c>
      <c r="AI201" s="5" t="s">
        <v>8</v>
      </c>
      <c r="AJ201" s="5" t="s">
        <v>8</v>
      </c>
      <c r="AK201" s="5" t="s">
        <v>363</v>
      </c>
      <c r="AL201" s="5" t="s">
        <v>14</v>
      </c>
      <c r="AM201" s="5" t="s">
        <v>1028</v>
      </c>
      <c r="AN201" s="5" t="s">
        <v>1028</v>
      </c>
      <c r="AO201" s="5" t="s">
        <v>1028</v>
      </c>
      <c r="AP201" s="5" t="s">
        <v>713</v>
      </c>
      <c r="AQ201" s="5" t="s">
        <v>719</v>
      </c>
      <c r="BD201" s="58"/>
      <c r="BM201" s="58"/>
    </row>
    <row r="202" spans="1:130" hidden="1" x14ac:dyDescent="0.2">
      <c r="A202" s="3" t="s">
        <v>1</v>
      </c>
      <c r="B202" s="4" t="s">
        <v>712</v>
      </c>
      <c r="C202" s="28">
        <v>2016</v>
      </c>
      <c r="D202" s="16">
        <v>93</v>
      </c>
      <c r="E202" s="16">
        <v>3</v>
      </c>
      <c r="F202" s="63" t="s">
        <v>1057</v>
      </c>
      <c r="G202" s="5" t="s">
        <v>16</v>
      </c>
      <c r="H202" s="5" t="s">
        <v>5</v>
      </c>
      <c r="I202" s="5" t="s">
        <v>714</v>
      </c>
      <c r="J202" s="5" t="s">
        <v>1260</v>
      </c>
      <c r="K202" s="5" t="s">
        <v>726</v>
      </c>
      <c r="L202" s="5" t="s">
        <v>8</v>
      </c>
      <c r="M202" s="5" t="s">
        <v>715</v>
      </c>
      <c r="N202" s="85">
        <v>0</v>
      </c>
      <c r="O202" s="85">
        <v>1.74</v>
      </c>
      <c r="P202" s="7" t="s">
        <v>720</v>
      </c>
      <c r="Q202" s="5" t="s">
        <v>39</v>
      </c>
      <c r="R202" s="5" t="s">
        <v>1028</v>
      </c>
      <c r="S202" s="5" t="s">
        <v>721</v>
      </c>
      <c r="T202" s="5" t="s">
        <v>1335</v>
      </c>
      <c r="U202" s="9">
        <f>3.3+N202</f>
        <v>3.3</v>
      </c>
      <c r="V202" s="9">
        <f t="shared" si="13"/>
        <v>-0.6778797084291569</v>
      </c>
      <c r="W202" s="9"/>
      <c r="X202" s="9"/>
      <c r="Y202" s="9">
        <v>6.5</v>
      </c>
      <c r="Z202" s="9"/>
      <c r="AA202" s="5" t="s">
        <v>12</v>
      </c>
      <c r="AB202" s="7" t="s">
        <v>1123</v>
      </c>
      <c r="AC202" s="5" t="s">
        <v>13</v>
      </c>
      <c r="AD202" s="3">
        <v>9</v>
      </c>
      <c r="AE202" s="5" t="s">
        <v>8</v>
      </c>
      <c r="AF202" s="5" t="s">
        <v>1318</v>
      </c>
      <c r="AG202" s="5" t="s">
        <v>8</v>
      </c>
      <c r="AH202" s="5" t="s">
        <v>8</v>
      </c>
      <c r="AI202" s="5" t="s">
        <v>8</v>
      </c>
      <c r="AJ202" s="5" t="s">
        <v>8</v>
      </c>
      <c r="AK202" s="5" t="s">
        <v>363</v>
      </c>
      <c r="AL202" s="5" t="s">
        <v>14</v>
      </c>
      <c r="AM202" s="5" t="s">
        <v>1028</v>
      </c>
      <c r="AN202" s="5" t="s">
        <v>1028</v>
      </c>
      <c r="AO202" s="5" t="s">
        <v>1028</v>
      </c>
      <c r="AP202" s="5" t="s">
        <v>713</v>
      </c>
      <c r="AQ202" s="5" t="s">
        <v>722</v>
      </c>
      <c r="BD202" s="58"/>
      <c r="BM202" s="58"/>
    </row>
    <row r="203" spans="1:130" ht="13.15" hidden="1" customHeight="1" x14ac:dyDescent="0.2">
      <c r="A203" s="3" t="s">
        <v>1</v>
      </c>
      <c r="B203" s="4" t="s">
        <v>694</v>
      </c>
      <c r="C203" s="28">
        <v>2015</v>
      </c>
      <c r="D203" s="16">
        <v>94</v>
      </c>
      <c r="E203" s="16">
        <v>3</v>
      </c>
      <c r="F203" s="5" t="s">
        <v>1091</v>
      </c>
      <c r="G203" s="5" t="s">
        <v>732</v>
      </c>
      <c r="H203" s="5" t="s">
        <v>93</v>
      </c>
      <c r="I203" s="5" t="s">
        <v>725</v>
      </c>
      <c r="J203" s="5" t="s">
        <v>1260</v>
      </c>
      <c r="K203" s="5" t="s">
        <v>726</v>
      </c>
      <c r="L203" s="5" t="s">
        <v>8</v>
      </c>
      <c r="M203" s="5" t="s">
        <v>9</v>
      </c>
      <c r="N203" s="7">
        <v>0</v>
      </c>
      <c r="O203" s="7">
        <v>1.47</v>
      </c>
      <c r="P203" s="7" t="s">
        <v>683</v>
      </c>
      <c r="Q203" s="5" t="s">
        <v>39</v>
      </c>
      <c r="R203" s="5" t="s">
        <v>27</v>
      </c>
      <c r="S203" s="5" t="s">
        <v>716</v>
      </c>
      <c r="T203" s="5" t="s">
        <v>1335</v>
      </c>
      <c r="U203" s="9">
        <f>3.86+N203</f>
        <v>3.86</v>
      </c>
      <c r="V203" s="9">
        <f t="shared" si="13"/>
        <v>-0.40200489704326869</v>
      </c>
      <c r="W203" s="9"/>
      <c r="X203" s="9"/>
      <c r="Y203" s="9">
        <f t="shared" ref="Y203:Y209" si="15">Z203+O203</f>
        <v>5.77</v>
      </c>
      <c r="Z203" s="9">
        <f>4.3</f>
        <v>4.3</v>
      </c>
      <c r="AA203" s="5" t="s">
        <v>12</v>
      </c>
      <c r="AB203" s="7" t="s">
        <v>1123</v>
      </c>
      <c r="AC203" s="5" t="s">
        <v>13</v>
      </c>
      <c r="AD203" s="3">
        <v>9</v>
      </c>
      <c r="AE203" s="5" t="s">
        <v>14</v>
      </c>
      <c r="AF203" s="5" t="s">
        <v>97</v>
      </c>
      <c r="AG203" s="5" t="s">
        <v>8</v>
      </c>
      <c r="AH203" s="5" t="s">
        <v>14</v>
      </c>
      <c r="AI203" s="5" t="s">
        <v>8</v>
      </c>
      <c r="AJ203" s="5" t="s">
        <v>8</v>
      </c>
      <c r="AK203" s="5" t="s">
        <v>84</v>
      </c>
      <c r="AL203" s="5" t="s">
        <v>8</v>
      </c>
      <c r="AM203" s="5" t="s">
        <v>733</v>
      </c>
      <c r="AN203" s="5" t="s">
        <v>1028</v>
      </c>
      <c r="AO203" s="5" t="s">
        <v>1028</v>
      </c>
      <c r="AP203" s="5" t="s">
        <v>723</v>
      </c>
      <c r="AQ203" s="5" t="s">
        <v>734</v>
      </c>
      <c r="BD203" s="58"/>
      <c r="BM203" s="58"/>
    </row>
    <row r="204" spans="1:130" ht="13.15" hidden="1" customHeight="1" x14ac:dyDescent="0.2">
      <c r="A204" s="3" t="s">
        <v>1</v>
      </c>
      <c r="B204" s="4" t="s">
        <v>694</v>
      </c>
      <c r="C204" s="28">
        <v>2015</v>
      </c>
      <c r="D204" s="16">
        <v>94</v>
      </c>
      <c r="E204" s="16">
        <v>2</v>
      </c>
      <c r="F204" s="5" t="s">
        <v>1091</v>
      </c>
      <c r="G204" s="5" t="s">
        <v>729</v>
      </c>
      <c r="H204" s="5" t="s">
        <v>93</v>
      </c>
      <c r="I204" s="5" t="s">
        <v>725</v>
      </c>
      <c r="J204" s="5" t="s">
        <v>1260</v>
      </c>
      <c r="K204" s="48" t="s">
        <v>726</v>
      </c>
      <c r="L204" s="5" t="s">
        <v>8</v>
      </c>
      <c r="M204" s="5" t="s">
        <v>9</v>
      </c>
      <c r="N204" s="7">
        <v>0</v>
      </c>
      <c r="O204" s="7">
        <v>1.47</v>
      </c>
      <c r="P204" s="7" t="s">
        <v>683</v>
      </c>
      <c r="Q204" s="5" t="s">
        <v>39</v>
      </c>
      <c r="R204" s="5" t="s">
        <v>27</v>
      </c>
      <c r="S204" s="5" t="s">
        <v>716</v>
      </c>
      <c r="T204" s="5" t="s">
        <v>1335</v>
      </c>
      <c r="U204" s="9">
        <f>4.91+N204</f>
        <v>4.91</v>
      </c>
      <c r="V204" s="9">
        <f t="shared" si="13"/>
        <v>-0.16139813871357894</v>
      </c>
      <c r="W204" s="9"/>
      <c r="X204" s="9"/>
      <c r="Y204" s="9">
        <f t="shared" si="15"/>
        <v>5.77</v>
      </c>
      <c r="Z204" s="9">
        <v>4.3</v>
      </c>
      <c r="AA204" s="5" t="s">
        <v>12</v>
      </c>
      <c r="AB204" s="7" t="s">
        <v>1123</v>
      </c>
      <c r="AC204" s="5" t="s">
        <v>13</v>
      </c>
      <c r="AD204" s="3">
        <v>9</v>
      </c>
      <c r="AE204" s="5" t="s">
        <v>14</v>
      </c>
      <c r="AF204" s="5" t="s">
        <v>97</v>
      </c>
      <c r="AG204" s="5" t="s">
        <v>8</v>
      </c>
      <c r="AH204" s="5" t="s">
        <v>14</v>
      </c>
      <c r="AI204" s="5" t="s">
        <v>8</v>
      </c>
      <c r="AJ204" s="5" t="s">
        <v>8</v>
      </c>
      <c r="AK204" s="5" t="s">
        <v>84</v>
      </c>
      <c r="AL204" s="5" t="s">
        <v>8</v>
      </c>
      <c r="AM204" s="5" t="s">
        <v>730</v>
      </c>
      <c r="AN204" s="5" t="s">
        <v>1028</v>
      </c>
      <c r="AO204" s="5" t="s">
        <v>1028</v>
      </c>
      <c r="AP204" s="5" t="s">
        <v>723</v>
      </c>
      <c r="AQ204" s="5" t="s">
        <v>731</v>
      </c>
      <c r="BD204" s="58"/>
      <c r="BM204" s="58"/>
    </row>
    <row r="205" spans="1:130" ht="13.15" hidden="1" customHeight="1" x14ac:dyDescent="0.2">
      <c r="A205" s="3" t="s">
        <v>1</v>
      </c>
      <c r="B205" s="4" t="s">
        <v>694</v>
      </c>
      <c r="C205" s="28">
        <v>2015</v>
      </c>
      <c r="D205" s="16">
        <v>94</v>
      </c>
      <c r="E205" s="16">
        <v>7</v>
      </c>
      <c r="F205" s="5" t="s">
        <v>1051</v>
      </c>
      <c r="G205" s="5" t="s">
        <v>743</v>
      </c>
      <c r="H205" s="5" t="s">
        <v>93</v>
      </c>
      <c r="I205" s="5" t="s">
        <v>725</v>
      </c>
      <c r="J205" s="5" t="s">
        <v>1260</v>
      </c>
      <c r="K205" s="48" t="s">
        <v>726</v>
      </c>
      <c r="L205" s="5" t="s">
        <v>8</v>
      </c>
      <c r="M205" s="5" t="s">
        <v>9</v>
      </c>
      <c r="N205" s="7">
        <v>0</v>
      </c>
      <c r="O205" s="7">
        <v>1.47</v>
      </c>
      <c r="P205" s="7" t="s">
        <v>683</v>
      </c>
      <c r="Q205" s="5" t="s">
        <v>39</v>
      </c>
      <c r="R205" s="5" t="s">
        <v>27</v>
      </c>
      <c r="S205" s="5" t="s">
        <v>716</v>
      </c>
      <c r="T205" s="5" t="s">
        <v>1335</v>
      </c>
      <c r="U205" s="9">
        <f>5.79+N205</f>
        <v>5.79</v>
      </c>
      <c r="V205" s="9">
        <f t="shared" si="13"/>
        <v>3.4602110648956526E-3</v>
      </c>
      <c r="W205" s="9"/>
      <c r="X205" s="9"/>
      <c r="Y205" s="9">
        <f t="shared" si="15"/>
        <v>5.77</v>
      </c>
      <c r="Z205" s="9">
        <f>4.3</f>
        <v>4.3</v>
      </c>
      <c r="AA205" s="5" t="s">
        <v>12</v>
      </c>
      <c r="AB205" s="7" t="s">
        <v>1123</v>
      </c>
      <c r="AC205" s="5" t="s">
        <v>13</v>
      </c>
      <c r="AD205" s="3">
        <v>9</v>
      </c>
      <c r="AE205" s="5" t="s">
        <v>14</v>
      </c>
      <c r="AF205" s="5" t="s">
        <v>97</v>
      </c>
      <c r="AG205" s="5" t="s">
        <v>8</v>
      </c>
      <c r="AH205" s="5" t="s">
        <v>14</v>
      </c>
      <c r="AI205" s="5" t="s">
        <v>8</v>
      </c>
      <c r="AJ205" s="5" t="s">
        <v>8</v>
      </c>
      <c r="AK205" s="5" t="s">
        <v>84</v>
      </c>
      <c r="AL205" s="5" t="s">
        <v>8</v>
      </c>
      <c r="AM205" s="5" t="s">
        <v>744</v>
      </c>
      <c r="AN205" s="5" t="s">
        <v>1028</v>
      </c>
      <c r="AO205" s="5" t="s">
        <v>1028</v>
      </c>
      <c r="AP205" s="5" t="s">
        <v>723</v>
      </c>
      <c r="AQ205" s="5" t="s">
        <v>745</v>
      </c>
      <c r="BD205" s="58"/>
      <c r="BM205" s="58"/>
    </row>
    <row r="206" spans="1:130" ht="13.15" hidden="1" customHeight="1" x14ac:dyDescent="0.2">
      <c r="A206" s="3" t="s">
        <v>1</v>
      </c>
      <c r="B206" s="4" t="s">
        <v>694</v>
      </c>
      <c r="C206" s="28">
        <v>2015</v>
      </c>
      <c r="D206" s="16">
        <v>94</v>
      </c>
      <c r="E206" s="16">
        <v>6</v>
      </c>
      <c r="F206" s="5" t="s">
        <v>1051</v>
      </c>
      <c r="G206" s="5" t="s">
        <v>741</v>
      </c>
      <c r="H206" s="5" t="s">
        <v>93</v>
      </c>
      <c r="I206" s="5" t="s">
        <v>725</v>
      </c>
      <c r="J206" s="5" t="s">
        <v>1260</v>
      </c>
      <c r="K206" s="48" t="s">
        <v>726</v>
      </c>
      <c r="L206" s="5" t="s">
        <v>8</v>
      </c>
      <c r="M206" s="5" t="s">
        <v>9</v>
      </c>
      <c r="N206" s="7">
        <v>0</v>
      </c>
      <c r="O206" s="7">
        <v>1.47</v>
      </c>
      <c r="P206" s="7" t="s">
        <v>683</v>
      </c>
      <c r="Q206" s="5" t="s">
        <v>39</v>
      </c>
      <c r="R206" s="5" t="s">
        <v>27</v>
      </c>
      <c r="S206" s="5" t="s">
        <v>716</v>
      </c>
      <c r="T206" s="5" t="s">
        <v>1335</v>
      </c>
      <c r="U206" s="9">
        <f>6.29+N206</f>
        <v>6.29</v>
      </c>
      <c r="V206" s="9">
        <f t="shared" si="13"/>
        <v>8.6288990192341083E-2</v>
      </c>
      <c r="W206" s="9"/>
      <c r="X206" s="9"/>
      <c r="Y206" s="9">
        <f t="shared" si="15"/>
        <v>5.77</v>
      </c>
      <c r="Z206" s="9">
        <v>4.3</v>
      </c>
      <c r="AA206" s="5" t="s">
        <v>12</v>
      </c>
      <c r="AB206" s="7" t="s">
        <v>1123</v>
      </c>
      <c r="AC206" s="5" t="s">
        <v>13</v>
      </c>
      <c r="AD206" s="3">
        <v>9</v>
      </c>
      <c r="AE206" s="5" t="s">
        <v>14</v>
      </c>
      <c r="AF206" s="5" t="s">
        <v>97</v>
      </c>
      <c r="AG206" s="5" t="s">
        <v>8</v>
      </c>
      <c r="AH206" s="5" t="s">
        <v>14</v>
      </c>
      <c r="AI206" s="5" t="s">
        <v>8</v>
      </c>
      <c r="AJ206" s="5" t="s">
        <v>8</v>
      </c>
      <c r="AK206" s="5" t="s">
        <v>84</v>
      </c>
      <c r="AL206" s="5" t="s">
        <v>8</v>
      </c>
      <c r="AM206" s="5" t="s">
        <v>742</v>
      </c>
      <c r="AN206" s="5" t="s">
        <v>1028</v>
      </c>
      <c r="AO206" s="5" t="s">
        <v>1028</v>
      </c>
      <c r="AP206" s="5" t="s">
        <v>723</v>
      </c>
      <c r="BD206" s="58"/>
      <c r="BM206" s="58"/>
    </row>
    <row r="207" spans="1:130" ht="13.15" hidden="1" customHeight="1" x14ac:dyDescent="0.2">
      <c r="A207" s="3" t="s">
        <v>1</v>
      </c>
      <c r="B207" s="4" t="s">
        <v>694</v>
      </c>
      <c r="C207" s="28">
        <v>2015</v>
      </c>
      <c r="D207" s="16">
        <v>94</v>
      </c>
      <c r="E207" s="16">
        <v>5</v>
      </c>
      <c r="F207" s="5" t="s">
        <v>1051</v>
      </c>
      <c r="G207" s="5" t="s">
        <v>738</v>
      </c>
      <c r="H207" s="5" t="s">
        <v>93</v>
      </c>
      <c r="I207" s="5" t="s">
        <v>725</v>
      </c>
      <c r="J207" s="5" t="s">
        <v>1260</v>
      </c>
      <c r="K207" s="48" t="s">
        <v>726</v>
      </c>
      <c r="L207" s="5" t="s">
        <v>8</v>
      </c>
      <c r="M207" s="5" t="s">
        <v>9</v>
      </c>
      <c r="N207" s="7">
        <v>0</v>
      </c>
      <c r="O207" s="7">
        <v>1.47</v>
      </c>
      <c r="P207" s="7" t="s">
        <v>683</v>
      </c>
      <c r="Q207" s="5" t="s">
        <v>39</v>
      </c>
      <c r="R207" s="5" t="s">
        <v>27</v>
      </c>
      <c r="S207" s="5" t="s">
        <v>716</v>
      </c>
      <c r="T207" s="5" t="s">
        <v>1335</v>
      </c>
      <c r="U207" s="9">
        <f>6.91+N207</f>
        <v>6.91</v>
      </c>
      <c r="V207" s="9">
        <f t="shared" si="13"/>
        <v>0.18029755725957042</v>
      </c>
      <c r="W207" s="9"/>
      <c r="X207" s="9"/>
      <c r="Y207" s="9">
        <f t="shared" si="15"/>
        <v>5.77</v>
      </c>
      <c r="Z207" s="9">
        <f>4.3</f>
        <v>4.3</v>
      </c>
      <c r="AA207" s="5" t="s">
        <v>12</v>
      </c>
      <c r="AB207" s="7" t="s">
        <v>1123</v>
      </c>
      <c r="AC207" s="5" t="s">
        <v>13</v>
      </c>
      <c r="AD207" s="3">
        <v>9</v>
      </c>
      <c r="AE207" s="5" t="s">
        <v>14</v>
      </c>
      <c r="AF207" s="5" t="s">
        <v>97</v>
      </c>
      <c r="AG207" s="5" t="s">
        <v>8</v>
      </c>
      <c r="AH207" s="5" t="s">
        <v>14</v>
      </c>
      <c r="AI207" s="5" t="s">
        <v>8</v>
      </c>
      <c r="AJ207" s="5" t="s">
        <v>8</v>
      </c>
      <c r="AK207" s="5" t="s">
        <v>84</v>
      </c>
      <c r="AL207" s="5" t="s">
        <v>8</v>
      </c>
      <c r="AM207" s="5" t="s">
        <v>739</v>
      </c>
      <c r="AN207" s="5" t="s">
        <v>1028</v>
      </c>
      <c r="AO207" s="5" t="s">
        <v>1028</v>
      </c>
      <c r="AP207" s="5" t="s">
        <v>723</v>
      </c>
      <c r="AQ207" s="5" t="s">
        <v>740</v>
      </c>
      <c r="BD207" s="58"/>
      <c r="BM207" s="58"/>
    </row>
    <row r="208" spans="1:130" ht="13.15" hidden="1" customHeight="1" x14ac:dyDescent="0.2">
      <c r="A208" s="3" t="s">
        <v>1</v>
      </c>
      <c r="B208" s="4" t="s">
        <v>694</v>
      </c>
      <c r="C208" s="28">
        <v>2015</v>
      </c>
      <c r="D208" s="16">
        <v>94</v>
      </c>
      <c r="E208" s="16">
        <v>1</v>
      </c>
      <c r="F208" s="5" t="s">
        <v>1091</v>
      </c>
      <c r="G208" s="5" t="s">
        <v>724</v>
      </c>
      <c r="H208" s="5" t="s">
        <v>93</v>
      </c>
      <c r="I208" s="5" t="s">
        <v>725</v>
      </c>
      <c r="J208" s="5" t="s">
        <v>1260</v>
      </c>
      <c r="K208" s="5" t="s">
        <v>726</v>
      </c>
      <c r="L208" s="5" t="s">
        <v>8</v>
      </c>
      <c r="M208" s="5" t="s">
        <v>9</v>
      </c>
      <c r="N208" s="7">
        <v>0</v>
      </c>
      <c r="O208" s="7">
        <v>1.47</v>
      </c>
      <c r="P208" s="7" t="s">
        <v>683</v>
      </c>
      <c r="Q208" s="5" t="s">
        <v>39</v>
      </c>
      <c r="R208" s="5" t="s">
        <v>27</v>
      </c>
      <c r="S208" s="5" t="s">
        <v>716</v>
      </c>
      <c r="T208" s="5" t="s">
        <v>1335</v>
      </c>
      <c r="U208" s="9">
        <f>7.01+N208</f>
        <v>7.01</v>
      </c>
      <c r="V208" s="9">
        <f t="shared" si="13"/>
        <v>0.1946656205264905</v>
      </c>
      <c r="W208" s="9"/>
      <c r="X208" s="9"/>
      <c r="Y208" s="9">
        <f t="shared" si="15"/>
        <v>5.77</v>
      </c>
      <c r="Z208" s="9">
        <f>4.3</f>
        <v>4.3</v>
      </c>
      <c r="AA208" s="5" t="s">
        <v>12</v>
      </c>
      <c r="AB208" s="7" t="s">
        <v>1123</v>
      </c>
      <c r="AC208" s="5" t="s">
        <v>13</v>
      </c>
      <c r="AD208" s="3">
        <v>9</v>
      </c>
      <c r="AE208" s="5" t="s">
        <v>14</v>
      </c>
      <c r="AF208" s="5" t="s">
        <v>97</v>
      </c>
      <c r="AG208" s="5" t="s">
        <v>8</v>
      </c>
      <c r="AH208" s="5" t="s">
        <v>14</v>
      </c>
      <c r="AI208" s="5" t="s">
        <v>8</v>
      </c>
      <c r="AJ208" s="5" t="s">
        <v>8</v>
      </c>
      <c r="AK208" s="5" t="s">
        <v>84</v>
      </c>
      <c r="AL208" s="5" t="s">
        <v>8</v>
      </c>
      <c r="AM208" s="5" t="s">
        <v>727</v>
      </c>
      <c r="AN208" s="5" t="s">
        <v>1028</v>
      </c>
      <c r="AO208" s="5" t="s">
        <v>1028</v>
      </c>
      <c r="AP208" s="5" t="s">
        <v>723</v>
      </c>
      <c r="AQ208" s="5" t="s">
        <v>728</v>
      </c>
      <c r="BD208" s="58"/>
      <c r="BM208" s="58"/>
    </row>
    <row r="209" spans="1:202" ht="13.15" hidden="1" customHeight="1" x14ac:dyDescent="0.2">
      <c r="A209" s="3" t="s">
        <v>1</v>
      </c>
      <c r="B209" s="4" t="s">
        <v>694</v>
      </c>
      <c r="C209" s="28">
        <v>2015</v>
      </c>
      <c r="D209" s="16">
        <v>94</v>
      </c>
      <c r="E209" s="16">
        <v>4</v>
      </c>
      <c r="F209" s="5" t="s">
        <v>1051</v>
      </c>
      <c r="G209" s="5" t="s">
        <v>735</v>
      </c>
      <c r="H209" s="5" t="s">
        <v>93</v>
      </c>
      <c r="I209" s="5" t="s">
        <v>725</v>
      </c>
      <c r="J209" s="5" t="s">
        <v>1260</v>
      </c>
      <c r="K209" s="5" t="s">
        <v>726</v>
      </c>
      <c r="L209" s="5" t="s">
        <v>8</v>
      </c>
      <c r="M209" s="5" t="s">
        <v>9</v>
      </c>
      <c r="N209" s="7">
        <v>0</v>
      </c>
      <c r="O209" s="7">
        <v>1.47</v>
      </c>
      <c r="P209" s="7" t="s">
        <v>683</v>
      </c>
      <c r="Q209" s="5" t="s">
        <v>39</v>
      </c>
      <c r="R209" s="5" t="s">
        <v>27</v>
      </c>
      <c r="S209" s="5" t="s">
        <v>716</v>
      </c>
      <c r="T209" s="5" t="s">
        <v>1335</v>
      </c>
      <c r="U209" s="9">
        <f>7.32+N209</f>
        <v>7.32</v>
      </c>
      <c r="V209" s="9">
        <f t="shared" si="13"/>
        <v>0.23793824745321213</v>
      </c>
      <c r="W209" s="9"/>
      <c r="X209" s="9"/>
      <c r="Y209" s="9">
        <f t="shared" si="15"/>
        <v>5.77</v>
      </c>
      <c r="Z209" s="9">
        <v>4.3</v>
      </c>
      <c r="AA209" s="5" t="s">
        <v>12</v>
      </c>
      <c r="AB209" s="7" t="s">
        <v>1123</v>
      </c>
      <c r="AC209" s="5" t="s">
        <v>13</v>
      </c>
      <c r="AD209" s="3">
        <v>9</v>
      </c>
      <c r="AE209" s="5" t="s">
        <v>14</v>
      </c>
      <c r="AF209" s="5" t="s">
        <v>97</v>
      </c>
      <c r="AG209" s="5" t="s">
        <v>8</v>
      </c>
      <c r="AH209" s="5" t="s">
        <v>14</v>
      </c>
      <c r="AI209" s="5" t="s">
        <v>8</v>
      </c>
      <c r="AJ209" s="5" t="s">
        <v>8</v>
      </c>
      <c r="AK209" s="5" t="s">
        <v>84</v>
      </c>
      <c r="AL209" s="5" t="s">
        <v>8</v>
      </c>
      <c r="AM209" s="5" t="s">
        <v>736</v>
      </c>
      <c r="AN209" s="5" t="s">
        <v>1028</v>
      </c>
      <c r="AO209" s="5" t="s">
        <v>1028</v>
      </c>
      <c r="AP209" s="5" t="s">
        <v>723</v>
      </c>
      <c r="AQ209" s="19" t="s">
        <v>737</v>
      </c>
      <c r="BD209" s="58"/>
      <c r="BM209" s="58"/>
    </row>
    <row r="210" spans="1:202" ht="13.15" hidden="1" customHeight="1" x14ac:dyDescent="0.2">
      <c r="A210" s="3" t="s">
        <v>329</v>
      </c>
      <c r="B210" s="4" t="s">
        <v>330</v>
      </c>
      <c r="C210" s="28">
        <v>2003</v>
      </c>
      <c r="D210" s="16">
        <v>38</v>
      </c>
      <c r="E210" s="16">
        <v>2</v>
      </c>
      <c r="F210" s="5" t="s">
        <v>861</v>
      </c>
      <c r="G210" s="5" t="s">
        <v>16</v>
      </c>
      <c r="H210" s="5" t="s">
        <v>5</v>
      </c>
      <c r="I210" s="5" t="s">
        <v>6</v>
      </c>
      <c r="J210" s="5" t="s">
        <v>7</v>
      </c>
      <c r="K210" s="5" t="s">
        <v>1046</v>
      </c>
      <c r="L210" s="5" t="s">
        <v>1049</v>
      </c>
      <c r="M210" s="5" t="s">
        <v>9</v>
      </c>
      <c r="N210" s="7">
        <v>2.77</v>
      </c>
      <c r="O210" s="7">
        <v>2.0499999999999998</v>
      </c>
      <c r="P210" s="7" t="s">
        <v>333</v>
      </c>
      <c r="Q210" s="5" t="s">
        <v>309</v>
      </c>
      <c r="R210" s="5" t="s">
        <v>67</v>
      </c>
      <c r="S210" s="5" t="s">
        <v>334</v>
      </c>
      <c r="T210" s="5" t="s">
        <v>1335</v>
      </c>
      <c r="U210" s="9">
        <f>0.45+N210</f>
        <v>3.22</v>
      </c>
      <c r="V210" s="9">
        <f t="shared" si="13"/>
        <v>-0.15237448042600249</v>
      </c>
      <c r="W210" s="9"/>
      <c r="X210" s="9"/>
      <c r="Y210" s="9">
        <f>1.7+O210</f>
        <v>3.75</v>
      </c>
      <c r="Z210" s="9"/>
      <c r="AA210" s="5" t="s">
        <v>12</v>
      </c>
      <c r="AB210" s="7" t="s">
        <v>1123</v>
      </c>
      <c r="AC210" s="5" t="s">
        <v>13</v>
      </c>
      <c r="AD210" s="3">
        <v>9</v>
      </c>
      <c r="AE210" s="5" t="s">
        <v>14</v>
      </c>
      <c r="AF210" s="5" t="s">
        <v>83</v>
      </c>
      <c r="AG210" s="5" t="s">
        <v>8</v>
      </c>
      <c r="AH210" s="5" t="s">
        <v>8</v>
      </c>
      <c r="AI210" s="5" t="s">
        <v>8</v>
      </c>
      <c r="AJ210" s="5" t="s">
        <v>8</v>
      </c>
      <c r="AK210" s="5" t="s">
        <v>1028</v>
      </c>
      <c r="AL210" s="5" t="s">
        <v>8</v>
      </c>
      <c r="AM210" s="5" t="s">
        <v>335</v>
      </c>
      <c r="AN210" s="5" t="s">
        <v>336</v>
      </c>
      <c r="AO210" s="5" t="s">
        <v>18</v>
      </c>
      <c r="AP210" s="5" t="s">
        <v>331</v>
      </c>
      <c r="AQ210" s="5" t="s">
        <v>337</v>
      </c>
      <c r="BD210" s="58"/>
      <c r="BM210" s="58"/>
      <c r="DC210" s="5">
        <v>59</v>
      </c>
      <c r="DF210" s="5">
        <v>80</v>
      </c>
    </row>
    <row r="211" spans="1:202" hidden="1" x14ac:dyDescent="0.2">
      <c r="A211" s="3" t="s">
        <v>329</v>
      </c>
      <c r="B211" s="4" t="s">
        <v>330</v>
      </c>
      <c r="C211" s="28">
        <v>2003</v>
      </c>
      <c r="D211" s="16">
        <v>38</v>
      </c>
      <c r="E211" s="16">
        <v>1</v>
      </c>
      <c r="F211" s="5" t="s">
        <v>861</v>
      </c>
      <c r="G211" s="5" t="s">
        <v>16</v>
      </c>
      <c r="H211" s="5" t="s">
        <v>5</v>
      </c>
      <c r="I211" s="5" t="s">
        <v>332</v>
      </c>
      <c r="J211" s="5" t="s">
        <v>7</v>
      </c>
      <c r="K211" s="48" t="s">
        <v>1046</v>
      </c>
      <c r="L211" s="5" t="s">
        <v>1049</v>
      </c>
      <c r="M211" s="5" t="s">
        <v>9</v>
      </c>
      <c r="N211" s="7">
        <v>3.26</v>
      </c>
      <c r="O211" s="7">
        <v>2.0499999999999998</v>
      </c>
      <c r="P211" s="7" t="s">
        <v>333</v>
      </c>
      <c r="Q211" s="5" t="s">
        <v>309</v>
      </c>
      <c r="R211" s="5" t="s">
        <v>67</v>
      </c>
      <c r="S211" s="5" t="s">
        <v>334</v>
      </c>
      <c r="T211" s="5" t="s">
        <v>1335</v>
      </c>
      <c r="U211" s="9">
        <f>0.26+N211</f>
        <v>3.5199999999999996</v>
      </c>
      <c r="V211" s="9">
        <f t="shared" si="13"/>
        <v>-6.329485037231386E-2</v>
      </c>
      <c r="W211" s="9"/>
      <c r="X211" s="9"/>
      <c r="Y211" s="9">
        <f>1.7+O211</f>
        <v>3.75</v>
      </c>
      <c r="Z211" s="9"/>
      <c r="AA211" s="5" t="s">
        <v>12</v>
      </c>
      <c r="AB211" s="7" t="s">
        <v>1123</v>
      </c>
      <c r="AC211" s="5" t="s">
        <v>13</v>
      </c>
      <c r="AD211" s="3">
        <v>9</v>
      </c>
      <c r="AE211" s="5" t="s">
        <v>14</v>
      </c>
      <c r="AF211" s="5" t="s">
        <v>83</v>
      </c>
      <c r="AG211" s="5" t="s">
        <v>8</v>
      </c>
      <c r="AH211" s="5" t="s">
        <v>8</v>
      </c>
      <c r="AI211" s="5" t="s">
        <v>8</v>
      </c>
      <c r="AJ211" s="5" t="s">
        <v>8</v>
      </c>
      <c r="AK211" s="5" t="s">
        <v>1028</v>
      </c>
      <c r="AL211" s="5" t="s">
        <v>8</v>
      </c>
      <c r="AM211" s="5" t="s">
        <v>335</v>
      </c>
      <c r="AN211" s="5" t="s">
        <v>336</v>
      </c>
      <c r="AO211" s="5" t="s">
        <v>18</v>
      </c>
      <c r="AP211" s="5" t="s">
        <v>331</v>
      </c>
      <c r="AQ211" s="5" t="s">
        <v>337</v>
      </c>
      <c r="BD211" s="58"/>
      <c r="BM211" s="58"/>
      <c r="DC211" s="5">
        <v>50</v>
      </c>
      <c r="DF211" s="5">
        <v>80</v>
      </c>
    </row>
    <row r="212" spans="1:202" ht="13.15" customHeight="1" x14ac:dyDescent="0.2">
      <c r="A212" s="103" t="s">
        <v>329</v>
      </c>
      <c r="B212" s="104" t="s">
        <v>240</v>
      </c>
      <c r="C212" s="105">
        <v>2020</v>
      </c>
      <c r="D212" s="106">
        <v>27</v>
      </c>
      <c r="E212" s="106">
        <v>3</v>
      </c>
      <c r="F212" s="103" t="s">
        <v>1058</v>
      </c>
      <c r="G212" s="5" t="s">
        <v>242</v>
      </c>
      <c r="H212" s="5" t="s">
        <v>5</v>
      </c>
      <c r="I212" s="5" t="s">
        <v>245</v>
      </c>
      <c r="J212" s="5" t="s">
        <v>1260</v>
      </c>
      <c r="K212" s="5" t="s">
        <v>726</v>
      </c>
      <c r="L212" s="5" t="s">
        <v>8</v>
      </c>
      <c r="M212" s="5" t="s">
        <v>179</v>
      </c>
      <c r="N212" s="7">
        <v>0</v>
      </c>
      <c r="O212" s="7">
        <v>1.83</v>
      </c>
      <c r="P212" s="107" t="s">
        <v>1024</v>
      </c>
      <c r="Q212" s="103" t="s">
        <v>39</v>
      </c>
      <c r="R212" s="103" t="s">
        <v>1028</v>
      </c>
      <c r="S212" s="103" t="s">
        <v>96</v>
      </c>
      <c r="T212" s="103" t="s">
        <v>1336</v>
      </c>
      <c r="U212" s="108">
        <f>0.0027</f>
        <v>2.7000000000000001E-3</v>
      </c>
      <c r="V212" s="108">
        <f t="shared" si="13"/>
        <v>-1.8189241817448121</v>
      </c>
      <c r="W212" s="108"/>
      <c r="X212" s="108"/>
      <c r="Y212" s="108">
        <f>(0.0081)+((O212/1000)*4.67)</f>
        <v>1.6646099999999997E-2</v>
      </c>
      <c r="Z212" s="108"/>
      <c r="AA212" s="103" t="s">
        <v>12</v>
      </c>
      <c r="AB212" s="109" t="s">
        <v>1043</v>
      </c>
      <c r="AC212" s="103" t="s">
        <v>64</v>
      </c>
      <c r="AD212" s="103">
        <v>9</v>
      </c>
      <c r="AE212" s="103" t="s">
        <v>8</v>
      </c>
      <c r="AF212" s="103" t="s">
        <v>1284</v>
      </c>
      <c r="AG212" s="103" t="s">
        <v>8</v>
      </c>
      <c r="AH212" s="103" t="s">
        <v>8</v>
      </c>
      <c r="AI212" s="103" t="s">
        <v>8</v>
      </c>
      <c r="AJ212" s="103" t="s">
        <v>14</v>
      </c>
      <c r="AK212" s="103" t="s">
        <v>84</v>
      </c>
      <c r="AL212" s="103" t="s">
        <v>8</v>
      </c>
      <c r="AM212" s="103" t="s">
        <v>243</v>
      </c>
      <c r="AN212" s="103" t="s">
        <v>1028</v>
      </c>
      <c r="AO212" s="103" t="s">
        <v>1028</v>
      </c>
      <c r="AP212" s="103" t="s">
        <v>241</v>
      </c>
      <c r="AQ212" s="103" t="s">
        <v>244</v>
      </c>
      <c r="AR212" s="103"/>
      <c r="AS212" s="103"/>
      <c r="AT212" s="103"/>
      <c r="AU212" s="103"/>
      <c r="AV212" s="103"/>
      <c r="AW212" s="103"/>
      <c r="AX212" s="103"/>
      <c r="AY212" s="103"/>
      <c r="AZ212" s="103"/>
      <c r="BA212" s="103"/>
      <c r="BB212" s="103"/>
      <c r="BC212" s="103"/>
      <c r="BD212" s="111"/>
      <c r="BE212" s="110">
        <f>((0.000126)/5.58)*1000</f>
        <v>2.2580645161290321E-2</v>
      </c>
      <c r="BF212" s="110"/>
      <c r="BG212" s="110"/>
      <c r="BH212" s="110">
        <f>(((0.000611)/4.67)*1000)</f>
        <v>0.13083511777301926</v>
      </c>
      <c r="BI212" s="110">
        <f>((0.00000611)/5.58)*1000</f>
        <v>1.0949820788530465E-3</v>
      </c>
      <c r="BJ212" s="103"/>
      <c r="BK212" s="103"/>
      <c r="BL212" s="103">
        <f>(((0.00000352)/4.67)*1000)</f>
        <v>7.5374732334047118E-4</v>
      </c>
      <c r="BM212" s="111">
        <f>LN(BI212/BL212)</f>
        <v>0.37343607886108438</v>
      </c>
      <c r="BN212" s="103"/>
      <c r="BO212" s="103"/>
      <c r="BP212" s="103"/>
      <c r="BQ212" s="103"/>
      <c r="BR212" s="112">
        <f>((0.00000016)/5.58)*1000</f>
        <v>2.8673835125448028E-5</v>
      </c>
      <c r="BS212" s="103"/>
      <c r="BT212" s="103"/>
      <c r="BU212" s="112">
        <f>(((0.000000352)/4.67)*1000)</f>
        <v>7.5374732334047097E-5</v>
      </c>
      <c r="BV212" s="103"/>
      <c r="BW212" s="103"/>
      <c r="BX212" s="103"/>
      <c r="BY212" s="103"/>
      <c r="BZ212" s="103"/>
      <c r="CA212" s="103"/>
      <c r="CB212" s="103"/>
      <c r="CC212" s="103"/>
      <c r="CD212" s="103"/>
      <c r="CE212" s="103"/>
      <c r="CF212" s="103"/>
      <c r="CG212" s="103"/>
      <c r="CH212" s="103"/>
      <c r="CI212" s="103"/>
      <c r="CJ212" s="103"/>
      <c r="CK212" s="103"/>
      <c r="CL212" s="108">
        <f>((0.176)/5.58)*1000</f>
        <v>31.541218637992827</v>
      </c>
      <c r="CM212" s="108"/>
      <c r="CN212" s="108"/>
      <c r="CO212" s="108">
        <f>(((0.397)/4.67)*1000)</f>
        <v>85.010706638115636</v>
      </c>
      <c r="CP212" s="103"/>
      <c r="CQ212" s="103"/>
      <c r="CR212" s="103"/>
      <c r="CS212" s="103"/>
      <c r="CT212" s="103"/>
      <c r="CU212" s="103"/>
      <c r="CV212" s="103"/>
      <c r="CW212" s="103"/>
      <c r="CX212" s="113"/>
      <c r="CY212" s="103"/>
      <c r="CZ212" s="103"/>
      <c r="DA212" s="103"/>
      <c r="DB212" s="103"/>
      <c r="DC212" s="103"/>
      <c r="DD212" s="103"/>
      <c r="DE212" s="103"/>
      <c r="DF212" s="103"/>
      <c r="DG212" s="103"/>
      <c r="DH212" s="103"/>
      <c r="DI212" s="103"/>
      <c r="DJ212" s="103"/>
      <c r="DK212" s="103"/>
      <c r="DL212" s="103"/>
      <c r="DM212" s="103"/>
      <c r="DN212" s="103"/>
      <c r="DO212" s="103"/>
      <c r="DP212" s="103"/>
      <c r="DQ212" s="103"/>
      <c r="DR212" s="103"/>
      <c r="DS212" s="103"/>
      <c r="DT212" s="103"/>
      <c r="DU212" s="103"/>
      <c r="DV212" s="103"/>
      <c r="DW212" s="103"/>
      <c r="DX212" s="103"/>
      <c r="DY212" s="103"/>
      <c r="DZ212" s="103"/>
      <c r="EA212" s="103">
        <f>((0.000551)/5.58)*1000</f>
        <v>9.8745519713261634E-2</v>
      </c>
      <c r="EB212" s="128">
        <f>LN(EA212/ED212)</f>
        <v>-3.5084176839612198</v>
      </c>
      <c r="EC212" s="103"/>
      <c r="ED212" s="103">
        <f>(((0.0154)/4.67)*1000)</f>
        <v>3.2976445396145611</v>
      </c>
      <c r="EE212" s="103"/>
      <c r="EF212" s="103"/>
      <c r="EG212" s="103"/>
      <c r="EH212" s="103"/>
      <c r="EI212" s="103"/>
      <c r="EJ212" s="103"/>
      <c r="EK212" s="103"/>
      <c r="EL212" s="103"/>
      <c r="EM212" s="103"/>
      <c r="EN212" s="103"/>
      <c r="EO212" s="103"/>
      <c r="EP212" s="103"/>
      <c r="EQ212" s="103"/>
      <c r="ER212" s="103"/>
      <c r="ES212" s="103"/>
      <c r="ET212" s="103"/>
      <c r="EU212" s="103"/>
      <c r="EV212" s="103"/>
      <c r="EW212" s="103"/>
      <c r="EX212" s="103"/>
      <c r="EY212" s="103"/>
      <c r="EZ212" s="103"/>
      <c r="FA212" s="103"/>
      <c r="FB212" s="103"/>
      <c r="FC212" s="103"/>
      <c r="FD212" s="103"/>
      <c r="FE212" s="103"/>
      <c r="FF212" s="103"/>
      <c r="FG212" s="103"/>
      <c r="FH212" s="103"/>
      <c r="FI212" s="103"/>
      <c r="FJ212" s="103"/>
      <c r="FK212" s="103"/>
      <c r="FL212" s="103"/>
      <c r="FM212" s="103"/>
      <c r="FN212" s="103"/>
      <c r="FO212" s="103"/>
      <c r="FP212" s="103"/>
      <c r="FQ212" s="103"/>
      <c r="FR212" s="103"/>
      <c r="FS212" s="103"/>
      <c r="FT212" s="103"/>
      <c r="FU212" s="103"/>
      <c r="FV212" s="103"/>
      <c r="FW212" s="103"/>
      <c r="FX212" s="103"/>
      <c r="FY212" s="103"/>
      <c r="FZ212" s="103"/>
      <c r="GA212" s="103"/>
      <c r="GB212" s="103"/>
      <c r="GC212" s="103"/>
      <c r="GD212" s="103"/>
      <c r="GE212" s="103"/>
      <c r="GF212" s="103"/>
      <c r="GG212" s="103"/>
      <c r="GH212" s="103"/>
      <c r="GI212" s="103"/>
      <c r="GJ212" s="103"/>
      <c r="GK212" s="103"/>
      <c r="GL212" s="103"/>
      <c r="GM212" s="103"/>
      <c r="GN212" s="103"/>
      <c r="GO212" s="103"/>
      <c r="GP212" s="103"/>
      <c r="GQ212" s="103"/>
      <c r="GR212" s="103"/>
      <c r="GS212" s="103"/>
      <c r="GT212" s="103"/>
    </row>
    <row r="213" spans="1:202" ht="13.15" hidden="1" customHeight="1" x14ac:dyDescent="0.2">
      <c r="A213" s="3" t="s">
        <v>329</v>
      </c>
      <c r="B213" s="4" t="s">
        <v>338</v>
      </c>
      <c r="C213" s="28">
        <v>2005</v>
      </c>
      <c r="D213" s="16">
        <v>39</v>
      </c>
      <c r="E213" s="16">
        <v>1</v>
      </c>
      <c r="F213" s="29" t="s">
        <v>861</v>
      </c>
      <c r="G213" s="5" t="s">
        <v>16</v>
      </c>
      <c r="H213" s="5" t="s">
        <v>5</v>
      </c>
      <c r="I213" s="5" t="s">
        <v>6</v>
      </c>
      <c r="J213" s="5" t="s">
        <v>7</v>
      </c>
      <c r="K213" s="5" t="s">
        <v>1046</v>
      </c>
      <c r="L213" s="5" t="s">
        <v>1049</v>
      </c>
      <c r="M213" s="5" t="s">
        <v>9</v>
      </c>
      <c r="N213" s="7">
        <v>2</v>
      </c>
      <c r="O213" s="7">
        <v>2.0499999999999998</v>
      </c>
      <c r="P213" s="7" t="s">
        <v>340</v>
      </c>
      <c r="Q213" s="5" t="s">
        <v>309</v>
      </c>
      <c r="R213" s="5" t="s">
        <v>67</v>
      </c>
      <c r="S213" s="5" t="s">
        <v>341</v>
      </c>
      <c r="T213" s="5" t="s">
        <v>1335</v>
      </c>
      <c r="U213" s="9">
        <f>3.5+N213</f>
        <v>5.5</v>
      </c>
      <c r="V213" s="9">
        <f t="shared" si="13"/>
        <v>0.10536051565782635</v>
      </c>
      <c r="W213" s="9"/>
      <c r="X213" s="9"/>
      <c r="Y213" s="9">
        <f>2.9+O213</f>
        <v>4.9499999999999993</v>
      </c>
      <c r="Z213" s="9"/>
      <c r="AA213" s="5" t="s">
        <v>12</v>
      </c>
      <c r="AB213" s="62" t="s">
        <v>1043</v>
      </c>
      <c r="AC213" s="5" t="s">
        <v>13</v>
      </c>
      <c r="AD213" s="3">
        <v>9</v>
      </c>
      <c r="AE213" s="5" t="s">
        <v>8</v>
      </c>
      <c r="AF213" s="5" t="s">
        <v>1288</v>
      </c>
      <c r="AG213" s="5" t="s">
        <v>8</v>
      </c>
      <c r="AH213" s="5" t="s">
        <v>8</v>
      </c>
      <c r="AI213" s="5" t="s">
        <v>14</v>
      </c>
      <c r="AJ213" s="5" t="s">
        <v>8</v>
      </c>
      <c r="AK213" s="5" t="s">
        <v>342</v>
      </c>
      <c r="AL213" s="5" t="s">
        <v>8</v>
      </c>
      <c r="AM213" s="5" t="s">
        <v>343</v>
      </c>
      <c r="AN213" s="5" t="s">
        <v>18</v>
      </c>
      <c r="AO213" s="5" t="s">
        <v>18</v>
      </c>
      <c r="AP213" s="5" t="s">
        <v>339</v>
      </c>
      <c r="AQ213" s="5" t="s">
        <v>344</v>
      </c>
      <c r="BD213" s="58"/>
      <c r="BM213" s="58"/>
    </row>
    <row r="214" spans="1:202" ht="13.15" customHeight="1" x14ac:dyDescent="0.2">
      <c r="A214" s="103" t="s">
        <v>329</v>
      </c>
      <c r="B214" s="104" t="s">
        <v>240</v>
      </c>
      <c r="C214" s="105">
        <v>2020</v>
      </c>
      <c r="D214" s="106">
        <v>27</v>
      </c>
      <c r="E214" s="106">
        <v>5</v>
      </c>
      <c r="F214" s="103" t="s">
        <v>1081</v>
      </c>
      <c r="G214" s="5" t="s">
        <v>242</v>
      </c>
      <c r="H214" s="5" t="s">
        <v>5</v>
      </c>
      <c r="I214" s="5" t="s">
        <v>37</v>
      </c>
      <c r="J214" s="5" t="s">
        <v>25</v>
      </c>
      <c r="K214" s="5" t="s">
        <v>726</v>
      </c>
      <c r="L214" s="5" t="s">
        <v>8</v>
      </c>
      <c r="M214" s="5" t="s">
        <v>179</v>
      </c>
      <c r="N214" s="7">
        <v>0</v>
      </c>
      <c r="O214" s="7">
        <v>1</v>
      </c>
      <c r="P214" s="107" t="s">
        <v>246</v>
      </c>
      <c r="Q214" s="103" t="s">
        <v>39</v>
      </c>
      <c r="R214" s="103" t="s">
        <v>1028</v>
      </c>
      <c r="S214" s="103" t="s">
        <v>96</v>
      </c>
      <c r="T214" s="103" t="s">
        <v>1336</v>
      </c>
      <c r="U214" s="108">
        <f>(292.47/152)</f>
        <v>1.9241447368421054</v>
      </c>
      <c r="V214" s="108">
        <f t="shared" si="13"/>
        <v>-0.75716437585429142</v>
      </c>
      <c r="W214" s="108"/>
      <c r="X214" s="108"/>
      <c r="Y214" s="108">
        <f>(574/185)+O214</f>
        <v>4.1027027027027021</v>
      </c>
      <c r="Z214" s="108"/>
      <c r="AA214" s="103" t="s">
        <v>12</v>
      </c>
      <c r="AB214" s="109" t="s">
        <v>1043</v>
      </c>
      <c r="AC214" s="103" t="s">
        <v>64</v>
      </c>
      <c r="AD214" s="103">
        <v>9</v>
      </c>
      <c r="AE214" s="103" t="s">
        <v>8</v>
      </c>
      <c r="AF214" s="103" t="s">
        <v>1284</v>
      </c>
      <c r="AG214" s="103" t="s">
        <v>8</v>
      </c>
      <c r="AH214" s="103" t="s">
        <v>8</v>
      </c>
      <c r="AI214" s="103" t="s">
        <v>8</v>
      </c>
      <c r="AJ214" s="103" t="s">
        <v>14</v>
      </c>
      <c r="AK214" s="103" t="s">
        <v>84</v>
      </c>
      <c r="AL214" s="103" t="s">
        <v>8</v>
      </c>
      <c r="AM214" s="103" t="s">
        <v>247</v>
      </c>
      <c r="AN214" s="103" t="s">
        <v>1028</v>
      </c>
      <c r="AO214" s="103" t="s">
        <v>1028</v>
      </c>
      <c r="AP214" s="103" t="s">
        <v>241</v>
      </c>
      <c r="AQ214" s="103" t="s">
        <v>244</v>
      </c>
      <c r="AR214" s="103"/>
      <c r="AS214" s="103"/>
      <c r="AT214" s="103"/>
      <c r="AU214" s="103"/>
      <c r="AV214" s="103"/>
      <c r="AW214" s="103"/>
      <c r="AX214" s="103"/>
      <c r="AY214" s="103"/>
      <c r="AZ214" s="103"/>
      <c r="BA214" s="103"/>
      <c r="BB214" s="103"/>
      <c r="BC214" s="103"/>
      <c r="BD214" s="111"/>
      <c r="BE214" s="108">
        <f>(3.51/152)</f>
        <v>2.3092105263157893E-2</v>
      </c>
      <c r="BF214" s="103"/>
      <c r="BG214" s="103"/>
      <c r="BH214" s="103">
        <f>4.08/185</f>
        <v>2.2054054054054053E-2</v>
      </c>
      <c r="BI214" s="110">
        <f>0.106/152</f>
        <v>6.9736842105263153E-4</v>
      </c>
      <c r="BJ214" s="103"/>
      <c r="BK214" s="103"/>
      <c r="BL214" s="110">
        <f>0.144/185</f>
        <v>7.7837837837837836E-4</v>
      </c>
      <c r="BM214" s="111">
        <f>LN(BI214/BL214)</f>
        <v>-0.10989890123188513</v>
      </c>
      <c r="BN214" s="103"/>
      <c r="BO214" s="103"/>
      <c r="BP214" s="103"/>
      <c r="BQ214" s="103"/>
      <c r="BR214" s="129">
        <f>0.0000079/152</f>
        <v>5.1973684210526318E-8</v>
      </c>
      <c r="BS214" s="103"/>
      <c r="BT214" s="103"/>
      <c r="BU214" s="129">
        <f>(0.0000167)/185</f>
        <v>9.0270270270270267E-8</v>
      </c>
      <c r="BV214" s="103"/>
      <c r="BW214" s="103"/>
      <c r="BX214" s="103"/>
      <c r="BY214" s="103"/>
      <c r="BZ214" s="103"/>
      <c r="CA214" s="103"/>
      <c r="CB214" s="103"/>
      <c r="CC214" s="103"/>
      <c r="CD214" s="103"/>
      <c r="CE214" s="103"/>
      <c r="CF214" s="103"/>
      <c r="CG214" s="103"/>
      <c r="CH214" s="103"/>
      <c r="CI214" s="103"/>
      <c r="CJ214" s="103"/>
      <c r="CK214" s="103"/>
      <c r="CL214" s="103">
        <f>1630/152</f>
        <v>10.723684210526315</v>
      </c>
      <c r="CM214" s="103"/>
      <c r="CN214" s="103"/>
      <c r="CO214" s="103">
        <f>1760/185</f>
        <v>9.513513513513514</v>
      </c>
      <c r="CP214" s="103"/>
      <c r="CQ214" s="103"/>
      <c r="CR214" s="103"/>
      <c r="CS214" s="103"/>
      <c r="CT214" s="103"/>
      <c r="CU214" s="103"/>
      <c r="CV214" s="103"/>
      <c r="CW214" s="103"/>
      <c r="CX214" s="113"/>
      <c r="CY214" s="103"/>
      <c r="CZ214" s="103"/>
      <c r="DA214" s="103"/>
      <c r="DB214" s="103"/>
      <c r="DC214" s="103"/>
      <c r="DD214" s="103"/>
      <c r="DE214" s="103"/>
      <c r="DF214" s="103"/>
      <c r="DG214" s="103"/>
      <c r="DH214" s="103"/>
      <c r="DI214" s="103"/>
      <c r="DJ214" s="103"/>
      <c r="DK214" s="103"/>
      <c r="DL214" s="103"/>
      <c r="DM214" s="103"/>
      <c r="DN214" s="103"/>
      <c r="DO214" s="103"/>
      <c r="DP214" s="103"/>
      <c r="DQ214" s="103"/>
      <c r="DR214" s="103"/>
      <c r="DS214" s="103"/>
      <c r="DT214" s="103"/>
      <c r="DU214" s="103"/>
      <c r="DV214" s="103"/>
      <c r="DW214" s="103"/>
      <c r="DX214" s="103"/>
      <c r="DY214" s="103"/>
      <c r="DZ214" s="103"/>
      <c r="EA214" s="103">
        <f>3.51/152</f>
        <v>2.3092105263157893E-2</v>
      </c>
      <c r="EB214" s="128">
        <f>LN(EA214/ED214)</f>
        <v>-1.477501129339623</v>
      </c>
      <c r="EC214" s="103"/>
      <c r="ED214" s="103">
        <f>18.72/185</f>
        <v>0.10118918918918918</v>
      </c>
      <c r="EE214" s="103"/>
      <c r="EF214" s="103"/>
      <c r="EG214" s="103"/>
      <c r="EH214" s="103"/>
      <c r="EI214" s="103"/>
      <c r="EJ214" s="103"/>
      <c r="EK214" s="103"/>
      <c r="EL214" s="103"/>
      <c r="EM214" s="103"/>
      <c r="EN214" s="103"/>
      <c r="EO214" s="103"/>
      <c r="EP214" s="103"/>
      <c r="EQ214" s="103"/>
      <c r="ER214" s="103"/>
      <c r="ES214" s="103"/>
      <c r="ET214" s="103"/>
      <c r="EU214" s="103"/>
      <c r="EV214" s="103"/>
      <c r="EW214" s="103"/>
      <c r="EX214" s="103"/>
      <c r="EY214" s="103"/>
      <c r="EZ214" s="103"/>
      <c r="FA214" s="103"/>
      <c r="FB214" s="103"/>
      <c r="FC214" s="103"/>
      <c r="FD214" s="103"/>
      <c r="FE214" s="103"/>
      <c r="FF214" s="103"/>
      <c r="FG214" s="103"/>
      <c r="FH214" s="103"/>
      <c r="FI214" s="103"/>
      <c r="FJ214" s="103"/>
      <c r="FK214" s="103"/>
      <c r="FL214" s="103"/>
      <c r="FM214" s="103"/>
      <c r="FN214" s="103"/>
      <c r="FO214" s="103"/>
      <c r="FP214" s="103"/>
      <c r="FQ214" s="103"/>
      <c r="FR214" s="103"/>
      <c r="FS214" s="103"/>
      <c r="FT214" s="103"/>
      <c r="FU214" s="103"/>
      <c r="FV214" s="103"/>
      <c r="FW214" s="103"/>
      <c r="FX214" s="103"/>
      <c r="FY214" s="103"/>
      <c r="FZ214" s="103"/>
      <c r="GA214" s="103"/>
      <c r="GB214" s="103"/>
      <c r="GC214" s="103"/>
      <c r="GD214" s="103"/>
      <c r="GE214" s="103"/>
      <c r="GF214" s="103"/>
      <c r="GG214" s="103"/>
      <c r="GH214" s="103"/>
      <c r="GI214" s="103"/>
      <c r="GJ214" s="103"/>
      <c r="GK214" s="103"/>
      <c r="GL214" s="103"/>
      <c r="GM214" s="103"/>
      <c r="GN214" s="103"/>
      <c r="GO214" s="103"/>
      <c r="GP214" s="103"/>
      <c r="GQ214" s="103"/>
      <c r="GR214" s="103"/>
      <c r="GS214" s="103"/>
      <c r="GT214" s="103"/>
    </row>
    <row r="215" spans="1:202" ht="13.15" hidden="1" customHeight="1" x14ac:dyDescent="0.2">
      <c r="A215" s="3" t="s">
        <v>329</v>
      </c>
      <c r="B215" s="4" t="s">
        <v>338</v>
      </c>
      <c r="C215" s="28">
        <v>2008</v>
      </c>
      <c r="D215" s="16">
        <v>96</v>
      </c>
      <c r="E215" s="16">
        <v>1</v>
      </c>
      <c r="F215" s="5" t="s">
        <v>861</v>
      </c>
      <c r="G215" s="5" t="s">
        <v>16</v>
      </c>
      <c r="H215" s="5" t="s">
        <v>5</v>
      </c>
      <c r="I215" s="5" t="s">
        <v>6</v>
      </c>
      <c r="J215" s="5" t="s">
        <v>7</v>
      </c>
      <c r="K215" s="5" t="s">
        <v>1046</v>
      </c>
      <c r="L215" s="5" t="s">
        <v>1049</v>
      </c>
      <c r="M215" s="5" t="s">
        <v>9</v>
      </c>
      <c r="N215" s="85">
        <v>0</v>
      </c>
      <c r="O215" s="85">
        <v>2.29</v>
      </c>
      <c r="P215" s="7" t="s">
        <v>866</v>
      </c>
      <c r="Q215" s="5" t="s">
        <v>39</v>
      </c>
      <c r="R215" s="5" t="s">
        <v>67</v>
      </c>
      <c r="S215" s="5" t="s">
        <v>348</v>
      </c>
      <c r="T215" s="5" t="s">
        <v>1335</v>
      </c>
      <c r="U215" s="9">
        <f>0.97+0.06+0.25+0.33-0.45</f>
        <v>1.1600000000000001</v>
      </c>
      <c r="V215" s="9">
        <f t="shared" si="13"/>
        <v>-1.2842807288157727</v>
      </c>
      <c r="W215" s="9"/>
      <c r="X215" s="9"/>
      <c r="Y215" s="9">
        <f>O215+1.9</f>
        <v>4.1899999999999995</v>
      </c>
      <c r="Z215" s="9"/>
      <c r="AA215" s="5" t="s">
        <v>12</v>
      </c>
      <c r="AB215" s="7" t="s">
        <v>1044</v>
      </c>
      <c r="AC215" s="5" t="s">
        <v>74</v>
      </c>
      <c r="AD215" s="3">
        <v>9</v>
      </c>
      <c r="AE215" s="5" t="s">
        <v>14</v>
      </c>
      <c r="AF215" s="5" t="s">
        <v>1319</v>
      </c>
      <c r="AG215" s="5" t="s">
        <v>14</v>
      </c>
      <c r="AH215" s="5" t="s">
        <v>14</v>
      </c>
      <c r="AI215" s="5" t="s">
        <v>14</v>
      </c>
      <c r="AJ215" s="5" t="s">
        <v>14</v>
      </c>
      <c r="AK215" s="5" t="s">
        <v>1028</v>
      </c>
      <c r="AL215" s="5" t="s">
        <v>14</v>
      </c>
      <c r="AM215" s="5" t="s">
        <v>1028</v>
      </c>
      <c r="AN215" s="5" t="s">
        <v>18</v>
      </c>
      <c r="AO215" s="5" t="s">
        <v>18</v>
      </c>
      <c r="AP215" s="5" t="s">
        <v>750</v>
      </c>
      <c r="AQ215" s="5" t="s">
        <v>751</v>
      </c>
      <c r="BD215" s="58"/>
      <c r="BM215" s="58"/>
      <c r="CL215" s="5">
        <f>8.4+1+1.9+4.4</f>
        <v>15.700000000000001</v>
      </c>
      <c r="CO215" s="5">
        <v>69</v>
      </c>
    </row>
    <row r="216" spans="1:202" x14ac:dyDescent="0.2">
      <c r="A216" s="3" t="s">
        <v>329</v>
      </c>
      <c r="B216" s="4" t="s">
        <v>764</v>
      </c>
      <c r="C216" s="28">
        <v>2014</v>
      </c>
      <c r="D216" s="16">
        <v>100</v>
      </c>
      <c r="E216" s="16">
        <v>1</v>
      </c>
      <c r="F216" s="5" t="s">
        <v>866</v>
      </c>
      <c r="G216" s="5" t="s">
        <v>16</v>
      </c>
      <c r="H216" s="5" t="s">
        <v>5</v>
      </c>
      <c r="I216" s="5" t="s">
        <v>766</v>
      </c>
      <c r="J216" s="5" t="s">
        <v>25</v>
      </c>
      <c r="K216" s="5" t="s">
        <v>1046</v>
      </c>
      <c r="L216" s="5" t="s">
        <v>1049</v>
      </c>
      <c r="M216" s="5" t="s">
        <v>9</v>
      </c>
      <c r="N216" s="85">
        <v>0</v>
      </c>
      <c r="O216" s="85">
        <v>2.29</v>
      </c>
      <c r="P216" s="7" t="s">
        <v>866</v>
      </c>
      <c r="Q216" s="5" t="s">
        <v>39</v>
      </c>
      <c r="R216" s="5" t="s">
        <v>18</v>
      </c>
      <c r="S216" s="5" t="s">
        <v>767</v>
      </c>
      <c r="T216" s="5" t="s">
        <v>1335</v>
      </c>
      <c r="U216" s="9">
        <f>N216+7.1</f>
        <v>7.1</v>
      </c>
      <c r="V216" s="9">
        <f t="shared" si="13"/>
        <v>0.23911549688026185</v>
      </c>
      <c r="W216" s="9"/>
      <c r="X216" s="9"/>
      <c r="Y216" s="9">
        <f>O216+3.3</f>
        <v>5.59</v>
      </c>
      <c r="Z216" s="9"/>
      <c r="AA216" s="5" t="s">
        <v>12</v>
      </c>
      <c r="AB216" s="7" t="s">
        <v>1123</v>
      </c>
      <c r="AC216" s="5" t="s">
        <v>632</v>
      </c>
      <c r="AD216" s="3">
        <v>9</v>
      </c>
      <c r="AE216" s="5" t="s">
        <v>14</v>
      </c>
      <c r="AF216" s="5" t="s">
        <v>1322</v>
      </c>
      <c r="AG216" s="5" t="s">
        <v>8</v>
      </c>
      <c r="AH216" s="5" t="s">
        <v>8</v>
      </c>
      <c r="AI216" s="5" t="s">
        <v>8</v>
      </c>
      <c r="AJ216" s="5" t="s">
        <v>8</v>
      </c>
      <c r="AK216" s="5" t="s">
        <v>768</v>
      </c>
      <c r="AL216" s="5" t="s">
        <v>14</v>
      </c>
      <c r="AM216" s="5" t="s">
        <v>1028</v>
      </c>
      <c r="AN216" s="5" t="s">
        <v>18</v>
      </c>
      <c r="AO216" s="5" t="s">
        <v>18</v>
      </c>
      <c r="AP216" s="5" t="s">
        <v>765</v>
      </c>
      <c r="AQ216" s="5" t="s">
        <v>769</v>
      </c>
      <c r="AZ216" s="27">
        <v>0.127</v>
      </c>
      <c r="BC216" s="27">
        <v>4.1099999999999998E-2</v>
      </c>
      <c r="BD216" s="58">
        <f>LN(AZ216/BC216)</f>
        <v>1.1281789649564022</v>
      </c>
      <c r="BI216" s="27">
        <v>1.5499999999999999E-3</v>
      </c>
      <c r="BL216" s="27">
        <v>6.2500000000000001E-4</v>
      </c>
      <c r="BM216" s="58">
        <f>LN(BI216/BL216)</f>
        <v>0.90825856017689077</v>
      </c>
      <c r="CH216" s="27">
        <v>4.1099999999999998E-2</v>
      </c>
      <c r="CK216" s="5">
        <v>0.67500000000000004</v>
      </c>
      <c r="CT216" s="5">
        <f>81.9</f>
        <v>81.900000000000006</v>
      </c>
      <c r="CW216" s="5">
        <v>91</v>
      </c>
      <c r="CX216" s="59">
        <f>LN(CT216/CW216)</f>
        <v>-0.10536051565782628</v>
      </c>
    </row>
    <row r="217" spans="1:202" ht="13.15" hidden="1" customHeight="1" x14ac:dyDescent="0.2">
      <c r="A217" s="3" t="s">
        <v>329</v>
      </c>
      <c r="B217" s="4" t="s">
        <v>764</v>
      </c>
      <c r="C217" s="28">
        <v>2014</v>
      </c>
      <c r="D217" s="16">
        <v>100</v>
      </c>
      <c r="E217" s="16">
        <v>2</v>
      </c>
      <c r="F217" s="5" t="s">
        <v>866</v>
      </c>
      <c r="G217" s="5" t="s">
        <v>16</v>
      </c>
      <c r="H217" s="5" t="s">
        <v>5</v>
      </c>
      <c r="I217" s="5" t="s">
        <v>6</v>
      </c>
      <c r="J217" s="5" t="s">
        <v>7</v>
      </c>
      <c r="K217" s="5" t="s">
        <v>1046</v>
      </c>
      <c r="L217" s="5" t="s">
        <v>1049</v>
      </c>
      <c r="M217" s="5" t="s">
        <v>9</v>
      </c>
      <c r="N217" s="85">
        <v>0</v>
      </c>
      <c r="O217" s="85">
        <v>2.29</v>
      </c>
      <c r="P217" s="7" t="s">
        <v>866</v>
      </c>
      <c r="Q217" s="5" t="s">
        <v>39</v>
      </c>
      <c r="R217" s="5" t="s">
        <v>18</v>
      </c>
      <c r="S217" s="5" t="s">
        <v>767</v>
      </c>
      <c r="T217" s="5" t="s">
        <v>1335</v>
      </c>
      <c r="U217" s="9">
        <f>N217+6.81</f>
        <v>6.81</v>
      </c>
      <c r="V217" s="9">
        <f t="shared" si="13"/>
        <v>0.19741283299441312</v>
      </c>
      <c r="W217" s="9"/>
      <c r="X217" s="9"/>
      <c r="Y217" s="9">
        <f>O217+3.3</f>
        <v>5.59</v>
      </c>
      <c r="Z217" s="9"/>
      <c r="AA217" s="5" t="s">
        <v>12</v>
      </c>
      <c r="AB217" s="7" t="s">
        <v>1123</v>
      </c>
      <c r="AC217" s="5" t="s">
        <v>632</v>
      </c>
      <c r="AD217" s="3">
        <v>9</v>
      </c>
      <c r="AE217" s="5" t="s">
        <v>14</v>
      </c>
      <c r="AF217" s="5" t="s">
        <v>1322</v>
      </c>
      <c r="AG217" s="5" t="s">
        <v>8</v>
      </c>
      <c r="AH217" s="5" t="s">
        <v>8</v>
      </c>
      <c r="AI217" s="5" t="s">
        <v>8</v>
      </c>
      <c r="AJ217" s="5" t="s">
        <v>8</v>
      </c>
      <c r="AK217" s="5" t="s">
        <v>768</v>
      </c>
      <c r="AL217" s="5" t="s">
        <v>14</v>
      </c>
      <c r="AM217" s="5" t="s">
        <v>1028</v>
      </c>
      <c r="AN217" s="5" t="s">
        <v>18</v>
      </c>
      <c r="AO217" s="5" t="s">
        <v>18</v>
      </c>
      <c r="AP217" s="5" t="s">
        <v>765</v>
      </c>
      <c r="AQ217" s="5" t="s">
        <v>769</v>
      </c>
      <c r="AZ217" s="27">
        <v>0.13700000000000001</v>
      </c>
      <c r="BC217" s="27">
        <v>4.1099999999999998E-2</v>
      </c>
      <c r="BD217" s="58">
        <f>LN(AZ217/BC217)</f>
        <v>1.2039728043259361</v>
      </c>
      <c r="BI217" s="27">
        <v>3.29E-3</v>
      </c>
      <c r="BL217" s="27">
        <v>6.2500000000000001E-4</v>
      </c>
      <c r="BM217" s="58">
        <f>LN(BI217/BL217)</f>
        <v>1.6608911940230162</v>
      </c>
      <c r="CH217" s="27">
        <v>0.27</v>
      </c>
      <c r="CK217" s="5">
        <v>0.67500000000000004</v>
      </c>
      <c r="CT217" s="5">
        <v>67.2</v>
      </c>
      <c r="CW217" s="5">
        <v>91</v>
      </c>
      <c r="CX217" s="59">
        <f>LN(CT217/CW217)</f>
        <v>-0.30318625898774615</v>
      </c>
    </row>
    <row r="218" spans="1:202" ht="13.15" customHeight="1" x14ac:dyDescent="0.2">
      <c r="A218" s="3" t="s">
        <v>329</v>
      </c>
      <c r="B218" s="4" t="s">
        <v>764</v>
      </c>
      <c r="C218" s="28">
        <v>2014</v>
      </c>
      <c r="D218" s="16">
        <v>100</v>
      </c>
      <c r="E218" s="16">
        <v>3</v>
      </c>
      <c r="F218" s="5" t="s">
        <v>866</v>
      </c>
      <c r="G218" s="5" t="s">
        <v>770</v>
      </c>
      <c r="H218" s="5" t="s">
        <v>93</v>
      </c>
      <c r="I218" s="5" t="s">
        <v>771</v>
      </c>
      <c r="J218" s="5" t="s">
        <v>90</v>
      </c>
      <c r="K218" s="48" t="s">
        <v>1046</v>
      </c>
      <c r="L218" s="5" t="s">
        <v>1049</v>
      </c>
      <c r="M218" s="5" t="s">
        <v>9</v>
      </c>
      <c r="N218" s="85">
        <v>0</v>
      </c>
      <c r="O218" s="85">
        <v>2.29</v>
      </c>
      <c r="P218" s="7" t="s">
        <v>866</v>
      </c>
      <c r="Q218" s="5" t="s">
        <v>39</v>
      </c>
      <c r="R218" s="5" t="s">
        <v>18</v>
      </c>
      <c r="S218" s="5" t="s">
        <v>767</v>
      </c>
      <c r="T218" s="5" t="s">
        <v>1335</v>
      </c>
      <c r="U218" s="9">
        <f>N218+4.31</f>
        <v>4.3099999999999996</v>
      </c>
      <c r="V218" s="9">
        <f t="shared" si="13"/>
        <v>-0.26004138305135144</v>
      </c>
      <c r="W218" s="9"/>
      <c r="X218" s="9"/>
      <c r="Y218" s="9">
        <f>O218+3.3</f>
        <v>5.59</v>
      </c>
      <c r="Z218" s="9"/>
      <c r="AA218" s="5" t="s">
        <v>12</v>
      </c>
      <c r="AB218" s="7" t="s">
        <v>1123</v>
      </c>
      <c r="AC218" s="5" t="s">
        <v>632</v>
      </c>
      <c r="AD218" s="3">
        <v>9</v>
      </c>
      <c r="AE218" s="5" t="s">
        <v>14</v>
      </c>
      <c r="AF218" s="5" t="s">
        <v>1322</v>
      </c>
      <c r="AG218" s="5" t="s">
        <v>8</v>
      </c>
      <c r="AH218" s="5" t="s">
        <v>8</v>
      </c>
      <c r="AI218" s="5" t="s">
        <v>8</v>
      </c>
      <c r="AJ218" s="5" t="s">
        <v>8</v>
      </c>
      <c r="AK218" s="5" t="s">
        <v>768</v>
      </c>
      <c r="AL218" s="5" t="s">
        <v>14</v>
      </c>
      <c r="AM218" s="5" t="s">
        <v>1028</v>
      </c>
      <c r="AN218" s="5" t="s">
        <v>18</v>
      </c>
      <c r="AO218" s="5" t="s">
        <v>18</v>
      </c>
      <c r="AP218" s="5" t="s">
        <v>765</v>
      </c>
      <c r="AQ218" s="5" t="s">
        <v>769</v>
      </c>
      <c r="AZ218" s="27">
        <v>6.8400000000000002E-2</v>
      </c>
      <c r="BC218" s="27">
        <v>4.1099999999999998E-2</v>
      </c>
      <c r="BD218" s="58">
        <f>LN(AZ218/BC218)</f>
        <v>0.50936470312631599</v>
      </c>
      <c r="BI218" s="27">
        <v>9.4799999999999995E-4</v>
      </c>
      <c r="BL218" s="27">
        <v>6.2500000000000001E-4</v>
      </c>
      <c r="BM218" s="58">
        <f>LN(BI218/BL218)</f>
        <v>0.41660285251862028</v>
      </c>
      <c r="CH218" s="27">
        <v>1.2699999999999999E-2</v>
      </c>
      <c r="CK218" s="5">
        <v>0.67500000000000004</v>
      </c>
      <c r="CT218" s="5">
        <v>47.8</v>
      </c>
      <c r="CW218" s="5">
        <v>91</v>
      </c>
      <c r="CX218" s="59">
        <f>LN(CT218/CW218)</f>
        <v>-0.64383386701943968</v>
      </c>
    </row>
    <row r="219" spans="1:202" hidden="1" x14ac:dyDescent="0.2">
      <c r="A219" s="3" t="s">
        <v>329</v>
      </c>
      <c r="B219" s="4" t="s">
        <v>756</v>
      </c>
      <c r="C219" s="28">
        <v>2012</v>
      </c>
      <c r="D219" s="16">
        <v>98</v>
      </c>
      <c r="E219" s="16">
        <v>1</v>
      </c>
      <c r="F219" s="5" t="s">
        <v>861</v>
      </c>
      <c r="G219" s="5" t="s">
        <v>16</v>
      </c>
      <c r="H219" s="5" t="s">
        <v>5</v>
      </c>
      <c r="I219" s="5" t="s">
        <v>6</v>
      </c>
      <c r="J219" s="5" t="s">
        <v>7</v>
      </c>
      <c r="K219" s="5" t="s">
        <v>1046</v>
      </c>
      <c r="L219" s="5" t="s">
        <v>1049</v>
      </c>
      <c r="M219" s="5" t="s">
        <v>61</v>
      </c>
      <c r="N219" s="7">
        <v>0</v>
      </c>
      <c r="O219" s="7">
        <v>0</v>
      </c>
      <c r="P219" s="7" t="s">
        <v>866</v>
      </c>
      <c r="Q219" s="5" t="s">
        <v>39</v>
      </c>
      <c r="R219" s="5" t="s">
        <v>1028</v>
      </c>
      <c r="S219" s="5" t="s">
        <v>126</v>
      </c>
      <c r="T219" s="5" t="s">
        <v>1335</v>
      </c>
      <c r="U219" s="9">
        <f>N219+2.3</f>
        <v>2.2999999999999998</v>
      </c>
      <c r="V219" s="9">
        <f t="shared" si="13"/>
        <v>-0.65774525350902957</v>
      </c>
      <c r="W219" s="9">
        <f>N219+2.05</f>
        <v>2.0499999999999998</v>
      </c>
      <c r="X219" s="9">
        <f>N219+2.38</f>
        <v>2.38</v>
      </c>
      <c r="Y219" s="9">
        <f>O219+4.44</f>
        <v>4.4400000000000004</v>
      </c>
      <c r="Z219" s="9"/>
      <c r="AA219" s="5" t="s">
        <v>12</v>
      </c>
      <c r="AB219" s="7" t="s">
        <v>1123</v>
      </c>
      <c r="AC219" s="5" t="s">
        <v>13</v>
      </c>
      <c r="AD219" s="3">
        <v>9</v>
      </c>
      <c r="AE219" s="5" t="s">
        <v>14</v>
      </c>
      <c r="AF219" s="5" t="s">
        <v>97</v>
      </c>
      <c r="AG219" s="5" t="s">
        <v>8</v>
      </c>
      <c r="AH219" s="5" t="s">
        <v>8</v>
      </c>
      <c r="AI219" s="5" t="s">
        <v>8</v>
      </c>
      <c r="AJ219" s="5" t="s">
        <v>8</v>
      </c>
      <c r="AK219" s="5" t="s">
        <v>84</v>
      </c>
      <c r="AL219" s="5" t="s">
        <v>14</v>
      </c>
      <c r="AM219" s="5" t="s">
        <v>1028</v>
      </c>
      <c r="AN219" s="5" t="s">
        <v>1028</v>
      </c>
      <c r="AO219" s="5" t="s">
        <v>1028</v>
      </c>
      <c r="AP219" s="5" t="s">
        <v>757</v>
      </c>
      <c r="AQ219" s="5" t="s">
        <v>758</v>
      </c>
      <c r="BD219" s="58"/>
      <c r="BM219" s="58"/>
    </row>
    <row r="220" spans="1:202" ht="13.15" hidden="1" customHeight="1" x14ac:dyDescent="0.2">
      <c r="A220" s="3" t="s">
        <v>329</v>
      </c>
      <c r="B220" s="4" t="s">
        <v>780</v>
      </c>
      <c r="C220" s="28">
        <v>2014</v>
      </c>
      <c r="D220" s="16">
        <v>103</v>
      </c>
      <c r="E220" s="16">
        <v>2</v>
      </c>
      <c r="F220" s="5" t="s">
        <v>861</v>
      </c>
      <c r="G220" s="5" t="s">
        <v>16</v>
      </c>
      <c r="H220" s="5" t="s">
        <v>5</v>
      </c>
      <c r="I220" s="5" t="s">
        <v>223</v>
      </c>
      <c r="J220" s="5" t="s">
        <v>7</v>
      </c>
      <c r="K220" s="5" t="s">
        <v>1046</v>
      </c>
      <c r="L220" s="5" t="s">
        <v>1049</v>
      </c>
      <c r="M220" s="5" t="s">
        <v>9</v>
      </c>
      <c r="N220" s="85">
        <v>2</v>
      </c>
      <c r="O220" s="85">
        <v>2.29</v>
      </c>
      <c r="P220" s="7" t="s">
        <v>866</v>
      </c>
      <c r="Q220" s="5" t="s">
        <v>39</v>
      </c>
      <c r="R220" s="5" t="s">
        <v>18</v>
      </c>
      <c r="S220" s="5" t="s">
        <v>767</v>
      </c>
      <c r="T220" s="5" t="s">
        <v>1335</v>
      </c>
      <c r="U220" s="9">
        <f>N219+3.35</f>
        <v>3.35</v>
      </c>
      <c r="V220" s="9">
        <f t="shared" si="13"/>
        <v>-0.51201894133003267</v>
      </c>
      <c r="W220" s="9"/>
      <c r="X220" s="9"/>
      <c r="Y220" s="9">
        <f>O220+3.3</f>
        <v>5.59</v>
      </c>
      <c r="Z220" s="9"/>
      <c r="AA220" s="5" t="s">
        <v>12</v>
      </c>
      <c r="AB220" s="7" t="s">
        <v>1123</v>
      </c>
      <c r="AC220" s="5" t="s">
        <v>13</v>
      </c>
      <c r="AD220" s="3">
        <v>9</v>
      </c>
      <c r="AE220" s="5" t="s">
        <v>8</v>
      </c>
      <c r="AF220" s="5" t="s">
        <v>1324</v>
      </c>
      <c r="AG220" s="5" t="s">
        <v>8</v>
      </c>
      <c r="AH220" s="5" t="s">
        <v>8</v>
      </c>
      <c r="AI220" s="5" t="s">
        <v>8</v>
      </c>
      <c r="AJ220" s="5" t="s">
        <v>8</v>
      </c>
      <c r="AK220" s="5" t="s">
        <v>783</v>
      </c>
      <c r="AL220" s="5" t="s">
        <v>8</v>
      </c>
      <c r="AM220" s="5" t="s">
        <v>1028</v>
      </c>
      <c r="AN220" s="5" t="s">
        <v>67</v>
      </c>
      <c r="AO220" s="5" t="s">
        <v>67</v>
      </c>
      <c r="AP220" s="5" t="s">
        <v>781</v>
      </c>
      <c r="AQ220" s="5" t="s">
        <v>784</v>
      </c>
      <c r="BD220" s="58"/>
      <c r="BM220" s="58"/>
    </row>
    <row r="221" spans="1:202" ht="13.15" customHeight="1" x14ac:dyDescent="0.2">
      <c r="A221" s="103" t="s">
        <v>329</v>
      </c>
      <c r="B221" s="104" t="s">
        <v>240</v>
      </c>
      <c r="C221" s="105">
        <v>2020</v>
      </c>
      <c r="D221" s="106">
        <v>27</v>
      </c>
      <c r="E221" s="106">
        <v>6</v>
      </c>
      <c r="F221" s="103" t="s">
        <v>1081</v>
      </c>
      <c r="G221" s="5" t="s">
        <v>242</v>
      </c>
      <c r="H221" s="5" t="s">
        <v>5</v>
      </c>
      <c r="I221" s="5" t="s">
        <v>245</v>
      </c>
      <c r="J221" s="5" t="s">
        <v>1260</v>
      </c>
      <c r="K221" s="5" t="s">
        <v>726</v>
      </c>
      <c r="L221" s="5" t="s">
        <v>8</v>
      </c>
      <c r="M221" s="5" t="s">
        <v>179</v>
      </c>
      <c r="N221" s="7">
        <v>0</v>
      </c>
      <c r="O221" s="7">
        <v>1</v>
      </c>
      <c r="P221" s="107" t="s">
        <v>246</v>
      </c>
      <c r="Q221" s="103" t="s">
        <v>39</v>
      </c>
      <c r="R221" s="103" t="s">
        <v>1028</v>
      </c>
      <c r="S221" s="103" t="s">
        <v>96</v>
      </c>
      <c r="T221" s="103" t="s">
        <v>1336</v>
      </c>
      <c r="U221" s="108">
        <f>(304/152)</f>
        <v>2</v>
      </c>
      <c r="V221" s="108">
        <f t="shared" si="13"/>
        <v>-0.71849877175735966</v>
      </c>
      <c r="W221" s="108"/>
      <c r="X221" s="108"/>
      <c r="Y221" s="108">
        <f>(574/185)+O221</f>
        <v>4.1027027027027021</v>
      </c>
      <c r="Z221" s="108"/>
      <c r="AA221" s="103" t="s">
        <v>12</v>
      </c>
      <c r="AB221" s="109" t="s">
        <v>1043</v>
      </c>
      <c r="AC221" s="103" t="s">
        <v>64</v>
      </c>
      <c r="AD221" s="103">
        <v>9</v>
      </c>
      <c r="AE221" s="103" t="s">
        <v>8</v>
      </c>
      <c r="AF221" s="103" t="s">
        <v>1284</v>
      </c>
      <c r="AG221" s="103" t="s">
        <v>8</v>
      </c>
      <c r="AH221" s="103" t="s">
        <v>8</v>
      </c>
      <c r="AI221" s="103" t="s">
        <v>8</v>
      </c>
      <c r="AJ221" s="103" t="s">
        <v>14</v>
      </c>
      <c r="AK221" s="103" t="s">
        <v>84</v>
      </c>
      <c r="AL221" s="103" t="s">
        <v>8</v>
      </c>
      <c r="AM221" s="103" t="s">
        <v>247</v>
      </c>
      <c r="AN221" s="103" t="s">
        <v>1028</v>
      </c>
      <c r="AO221" s="103" t="s">
        <v>1028</v>
      </c>
      <c r="AP221" s="103" t="s">
        <v>241</v>
      </c>
      <c r="AQ221" s="103" t="s">
        <v>244</v>
      </c>
      <c r="AR221" s="103"/>
      <c r="AS221" s="103"/>
      <c r="AT221" s="103"/>
      <c r="AU221" s="103"/>
      <c r="AV221" s="103"/>
      <c r="AW221" s="103"/>
      <c r="AX221" s="103"/>
      <c r="AY221" s="103"/>
      <c r="AZ221" s="103"/>
      <c r="BA221" s="103"/>
      <c r="BB221" s="103"/>
      <c r="BC221" s="103"/>
      <c r="BD221" s="111"/>
      <c r="BE221" s="108">
        <f>(3.84/152)</f>
        <v>2.5263157894736842E-2</v>
      </c>
      <c r="BF221" s="103"/>
      <c r="BG221" s="103"/>
      <c r="BH221" s="103">
        <f>4.08/185</f>
        <v>2.2054054054054053E-2</v>
      </c>
      <c r="BI221" s="110">
        <f>0.102/152</f>
        <v>6.7105263157894734E-4</v>
      </c>
      <c r="BJ221" s="103"/>
      <c r="BK221" s="103"/>
      <c r="BL221" s="110">
        <f>0.144/185</f>
        <v>7.7837837837837836E-4</v>
      </c>
      <c r="BM221" s="111">
        <f>LN(BI221/BL221)</f>
        <v>-0.14836518205968113</v>
      </c>
      <c r="BN221" s="103"/>
      <c r="BO221" s="103"/>
      <c r="BP221" s="103"/>
      <c r="BQ221" s="103"/>
      <c r="BR221" s="129">
        <f>0.00000801/152</f>
        <v>5.269736842105263E-8</v>
      </c>
      <c r="BS221" s="103"/>
      <c r="BT221" s="103"/>
      <c r="BU221" s="129">
        <f>(0.0000167)/185</f>
        <v>9.0270270270270267E-8</v>
      </c>
      <c r="BV221" s="103"/>
      <c r="BW221" s="103"/>
      <c r="BX221" s="103"/>
      <c r="BY221" s="103"/>
      <c r="BZ221" s="103"/>
      <c r="CA221" s="103"/>
      <c r="CB221" s="103"/>
      <c r="CC221" s="103"/>
      <c r="CD221" s="103"/>
      <c r="CE221" s="103"/>
      <c r="CF221" s="103"/>
      <c r="CG221" s="103"/>
      <c r="CH221" s="103"/>
      <c r="CI221" s="103"/>
      <c r="CJ221" s="103"/>
      <c r="CK221" s="103"/>
      <c r="CL221" s="103">
        <f>1500/152</f>
        <v>9.8684210526315788</v>
      </c>
      <c r="CM221" s="103"/>
      <c r="CN221" s="103"/>
      <c r="CO221" s="103">
        <f>1760/185</f>
        <v>9.513513513513514</v>
      </c>
      <c r="CP221" s="103"/>
      <c r="CQ221" s="103"/>
      <c r="CR221" s="103"/>
      <c r="CS221" s="103"/>
      <c r="CT221" s="103"/>
      <c r="CU221" s="103"/>
      <c r="CV221" s="103"/>
      <c r="CW221" s="103"/>
      <c r="CX221" s="113"/>
      <c r="CY221" s="103"/>
      <c r="CZ221" s="103"/>
      <c r="DA221" s="103"/>
      <c r="DB221" s="103"/>
      <c r="DC221" s="103"/>
      <c r="DD221" s="103"/>
      <c r="DE221" s="103"/>
      <c r="DF221" s="103"/>
      <c r="DG221" s="103"/>
      <c r="DH221" s="103"/>
      <c r="DI221" s="103"/>
      <c r="DJ221" s="103"/>
      <c r="DK221" s="103"/>
      <c r="DL221" s="103"/>
      <c r="DM221" s="103"/>
      <c r="DN221" s="103"/>
      <c r="DO221" s="103"/>
      <c r="DP221" s="103"/>
      <c r="DQ221" s="103"/>
      <c r="DR221" s="103"/>
      <c r="DS221" s="103"/>
      <c r="DT221" s="103"/>
      <c r="DU221" s="103"/>
      <c r="DV221" s="103"/>
      <c r="DW221" s="103"/>
      <c r="DX221" s="103"/>
      <c r="DY221" s="103"/>
      <c r="DZ221" s="103"/>
      <c r="EA221" s="103">
        <f>3.84/152</f>
        <v>2.5263157894736842E-2</v>
      </c>
      <c r="EB221" s="128">
        <f>LN(EA221/ED221)</f>
        <v>-1.3876448002177619</v>
      </c>
      <c r="EC221" s="103"/>
      <c r="ED221" s="103">
        <f>18.72/185</f>
        <v>0.10118918918918918</v>
      </c>
      <c r="EE221" s="103"/>
      <c r="EF221" s="103"/>
      <c r="EG221" s="103"/>
      <c r="EH221" s="103"/>
      <c r="EI221" s="103"/>
      <c r="EJ221" s="103"/>
      <c r="EK221" s="103"/>
      <c r="EL221" s="103"/>
      <c r="EM221" s="103"/>
      <c r="EN221" s="103"/>
      <c r="EO221" s="103"/>
      <c r="EP221" s="103"/>
      <c r="EQ221" s="103"/>
      <c r="ER221" s="103"/>
      <c r="ES221" s="103"/>
      <c r="ET221" s="103"/>
      <c r="EU221" s="103"/>
      <c r="EV221" s="103"/>
      <c r="EW221" s="103"/>
      <c r="EX221" s="103"/>
      <c r="EY221" s="103"/>
      <c r="EZ221" s="103"/>
      <c r="FA221" s="103"/>
      <c r="FB221" s="103"/>
      <c r="FC221" s="103"/>
      <c r="FD221" s="103"/>
      <c r="FE221" s="103"/>
      <c r="FF221" s="103"/>
      <c r="FG221" s="103"/>
      <c r="FH221" s="103"/>
      <c r="FI221" s="103"/>
      <c r="FJ221" s="103"/>
      <c r="FK221" s="103"/>
      <c r="FL221" s="103"/>
      <c r="FM221" s="103"/>
      <c r="FN221" s="103"/>
      <c r="FO221" s="103"/>
      <c r="FP221" s="103"/>
      <c r="FQ221" s="103"/>
      <c r="FR221" s="103"/>
      <c r="FS221" s="103"/>
      <c r="FT221" s="103"/>
      <c r="FU221" s="103"/>
      <c r="FV221" s="103"/>
      <c r="FW221" s="103"/>
      <c r="FX221" s="103"/>
      <c r="FY221" s="103"/>
      <c r="FZ221" s="103"/>
      <c r="GA221" s="103"/>
      <c r="GB221" s="103"/>
      <c r="GC221" s="103"/>
      <c r="GD221" s="103"/>
      <c r="GE221" s="103"/>
      <c r="GF221" s="103"/>
      <c r="GG221" s="103"/>
      <c r="GH221" s="103"/>
      <c r="GI221" s="103"/>
      <c r="GJ221" s="103"/>
      <c r="GK221" s="103"/>
      <c r="GL221" s="103"/>
      <c r="GM221" s="103"/>
      <c r="GN221" s="103"/>
      <c r="GO221" s="103"/>
      <c r="GP221" s="103"/>
      <c r="GQ221" s="103"/>
      <c r="GR221" s="103"/>
      <c r="GS221" s="103"/>
      <c r="GT221" s="103"/>
    </row>
    <row r="222" spans="1:202" ht="13.15" hidden="1" customHeight="1" x14ac:dyDescent="0.2">
      <c r="A222" s="3" t="s">
        <v>329</v>
      </c>
      <c r="B222" s="4" t="s">
        <v>338</v>
      </c>
      <c r="C222" s="79">
        <v>2004</v>
      </c>
      <c r="D222" s="16">
        <v>111</v>
      </c>
      <c r="E222" s="16">
        <v>1</v>
      </c>
      <c r="F222" s="5" t="s">
        <v>861</v>
      </c>
      <c r="G222" s="5" t="s">
        <v>16</v>
      </c>
      <c r="H222" s="5" t="s">
        <v>5</v>
      </c>
      <c r="I222" s="29" t="s">
        <v>6</v>
      </c>
      <c r="J222" s="5" t="s">
        <v>7</v>
      </c>
      <c r="K222" s="48" t="s">
        <v>1046</v>
      </c>
      <c r="L222" s="5" t="s">
        <v>1049</v>
      </c>
      <c r="M222" s="5" t="s">
        <v>9</v>
      </c>
      <c r="N222" s="85">
        <v>0</v>
      </c>
      <c r="O222" s="85">
        <v>3.13</v>
      </c>
      <c r="P222" s="50" t="s">
        <v>869</v>
      </c>
      <c r="Q222" s="48" t="s">
        <v>309</v>
      </c>
      <c r="R222" s="48" t="s">
        <v>67</v>
      </c>
      <c r="S222" s="48" t="s">
        <v>348</v>
      </c>
      <c r="T222" s="5" t="s">
        <v>1335</v>
      </c>
      <c r="U222" s="9">
        <f>N222+3.68</f>
        <v>3.68</v>
      </c>
      <c r="V222" s="9">
        <f t="shared" si="13"/>
        <v>-0.31250723193080809</v>
      </c>
      <c r="W222" s="9"/>
      <c r="X222" s="9"/>
      <c r="Y222" s="9">
        <f>1.9+O222</f>
        <v>5.0299999999999994</v>
      </c>
      <c r="Z222" s="9">
        <v>1.9</v>
      </c>
      <c r="AA222" s="29" t="s">
        <v>12</v>
      </c>
      <c r="AB222" s="7" t="s">
        <v>1123</v>
      </c>
      <c r="AC222" s="29" t="s">
        <v>1194</v>
      </c>
      <c r="AD222" s="3">
        <v>9</v>
      </c>
      <c r="AE222" s="29" t="s">
        <v>8</v>
      </c>
      <c r="AF222" s="5" t="s">
        <v>1331</v>
      </c>
      <c r="AG222" s="5" t="s">
        <v>8</v>
      </c>
      <c r="AH222" s="5" t="s">
        <v>8</v>
      </c>
      <c r="AI222" s="5" t="s">
        <v>8</v>
      </c>
      <c r="AJ222" s="5" t="s">
        <v>8</v>
      </c>
      <c r="AK222" s="5" t="s">
        <v>548</v>
      </c>
      <c r="AL222" s="5" t="s">
        <v>14</v>
      </c>
      <c r="AM222" s="5" t="s">
        <v>1028</v>
      </c>
      <c r="AN222" s="29" t="s">
        <v>18</v>
      </c>
      <c r="AO222" s="5" t="s">
        <v>18</v>
      </c>
      <c r="AP222" s="5" t="s">
        <v>824</v>
      </c>
      <c r="AQ222" s="29"/>
      <c r="BM222" s="59"/>
    </row>
    <row r="223" spans="1:202" ht="13.15" hidden="1" customHeight="1" x14ac:dyDescent="0.2">
      <c r="A223" s="3" t="s">
        <v>329</v>
      </c>
      <c r="B223" s="4" t="s">
        <v>465</v>
      </c>
      <c r="C223" s="28">
        <v>2019</v>
      </c>
      <c r="D223" s="16">
        <v>57</v>
      </c>
      <c r="E223" s="16">
        <v>1</v>
      </c>
      <c r="F223" s="5" t="s">
        <v>1092</v>
      </c>
      <c r="G223" s="19" t="s">
        <v>468</v>
      </c>
      <c r="H223" s="5" t="s">
        <v>93</v>
      </c>
      <c r="I223" s="5" t="s">
        <v>469</v>
      </c>
      <c r="J223" s="5" t="s">
        <v>1260</v>
      </c>
      <c r="K223" s="48" t="s">
        <v>1045</v>
      </c>
      <c r="L223" s="5" t="s">
        <v>8</v>
      </c>
      <c r="M223" s="5" t="s">
        <v>38</v>
      </c>
      <c r="N223" s="7">
        <v>0</v>
      </c>
      <c r="O223" s="7">
        <v>0</v>
      </c>
      <c r="P223" s="7" t="s">
        <v>467</v>
      </c>
      <c r="Q223" s="5" t="s">
        <v>309</v>
      </c>
      <c r="R223" s="5" t="s">
        <v>67</v>
      </c>
      <c r="S223" s="5" t="s">
        <v>470</v>
      </c>
      <c r="T223" s="5" t="s">
        <v>1335</v>
      </c>
      <c r="U223" s="9">
        <f>((W223+X223)/2)*1.2</f>
        <v>4.0095000000000001</v>
      </c>
      <c r="V223" s="9">
        <f t="shared" si="13"/>
        <v>-0.36874989554056259</v>
      </c>
      <c r="W223" s="9">
        <f>(2.31*0.99)</f>
        <v>2.2869000000000002</v>
      </c>
      <c r="X223" s="9">
        <f>(4.44*0.99)</f>
        <v>4.3956</v>
      </c>
      <c r="Y223" s="9">
        <f>((4.88*0.99)*1.2)+O223</f>
        <v>5.7974399999999999</v>
      </c>
      <c r="Z223" s="9"/>
      <c r="AA223" s="5" t="s">
        <v>12</v>
      </c>
      <c r="AB223" s="62" t="s">
        <v>1043</v>
      </c>
      <c r="AC223" s="5" t="s">
        <v>13</v>
      </c>
      <c r="AD223" s="3">
        <v>9</v>
      </c>
      <c r="AE223" s="5" t="s">
        <v>8</v>
      </c>
      <c r="AF223" s="5" t="s">
        <v>1297</v>
      </c>
      <c r="AG223" s="5" t="s">
        <v>8</v>
      </c>
      <c r="AH223" s="5" t="s">
        <v>8</v>
      </c>
      <c r="AI223" s="5" t="s">
        <v>8</v>
      </c>
      <c r="AJ223" s="5" t="s">
        <v>8</v>
      </c>
      <c r="AK223" s="5" t="s">
        <v>84</v>
      </c>
      <c r="AL223" s="5" t="s">
        <v>14</v>
      </c>
      <c r="AM223" s="5">
        <v>2019</v>
      </c>
      <c r="AN223" s="5" t="s">
        <v>67</v>
      </c>
      <c r="AO223" s="5" t="s">
        <v>18</v>
      </c>
      <c r="AP223" s="5" t="s">
        <v>466</v>
      </c>
      <c r="AQ223" s="5" t="s">
        <v>471</v>
      </c>
      <c r="AR223" s="18">
        <f>(0.0000000715*0.94)</f>
        <v>6.7209999999999991E-8</v>
      </c>
      <c r="AS223" s="18"/>
      <c r="AT223" s="18"/>
      <c r="AU223" s="18">
        <f>0.0000000646*0.89</f>
        <v>5.7493999999999999E-8</v>
      </c>
      <c r="BD223" s="58"/>
      <c r="BE223" s="17">
        <f>0.0176*0.99</f>
        <v>1.7424000000000002E-2</v>
      </c>
      <c r="BF223" s="17"/>
      <c r="BG223" s="17"/>
      <c r="BH223" s="17">
        <f>0.0242*0.99</f>
        <v>2.3958E-2</v>
      </c>
      <c r="BI223" s="17">
        <f>0.000344*0.99</f>
        <v>3.4056000000000001E-4</v>
      </c>
      <c r="BJ223" s="17"/>
      <c r="BK223" s="17"/>
      <c r="BL223" s="17">
        <f>0.000606*0.99</f>
        <v>5.9993999999999998E-4</v>
      </c>
      <c r="BM223" s="58">
        <f>LN(BI223/BL223)</f>
        <v>-0.56623832869591617</v>
      </c>
      <c r="BN223" s="17"/>
      <c r="BO223" s="17"/>
      <c r="BP223" s="17"/>
      <c r="BQ223" s="17"/>
      <c r="EI223" s="5">
        <f>0.00000545*0.99</f>
        <v>5.3955000000000003E-6</v>
      </c>
      <c r="EL223" s="5">
        <f>0.00000616*0.98</f>
        <v>6.0368000000000004E-6</v>
      </c>
      <c r="EU223" s="9">
        <f>1.454*0.99</f>
        <v>1.43946</v>
      </c>
      <c r="EV223" s="9"/>
      <c r="EW223" s="9"/>
      <c r="EX223" s="9">
        <f>2.276*0.99</f>
        <v>2.2532399999999999</v>
      </c>
      <c r="EY223" s="12">
        <f>0.0118*0.99</f>
        <v>1.1682E-2</v>
      </c>
      <c r="EZ223" s="12"/>
      <c r="FA223" s="12"/>
      <c r="FB223" s="12">
        <f>0.0171*0.99</f>
        <v>1.6929E-2</v>
      </c>
    </row>
    <row r="224" spans="1:202" ht="13.15" customHeight="1" x14ac:dyDescent="0.2">
      <c r="A224" s="114" t="s">
        <v>329</v>
      </c>
      <c r="B224" s="115" t="s">
        <v>1183</v>
      </c>
      <c r="C224" s="116">
        <v>2023</v>
      </c>
      <c r="D224" s="117">
        <v>119</v>
      </c>
      <c r="E224" s="117">
        <v>1</v>
      </c>
      <c r="F224" s="114" t="s">
        <v>1191</v>
      </c>
      <c r="G224" s="5" t="s">
        <v>1193</v>
      </c>
      <c r="H224" s="5" t="s">
        <v>539</v>
      </c>
      <c r="I224" s="5" t="s">
        <v>1192</v>
      </c>
      <c r="J224" s="5" t="s">
        <v>1260</v>
      </c>
      <c r="K224" s="5" t="s">
        <v>1045</v>
      </c>
      <c r="L224" s="5" t="s">
        <v>14</v>
      </c>
      <c r="M224" s="5" t="s">
        <v>9</v>
      </c>
      <c r="N224" s="7">
        <v>0</v>
      </c>
      <c r="O224" s="7">
        <v>0</v>
      </c>
      <c r="P224" s="118" t="s">
        <v>869</v>
      </c>
      <c r="Q224" s="114" t="s">
        <v>309</v>
      </c>
      <c r="R224" s="114" t="s">
        <v>27</v>
      </c>
      <c r="S224" s="114" t="s">
        <v>1196</v>
      </c>
      <c r="T224" s="114" t="s">
        <v>1335</v>
      </c>
      <c r="U224" s="119">
        <v>3.7</v>
      </c>
      <c r="V224" s="119">
        <f t="shared" si="13"/>
        <v>0.24362208265775051</v>
      </c>
      <c r="W224" s="119"/>
      <c r="X224" s="119"/>
      <c r="Y224" s="119">
        <v>2.9</v>
      </c>
      <c r="Z224" s="119"/>
      <c r="AA224" s="114" t="s">
        <v>12</v>
      </c>
      <c r="AB224" s="118" t="s">
        <v>1123</v>
      </c>
      <c r="AC224" s="114" t="s">
        <v>1194</v>
      </c>
      <c r="AD224" s="114">
        <v>9</v>
      </c>
      <c r="AE224" s="114" t="s">
        <v>14</v>
      </c>
      <c r="AF224" s="114" t="s">
        <v>0</v>
      </c>
      <c r="AG224" s="114" t="s">
        <v>8</v>
      </c>
      <c r="AH224" s="114" t="s">
        <v>8</v>
      </c>
      <c r="AI224" s="114" t="s">
        <v>8</v>
      </c>
      <c r="AJ224" s="114" t="s">
        <v>8</v>
      </c>
      <c r="AK224" s="114" t="s">
        <v>196</v>
      </c>
      <c r="AL224" s="114" t="s">
        <v>8</v>
      </c>
      <c r="AM224" s="114" t="s">
        <v>1195</v>
      </c>
      <c r="AN224" s="114" t="s">
        <v>44</v>
      </c>
      <c r="AO224" s="114" t="s">
        <v>44</v>
      </c>
      <c r="AP224" s="114" t="s">
        <v>1184</v>
      </c>
      <c r="AQ224" s="114" t="s">
        <v>1197</v>
      </c>
      <c r="AR224" s="114"/>
      <c r="AS224" s="114"/>
      <c r="AT224" s="114"/>
      <c r="AU224" s="114"/>
      <c r="AV224" s="114"/>
      <c r="AW224" s="114"/>
      <c r="AX224" s="114"/>
      <c r="AY224" s="114"/>
      <c r="AZ224" s="140">
        <v>1.4500000000000001E-2</v>
      </c>
      <c r="BA224" s="114"/>
      <c r="BB224" s="114"/>
      <c r="BC224" s="140">
        <v>8.5000000000000006E-3</v>
      </c>
      <c r="BD224" s="125">
        <f>LN(AZ224/BC224)</f>
        <v>0.53408248593025787</v>
      </c>
      <c r="BE224" s="114"/>
      <c r="BF224" s="114"/>
      <c r="BG224" s="114"/>
      <c r="BH224" s="114"/>
      <c r="BI224" s="140">
        <v>7.9000000000000001E-4</v>
      </c>
      <c r="BJ224" s="114"/>
      <c r="BK224" s="114"/>
      <c r="BL224" s="140">
        <v>6.7500000000000004E-4</v>
      </c>
      <c r="BM224" s="125">
        <f>LN(BI224/BL224)</f>
        <v>0.15732025458853727</v>
      </c>
      <c r="BN224" s="114"/>
      <c r="BO224" s="114"/>
      <c r="BP224" s="114"/>
      <c r="BQ224" s="114"/>
      <c r="BR224" s="114"/>
      <c r="BS224" s="114"/>
      <c r="BT224" s="114"/>
      <c r="BU224" s="114"/>
      <c r="BV224" s="114"/>
      <c r="BW224" s="114"/>
      <c r="BX224" s="114"/>
      <c r="BY224" s="114"/>
      <c r="BZ224" s="114"/>
      <c r="CA224" s="114"/>
      <c r="CB224" s="114"/>
      <c r="CC224" s="114"/>
      <c r="CD224" s="114"/>
      <c r="CE224" s="114"/>
      <c r="CF224" s="114"/>
      <c r="CG224" s="114"/>
      <c r="CH224" s="114"/>
      <c r="CI224" s="114"/>
      <c r="CJ224" s="114"/>
      <c r="CK224" s="114"/>
      <c r="CL224" s="114"/>
      <c r="CM224" s="114"/>
      <c r="CN224" s="114"/>
      <c r="CO224" s="114"/>
      <c r="CP224" s="114"/>
      <c r="CQ224" s="114"/>
      <c r="CR224" s="114"/>
      <c r="CS224" s="114"/>
      <c r="CT224" s="114">
        <v>51</v>
      </c>
      <c r="CU224" s="114"/>
      <c r="CV224" s="114"/>
      <c r="CW224" s="114">
        <v>83</v>
      </c>
      <c r="CX224" s="125">
        <f>LN(CT224/CW224)</f>
        <v>-0.4870149750722722</v>
      </c>
      <c r="CY224" s="114"/>
      <c r="CZ224" s="114"/>
      <c r="DA224" s="114"/>
      <c r="DB224" s="114"/>
      <c r="DC224" s="114"/>
      <c r="DD224" s="114"/>
      <c r="DE224" s="114"/>
      <c r="DF224" s="114"/>
      <c r="DG224" s="114"/>
      <c r="DH224" s="114"/>
      <c r="DI224" s="114"/>
      <c r="DJ224" s="114"/>
      <c r="DK224" s="114"/>
      <c r="DL224" s="114"/>
      <c r="DM224" s="114"/>
      <c r="DN224" s="114"/>
      <c r="DO224" s="114"/>
      <c r="DP224" s="114"/>
      <c r="DQ224" s="114"/>
      <c r="DR224" s="114"/>
      <c r="DS224" s="114"/>
      <c r="DT224" s="114"/>
      <c r="DU224" s="114"/>
      <c r="DV224" s="114"/>
      <c r="DW224" s="114"/>
      <c r="DX224" s="114"/>
      <c r="DY224" s="114"/>
      <c r="DZ224" s="114"/>
      <c r="EA224" s="114"/>
      <c r="EB224" s="114"/>
      <c r="EC224" s="114"/>
      <c r="ED224" s="114"/>
      <c r="EE224" s="114"/>
      <c r="EF224" s="114"/>
      <c r="EG224" s="114"/>
      <c r="EH224" s="114"/>
      <c r="EI224" s="114"/>
      <c r="EJ224" s="114"/>
      <c r="EK224" s="114"/>
      <c r="EL224" s="114"/>
      <c r="EM224" s="114"/>
      <c r="EN224" s="114"/>
      <c r="EO224" s="114"/>
      <c r="EP224" s="114"/>
      <c r="EQ224" s="114"/>
      <c r="ER224" s="114"/>
      <c r="ES224" s="114"/>
      <c r="ET224" s="114"/>
      <c r="EU224" s="114"/>
      <c r="EV224" s="114"/>
      <c r="EW224" s="114"/>
      <c r="EX224" s="114"/>
      <c r="EY224" s="114"/>
      <c r="EZ224" s="114"/>
      <c r="FA224" s="114"/>
      <c r="FB224" s="114"/>
      <c r="FC224" s="114"/>
      <c r="FD224" s="114"/>
      <c r="FE224" s="114"/>
      <c r="FF224" s="114"/>
      <c r="FG224" s="114"/>
      <c r="FH224" s="114"/>
      <c r="FI224" s="114"/>
      <c r="FJ224" s="114"/>
      <c r="FK224" s="114"/>
      <c r="FL224" s="114"/>
      <c r="FM224" s="114"/>
      <c r="FN224" s="114"/>
      <c r="FO224" s="114"/>
      <c r="FP224" s="114"/>
      <c r="FQ224" s="114"/>
      <c r="FR224" s="114"/>
      <c r="FS224" s="114"/>
      <c r="FT224" s="114"/>
      <c r="FU224" s="114"/>
      <c r="FV224" s="114"/>
      <c r="FW224" s="114"/>
      <c r="FX224" s="114"/>
      <c r="FY224" s="114"/>
      <c r="FZ224" s="114"/>
      <c r="GA224" s="114"/>
      <c r="GB224" s="114"/>
      <c r="GC224" s="114"/>
      <c r="GD224" s="114"/>
      <c r="GE224" s="114"/>
      <c r="GF224" s="114"/>
      <c r="GG224" s="114"/>
      <c r="GH224" s="114"/>
      <c r="GI224" s="114"/>
      <c r="GJ224" s="114"/>
      <c r="GK224" s="114"/>
      <c r="GL224" s="114"/>
      <c r="GM224" s="114"/>
      <c r="GN224" s="114"/>
      <c r="GO224" s="114"/>
      <c r="GP224" s="114"/>
      <c r="GQ224" s="114"/>
      <c r="GR224" s="114"/>
      <c r="GS224" s="114"/>
      <c r="GT224" s="114"/>
    </row>
    <row r="225" spans="1:202" ht="13.15" hidden="1" customHeight="1" x14ac:dyDescent="0.2">
      <c r="A225" s="3" t="s">
        <v>329</v>
      </c>
      <c r="B225" s="4" t="s">
        <v>759</v>
      </c>
      <c r="C225" s="28">
        <v>2013</v>
      </c>
      <c r="D225" s="16">
        <v>99</v>
      </c>
      <c r="E225" s="16">
        <v>1</v>
      </c>
      <c r="F225" s="5" t="s">
        <v>1071</v>
      </c>
      <c r="G225" s="5" t="s">
        <v>16</v>
      </c>
      <c r="H225" s="5" t="s">
        <v>5</v>
      </c>
      <c r="I225" s="5" t="s">
        <v>659</v>
      </c>
      <c r="J225" s="5" t="s">
        <v>90</v>
      </c>
      <c r="K225" s="48" t="s">
        <v>1046</v>
      </c>
      <c r="L225" s="5" t="s">
        <v>1049</v>
      </c>
      <c r="M225" s="5" t="s">
        <v>9</v>
      </c>
      <c r="N225" s="85">
        <v>0</v>
      </c>
      <c r="O225" s="85">
        <f>2.19-0.74</f>
        <v>1.45</v>
      </c>
      <c r="P225" s="7" t="s">
        <v>761</v>
      </c>
      <c r="Q225" s="5" t="s">
        <v>39</v>
      </c>
      <c r="R225" s="7" t="s">
        <v>18</v>
      </c>
      <c r="S225" s="5" t="s">
        <v>762</v>
      </c>
      <c r="T225" s="5" t="s">
        <v>1335</v>
      </c>
      <c r="U225" s="9">
        <f>N225+1.32</f>
        <v>1.32</v>
      </c>
      <c r="V225" s="9">
        <f t="shared" si="13"/>
        <v>-1.1550689973357668</v>
      </c>
      <c r="W225" s="9"/>
      <c r="X225" s="9"/>
      <c r="Y225" s="9">
        <f>O225+2.74</f>
        <v>4.1900000000000004</v>
      </c>
      <c r="Z225" s="9"/>
      <c r="AA225" s="5" t="s">
        <v>12</v>
      </c>
      <c r="AB225" s="7" t="s">
        <v>1123</v>
      </c>
      <c r="AC225" s="5" t="s">
        <v>1194</v>
      </c>
      <c r="AD225" s="3">
        <v>9</v>
      </c>
      <c r="AE225" s="5" t="s">
        <v>8</v>
      </c>
      <c r="AF225" s="5" t="s">
        <v>1321</v>
      </c>
      <c r="AG225" s="5" t="s">
        <v>8</v>
      </c>
      <c r="AH225" s="5" t="s">
        <v>8</v>
      </c>
      <c r="AI225" s="5" t="s">
        <v>8</v>
      </c>
      <c r="AJ225" s="5" t="s">
        <v>8</v>
      </c>
      <c r="AK225" s="5" t="s">
        <v>363</v>
      </c>
      <c r="AL225" s="5" t="s">
        <v>8</v>
      </c>
      <c r="AM225" s="5" t="s">
        <v>1028</v>
      </c>
      <c r="AN225" s="5" t="s">
        <v>18</v>
      </c>
      <c r="AO225" s="5" t="s">
        <v>18</v>
      </c>
      <c r="AP225" s="5" t="s">
        <v>760</v>
      </c>
      <c r="AQ225" s="5" t="s">
        <v>763</v>
      </c>
      <c r="BD225" s="58"/>
      <c r="BE225" s="5">
        <v>0.378</v>
      </c>
      <c r="BH225" s="5">
        <v>0.45300000000000001</v>
      </c>
      <c r="BM225" s="58"/>
      <c r="BN225" s="5">
        <v>9.6589999999999992E-3</v>
      </c>
      <c r="BQ225" s="5">
        <v>4.2499999999999998E-4</v>
      </c>
      <c r="DC225" s="5">
        <v>14.99</v>
      </c>
      <c r="DF225" s="5">
        <v>70.58</v>
      </c>
      <c r="DG225" s="5">
        <v>8.4120000000000008</v>
      </c>
      <c r="DJ225" s="5">
        <v>2.4E-2</v>
      </c>
      <c r="DW225" s="5">
        <v>7.5059999999999997E-3</v>
      </c>
      <c r="DZ225" s="5">
        <v>4.7840000000000001E-3</v>
      </c>
    </row>
    <row r="226" spans="1:202" ht="13.15" hidden="1" customHeight="1" x14ac:dyDescent="0.2">
      <c r="A226" s="3" t="s">
        <v>329</v>
      </c>
      <c r="B226" s="4" t="s">
        <v>458</v>
      </c>
      <c r="C226" s="28">
        <v>2019</v>
      </c>
      <c r="D226" s="16">
        <v>56</v>
      </c>
      <c r="E226" s="16">
        <v>1</v>
      </c>
      <c r="F226" s="5" t="s">
        <v>862</v>
      </c>
      <c r="G226" s="19" t="s">
        <v>460</v>
      </c>
      <c r="H226" s="5" t="s">
        <v>5</v>
      </c>
      <c r="I226" s="5" t="s">
        <v>142</v>
      </c>
      <c r="J226" s="5" t="s">
        <v>7</v>
      </c>
      <c r="K226" s="5" t="s">
        <v>1046</v>
      </c>
      <c r="L226" s="5" t="s">
        <v>1049</v>
      </c>
      <c r="M226" s="5" t="s">
        <v>9</v>
      </c>
      <c r="N226" s="7">
        <v>2.0499999999999998</v>
      </c>
      <c r="O226" s="7">
        <v>3.13</v>
      </c>
      <c r="P226" s="7" t="s">
        <v>461</v>
      </c>
      <c r="Q226" s="5" t="s">
        <v>309</v>
      </c>
      <c r="R226" s="5" t="s">
        <v>67</v>
      </c>
      <c r="S226" s="5" t="s">
        <v>348</v>
      </c>
      <c r="T226" s="5" t="s">
        <v>1335</v>
      </c>
      <c r="U226" s="9">
        <f>-1.45+N226</f>
        <v>0.59999999999999987</v>
      </c>
      <c r="V226" s="9">
        <f t="shared" si="13"/>
        <v>-2.1061646118205894</v>
      </c>
      <c r="W226" s="9"/>
      <c r="X226" s="9"/>
      <c r="Y226" s="9">
        <f>1.8+O226</f>
        <v>4.93</v>
      </c>
      <c r="Z226" s="9"/>
      <c r="AA226" s="5" t="s">
        <v>12</v>
      </c>
      <c r="AB226" s="7" t="s">
        <v>1123</v>
      </c>
      <c r="AC226" s="5" t="s">
        <v>13</v>
      </c>
      <c r="AD226" s="3">
        <v>9</v>
      </c>
      <c r="AE226" s="5" t="s">
        <v>14</v>
      </c>
      <c r="AF226" s="5" t="s">
        <v>462</v>
      </c>
      <c r="AG226" s="5" t="s">
        <v>8</v>
      </c>
      <c r="AH226" s="5" t="s">
        <v>14</v>
      </c>
      <c r="AI226" s="5" t="s">
        <v>14</v>
      </c>
      <c r="AJ226" s="5" t="s">
        <v>8</v>
      </c>
      <c r="AK226" s="5" t="s">
        <v>210</v>
      </c>
      <c r="AL226" s="5" t="s">
        <v>8</v>
      </c>
      <c r="AM226" s="5" t="s">
        <v>463</v>
      </c>
      <c r="AN226" s="5" t="s">
        <v>18</v>
      </c>
      <c r="AO226" s="5" t="s">
        <v>18</v>
      </c>
      <c r="AP226" s="5" t="s">
        <v>459</v>
      </c>
      <c r="AQ226" s="5" t="s">
        <v>464</v>
      </c>
      <c r="AZ226" s="17">
        <f>27.08/1000</f>
        <v>2.708E-2</v>
      </c>
      <c r="BA226" s="17"/>
      <c r="BB226" s="17"/>
      <c r="BC226" s="17">
        <f>6.39/1000</f>
        <v>6.3899999999999998E-3</v>
      </c>
      <c r="BD226" s="58">
        <f>LN(AZ226/BC226)</f>
        <v>1.4440611796546308</v>
      </c>
      <c r="BE226" s="17"/>
      <c r="BF226" s="17"/>
      <c r="BG226" s="17"/>
      <c r="BH226" s="17"/>
      <c r="BI226" s="17">
        <f>9.66/1000</f>
        <v>9.6600000000000002E-3</v>
      </c>
      <c r="BJ226" s="17"/>
      <c r="BK226" s="17"/>
      <c r="BL226" s="17">
        <f>0.43/1000</f>
        <v>4.2999999999999999E-4</v>
      </c>
      <c r="BM226" s="58">
        <f>LN(BI226/BL226)</f>
        <v>3.1119637185189557</v>
      </c>
      <c r="CT226" s="9">
        <v>61</v>
      </c>
      <c r="CU226" s="9"/>
      <c r="CV226" s="9"/>
      <c r="CW226" s="9">
        <v>79.39</v>
      </c>
      <c r="CX226" s="59">
        <f>LN(CT226/CW226)</f>
        <v>-0.26349855156371077</v>
      </c>
    </row>
    <row r="227" spans="1:202" ht="13.15" hidden="1" customHeight="1" x14ac:dyDescent="0.2">
      <c r="A227" s="3" t="s">
        <v>329</v>
      </c>
      <c r="B227" s="4" t="s">
        <v>517</v>
      </c>
      <c r="C227" s="28">
        <v>2007</v>
      </c>
      <c r="D227" s="16">
        <v>66</v>
      </c>
      <c r="E227" s="16">
        <v>1</v>
      </c>
      <c r="F227" s="5" t="s">
        <v>862</v>
      </c>
      <c r="G227" s="5" t="s">
        <v>16</v>
      </c>
      <c r="H227" s="5" t="s">
        <v>5</v>
      </c>
      <c r="I227" s="5" t="s">
        <v>59</v>
      </c>
      <c r="J227" s="5" t="s">
        <v>7</v>
      </c>
      <c r="K227" s="5" t="s">
        <v>1046</v>
      </c>
      <c r="L227" s="5" t="s">
        <v>1049</v>
      </c>
      <c r="M227" s="5" t="s">
        <v>9</v>
      </c>
      <c r="N227" s="7">
        <v>3.13</v>
      </c>
      <c r="O227" s="7">
        <v>3.13</v>
      </c>
      <c r="P227" s="7" t="s">
        <v>333</v>
      </c>
      <c r="Q227" s="5" t="s">
        <v>309</v>
      </c>
      <c r="R227" s="5" t="s">
        <v>67</v>
      </c>
      <c r="S227" s="5" t="s">
        <v>96</v>
      </c>
      <c r="T227" s="5" t="s">
        <v>1335</v>
      </c>
      <c r="U227" s="9">
        <f>1.96+N227</f>
        <v>5.09</v>
      </c>
      <c r="V227" s="9">
        <f t="shared" si="13"/>
        <v>-0.1026062349475361</v>
      </c>
      <c r="W227" s="9"/>
      <c r="X227" s="9"/>
      <c r="Y227" s="9">
        <f>2.51+O227</f>
        <v>5.64</v>
      </c>
      <c r="Z227" s="9"/>
      <c r="AA227" s="5" t="s">
        <v>12</v>
      </c>
      <c r="AB227" s="7" t="s">
        <v>1123</v>
      </c>
      <c r="AC227" s="5" t="s">
        <v>13</v>
      </c>
      <c r="AD227" s="3">
        <v>9</v>
      </c>
      <c r="AE227" s="5" t="s">
        <v>14</v>
      </c>
      <c r="AF227" s="5" t="s">
        <v>519</v>
      </c>
      <c r="AG227" s="19" t="s">
        <v>8</v>
      </c>
      <c r="AH227" s="19" t="s">
        <v>14</v>
      </c>
      <c r="AI227" s="19" t="s">
        <v>8</v>
      </c>
      <c r="AJ227" s="19" t="s">
        <v>14</v>
      </c>
      <c r="AK227" s="5" t="s">
        <v>294</v>
      </c>
      <c r="AL227" s="5" t="s">
        <v>8</v>
      </c>
      <c r="AM227" s="5" t="s">
        <v>520</v>
      </c>
      <c r="AN227" s="5" t="s">
        <v>166</v>
      </c>
      <c r="AO227" s="5" t="s">
        <v>166</v>
      </c>
      <c r="AP227" s="19" t="s">
        <v>518</v>
      </c>
      <c r="AQ227" s="19" t="s">
        <v>521</v>
      </c>
      <c r="AR227" s="42">
        <f>0.00017/1000</f>
        <v>1.7000000000000001E-7</v>
      </c>
      <c r="AS227" s="42"/>
      <c r="AT227" s="42"/>
      <c r="AU227" s="42">
        <f>0.000766/1000</f>
        <v>7.6599999999999995E-7</v>
      </c>
      <c r="AZ227" s="5">
        <v>2.4899999999999999E-2</v>
      </c>
      <c r="BC227" s="5">
        <v>2.2499999999999999E-2</v>
      </c>
      <c r="BD227" s="58">
        <f>LN(AZ227/BC227)</f>
        <v>0.1013524942602875</v>
      </c>
      <c r="BI227" s="5">
        <v>5.1900000000000002E-3</v>
      </c>
      <c r="BL227" s="5">
        <v>8.1099999999999998E-4</v>
      </c>
      <c r="BM227" s="58">
        <f>LN(BI227/BL227)</f>
        <v>1.8562209220445214</v>
      </c>
      <c r="CP227" s="5">
        <v>7.7999999999999999E-4</v>
      </c>
      <c r="CS227" s="5">
        <v>1.7500000000000002E-2</v>
      </c>
      <c r="DK227" s="5">
        <v>0.85699999999999998</v>
      </c>
      <c r="DN227" s="5">
        <v>2.59</v>
      </c>
      <c r="DO227" s="5">
        <v>0.106</v>
      </c>
      <c r="DR227" s="5">
        <v>0.17599999999999999</v>
      </c>
      <c r="EI227" s="5">
        <v>2.18E-2</v>
      </c>
      <c r="EL227" s="5">
        <v>3.5099999999999999E-2</v>
      </c>
      <c r="EM227" s="5">
        <v>1290</v>
      </c>
      <c r="EP227" s="5">
        <v>1230</v>
      </c>
      <c r="EQ227" s="5">
        <v>8.9800000000000001E-3</v>
      </c>
      <c r="ET227" s="5">
        <v>3.3700000000000001E-2</v>
      </c>
    </row>
    <row r="228" spans="1:202" ht="13.15" customHeight="1" x14ac:dyDescent="0.2">
      <c r="A228" s="103" t="s">
        <v>329</v>
      </c>
      <c r="B228" s="104" t="s">
        <v>445</v>
      </c>
      <c r="C228" s="105">
        <v>2018</v>
      </c>
      <c r="D228" s="106">
        <v>54</v>
      </c>
      <c r="E228" s="106">
        <v>2</v>
      </c>
      <c r="F228" s="103" t="s">
        <v>865</v>
      </c>
      <c r="G228" s="19" t="s">
        <v>450</v>
      </c>
      <c r="H228" s="5" t="s">
        <v>5</v>
      </c>
      <c r="I228" s="5" t="s">
        <v>37</v>
      </c>
      <c r="J228" s="5" t="s">
        <v>25</v>
      </c>
      <c r="K228" s="5" t="s">
        <v>1045</v>
      </c>
      <c r="L228" s="5" t="s">
        <v>8</v>
      </c>
      <c r="M228" s="5" t="s">
        <v>61</v>
      </c>
      <c r="N228" s="7">
        <v>0</v>
      </c>
      <c r="O228" s="7">
        <v>3.13</v>
      </c>
      <c r="P228" s="107" t="s">
        <v>864</v>
      </c>
      <c r="Q228" s="103" t="s">
        <v>309</v>
      </c>
      <c r="R228" s="103" t="s">
        <v>67</v>
      </c>
      <c r="S228" s="103" t="s">
        <v>126</v>
      </c>
      <c r="T228" s="103" t="s">
        <v>1335</v>
      </c>
      <c r="U228" s="108">
        <v>3.56</v>
      </c>
      <c r="V228" s="108">
        <f t="shared" si="13"/>
        <v>-0.46542857287572165</v>
      </c>
      <c r="W228" s="108"/>
      <c r="X228" s="108"/>
      <c r="Y228" s="108">
        <f>2.54+O228</f>
        <v>5.67</v>
      </c>
      <c r="Z228" s="108"/>
      <c r="AA228" s="103" t="s">
        <v>12</v>
      </c>
      <c r="AB228" s="109" t="s">
        <v>1043</v>
      </c>
      <c r="AC228" s="103" t="s">
        <v>13</v>
      </c>
      <c r="AD228" s="103">
        <v>9</v>
      </c>
      <c r="AE228" s="103" t="s">
        <v>8</v>
      </c>
      <c r="AF228" s="103" t="s">
        <v>0</v>
      </c>
      <c r="AG228" s="103" t="s">
        <v>14</v>
      </c>
      <c r="AH228" s="103" t="s">
        <v>8</v>
      </c>
      <c r="AI228" s="103" t="s">
        <v>14</v>
      </c>
      <c r="AJ228" s="103" t="s">
        <v>8</v>
      </c>
      <c r="AK228" s="103" t="s">
        <v>84</v>
      </c>
      <c r="AL228" s="103" t="s">
        <v>8</v>
      </c>
      <c r="AM228" s="103" t="s">
        <v>448</v>
      </c>
      <c r="AN228" s="103" t="s">
        <v>67</v>
      </c>
      <c r="AO228" s="103" t="s">
        <v>67</v>
      </c>
      <c r="AP228" s="103" t="s">
        <v>446</v>
      </c>
      <c r="AQ228" s="103" t="s">
        <v>449</v>
      </c>
      <c r="AR228" s="103"/>
      <c r="AS228" s="103"/>
      <c r="AT228" s="103"/>
      <c r="AU228" s="103"/>
      <c r="AV228" s="103"/>
      <c r="AW228" s="103"/>
      <c r="AX228" s="103"/>
      <c r="AY228" s="103"/>
      <c r="AZ228" s="103"/>
      <c r="BA228" s="103"/>
      <c r="BB228" s="103"/>
      <c r="BC228" s="103"/>
      <c r="BD228" s="111"/>
      <c r="BE228" s="103"/>
      <c r="BF228" s="103"/>
      <c r="BG228" s="103"/>
      <c r="BH228" s="103"/>
      <c r="BI228" s="103"/>
      <c r="BJ228" s="103"/>
      <c r="BK228" s="103"/>
      <c r="BL228" s="103"/>
      <c r="BM228" s="111"/>
      <c r="BN228" s="103"/>
      <c r="BO228" s="103"/>
      <c r="BP228" s="103"/>
      <c r="BQ228" s="103"/>
      <c r="BR228" s="103"/>
      <c r="BS228" s="103"/>
      <c r="BT228" s="103"/>
      <c r="BU228" s="103"/>
      <c r="BV228" s="103"/>
      <c r="BW228" s="103"/>
      <c r="BX228" s="103"/>
      <c r="BY228" s="103"/>
      <c r="BZ228" s="103"/>
      <c r="CA228" s="103"/>
      <c r="CB228" s="103"/>
      <c r="CC228" s="103"/>
      <c r="CD228" s="103"/>
      <c r="CE228" s="103"/>
      <c r="CF228" s="103"/>
      <c r="CG228" s="103"/>
      <c r="CH228" s="103"/>
      <c r="CI228" s="103"/>
      <c r="CJ228" s="103"/>
      <c r="CK228" s="103"/>
      <c r="CL228" s="103"/>
      <c r="CM228" s="103"/>
      <c r="CN228" s="103"/>
      <c r="CO228" s="103"/>
      <c r="CP228" s="103"/>
      <c r="CQ228" s="103"/>
      <c r="CR228" s="103"/>
      <c r="CS228" s="103"/>
      <c r="CT228" s="103">
        <v>36</v>
      </c>
      <c r="CU228" s="103"/>
      <c r="CV228" s="103"/>
      <c r="CW228" s="103">
        <v>60</v>
      </c>
      <c r="CX228" s="113">
        <f>LN(CT228/CW228)</f>
        <v>-0.51082562376599072</v>
      </c>
      <c r="CY228" s="103"/>
      <c r="CZ228" s="103"/>
      <c r="DA228" s="103"/>
      <c r="DB228" s="103"/>
      <c r="DC228" s="103"/>
      <c r="DD228" s="103"/>
      <c r="DE228" s="103"/>
      <c r="DF228" s="103"/>
      <c r="DG228" s="103"/>
      <c r="DH228" s="103"/>
      <c r="DI228" s="103"/>
      <c r="DJ228" s="103"/>
      <c r="DK228" s="103"/>
      <c r="DL228" s="103"/>
      <c r="DM228" s="103"/>
      <c r="DN228" s="103"/>
      <c r="DO228" s="103"/>
      <c r="DP228" s="103"/>
      <c r="DQ228" s="103"/>
      <c r="DR228" s="103"/>
      <c r="DS228" s="103"/>
      <c r="DT228" s="103"/>
      <c r="DU228" s="103"/>
      <c r="DV228" s="103"/>
      <c r="DW228" s="103"/>
      <c r="DX228" s="103"/>
      <c r="DY228" s="103"/>
      <c r="DZ228" s="103"/>
      <c r="EA228" s="103"/>
      <c r="EB228" s="103"/>
      <c r="EC228" s="103"/>
      <c r="ED228" s="103"/>
      <c r="EE228" s="103"/>
      <c r="EF228" s="103"/>
      <c r="EG228" s="103"/>
      <c r="EH228" s="103"/>
      <c r="EI228" s="103"/>
      <c r="EJ228" s="103"/>
      <c r="EK228" s="103"/>
      <c r="EL228" s="103"/>
      <c r="EM228" s="103"/>
      <c r="EN228" s="103"/>
      <c r="EO228" s="103"/>
      <c r="EP228" s="103"/>
      <c r="EQ228" s="103"/>
      <c r="ER228" s="103"/>
      <c r="ES228" s="103"/>
      <c r="ET228" s="103"/>
      <c r="EU228" s="103"/>
      <c r="EV228" s="103"/>
      <c r="EW228" s="103"/>
      <c r="EX228" s="103"/>
      <c r="EY228" s="103"/>
      <c r="EZ228" s="103"/>
      <c r="FA228" s="103"/>
      <c r="FB228" s="103"/>
      <c r="FC228" s="103"/>
      <c r="FD228" s="103"/>
      <c r="FE228" s="103"/>
      <c r="FF228" s="103"/>
      <c r="FG228" s="103"/>
      <c r="FH228" s="103"/>
      <c r="FI228" s="103"/>
      <c r="FJ228" s="103"/>
      <c r="FK228" s="103"/>
      <c r="FL228" s="103"/>
      <c r="FM228" s="103"/>
      <c r="FN228" s="103"/>
      <c r="FO228" s="103"/>
      <c r="FP228" s="103"/>
      <c r="FQ228" s="103"/>
      <c r="FR228" s="103"/>
      <c r="FS228" s="103"/>
      <c r="FT228" s="103"/>
      <c r="FU228" s="103"/>
      <c r="FV228" s="103"/>
      <c r="FW228" s="103"/>
      <c r="FX228" s="103"/>
      <c r="FY228" s="103"/>
      <c r="FZ228" s="103"/>
      <c r="GA228" s="103"/>
      <c r="GB228" s="103"/>
      <c r="GC228" s="103"/>
      <c r="GD228" s="103"/>
      <c r="GE228" s="103"/>
      <c r="GF228" s="103"/>
      <c r="GG228" s="103"/>
      <c r="GH228" s="103"/>
      <c r="GI228" s="103"/>
      <c r="GJ228" s="103"/>
      <c r="GK228" s="103"/>
      <c r="GL228" s="103"/>
      <c r="GM228" s="103"/>
      <c r="GN228" s="103"/>
      <c r="GO228" s="103"/>
      <c r="GP228" s="103"/>
      <c r="GQ228" s="103"/>
      <c r="GR228" s="103"/>
      <c r="GS228" s="103"/>
      <c r="GT228" s="103"/>
    </row>
    <row r="229" spans="1:202" ht="13.15" customHeight="1" x14ac:dyDescent="0.2">
      <c r="A229" s="103" t="s">
        <v>329</v>
      </c>
      <c r="B229" s="104" t="s">
        <v>445</v>
      </c>
      <c r="C229" s="105">
        <v>2018</v>
      </c>
      <c r="D229" s="106">
        <v>54</v>
      </c>
      <c r="E229" s="106">
        <v>1</v>
      </c>
      <c r="F229" s="103" t="s">
        <v>865</v>
      </c>
      <c r="G229" s="19" t="s">
        <v>447</v>
      </c>
      <c r="H229" s="5" t="s">
        <v>5</v>
      </c>
      <c r="I229" s="5" t="s">
        <v>37</v>
      </c>
      <c r="J229" s="5" t="s">
        <v>25</v>
      </c>
      <c r="K229" s="5" t="s">
        <v>1045</v>
      </c>
      <c r="L229" s="5" t="s">
        <v>8</v>
      </c>
      <c r="M229" s="5" t="s">
        <v>61</v>
      </c>
      <c r="N229" s="7">
        <v>0</v>
      </c>
      <c r="O229" s="7">
        <v>3.13</v>
      </c>
      <c r="P229" s="107" t="s">
        <v>864</v>
      </c>
      <c r="Q229" s="103" t="s">
        <v>309</v>
      </c>
      <c r="R229" s="103" t="s">
        <v>67</v>
      </c>
      <c r="S229" s="103" t="s">
        <v>126</v>
      </c>
      <c r="T229" s="103" t="s">
        <v>1335</v>
      </c>
      <c r="U229" s="108">
        <v>5.05</v>
      </c>
      <c r="V229" s="108">
        <f t="shared" si="13"/>
        <v>-0.11580087445239223</v>
      </c>
      <c r="W229" s="108"/>
      <c r="X229" s="108"/>
      <c r="Y229" s="108">
        <f>2.54+O229</f>
        <v>5.67</v>
      </c>
      <c r="Z229" s="108"/>
      <c r="AA229" s="103" t="s">
        <v>12</v>
      </c>
      <c r="AB229" s="109" t="s">
        <v>1043</v>
      </c>
      <c r="AC229" s="103" t="s">
        <v>13</v>
      </c>
      <c r="AD229" s="103">
        <v>9</v>
      </c>
      <c r="AE229" s="103" t="s">
        <v>8</v>
      </c>
      <c r="AF229" s="103" t="s">
        <v>0</v>
      </c>
      <c r="AG229" s="103" t="s">
        <v>14</v>
      </c>
      <c r="AH229" s="103" t="s">
        <v>8</v>
      </c>
      <c r="AI229" s="103" t="s">
        <v>14</v>
      </c>
      <c r="AJ229" s="103" t="s">
        <v>8</v>
      </c>
      <c r="AK229" s="103" t="s">
        <v>84</v>
      </c>
      <c r="AL229" s="103" t="s">
        <v>8</v>
      </c>
      <c r="AM229" s="103" t="s">
        <v>448</v>
      </c>
      <c r="AN229" s="103" t="s">
        <v>67</v>
      </c>
      <c r="AO229" s="103" t="s">
        <v>67</v>
      </c>
      <c r="AP229" s="103" t="s">
        <v>446</v>
      </c>
      <c r="AQ229" s="103" t="s">
        <v>449</v>
      </c>
      <c r="AR229" s="103"/>
      <c r="AS229" s="103"/>
      <c r="AT229" s="103"/>
      <c r="AU229" s="103"/>
      <c r="AV229" s="103"/>
      <c r="AW229" s="103"/>
      <c r="AX229" s="103"/>
      <c r="AY229" s="103"/>
      <c r="AZ229" s="103"/>
      <c r="BA229" s="103"/>
      <c r="BB229" s="103"/>
      <c r="BC229" s="103"/>
      <c r="BD229" s="111"/>
      <c r="BE229" s="103"/>
      <c r="BF229" s="103"/>
      <c r="BG229" s="103"/>
      <c r="BH229" s="103"/>
      <c r="BI229" s="103"/>
      <c r="BJ229" s="103"/>
      <c r="BK229" s="103"/>
      <c r="BL229" s="103"/>
      <c r="BM229" s="111"/>
      <c r="BN229" s="103"/>
      <c r="BO229" s="103"/>
      <c r="BP229" s="103"/>
      <c r="BQ229" s="103"/>
      <c r="BR229" s="103"/>
      <c r="BS229" s="103"/>
      <c r="BT229" s="103"/>
      <c r="BU229" s="103"/>
      <c r="BV229" s="103"/>
      <c r="BW229" s="103"/>
      <c r="BX229" s="103"/>
      <c r="BY229" s="103"/>
      <c r="BZ229" s="103"/>
      <c r="CA229" s="103"/>
      <c r="CB229" s="103"/>
      <c r="CC229" s="103"/>
      <c r="CD229" s="103"/>
      <c r="CE229" s="103"/>
      <c r="CF229" s="103"/>
      <c r="CG229" s="103"/>
      <c r="CH229" s="103"/>
      <c r="CI229" s="103"/>
      <c r="CJ229" s="103"/>
      <c r="CK229" s="103"/>
      <c r="CL229" s="103"/>
      <c r="CM229" s="103"/>
      <c r="CN229" s="103"/>
      <c r="CO229" s="103"/>
      <c r="CP229" s="103"/>
      <c r="CQ229" s="103"/>
      <c r="CR229" s="103"/>
      <c r="CS229" s="103"/>
      <c r="CT229" s="103">
        <v>72</v>
      </c>
      <c r="CU229" s="103"/>
      <c r="CV229" s="103"/>
      <c r="CW229" s="103">
        <v>60</v>
      </c>
      <c r="CX229" s="113">
        <f>LN(CT229/CW229)</f>
        <v>0.18232155679395459</v>
      </c>
      <c r="CY229" s="103"/>
      <c r="CZ229" s="103"/>
      <c r="DA229" s="103"/>
      <c r="DB229" s="103"/>
      <c r="DC229" s="103"/>
      <c r="DD229" s="103"/>
      <c r="DE229" s="103"/>
      <c r="DF229" s="103"/>
      <c r="DG229" s="103"/>
      <c r="DH229" s="103"/>
      <c r="DI229" s="103"/>
      <c r="DJ229" s="103"/>
      <c r="DK229" s="103"/>
      <c r="DL229" s="103"/>
      <c r="DM229" s="103"/>
      <c r="DN229" s="103"/>
      <c r="DO229" s="103"/>
      <c r="DP229" s="103"/>
      <c r="DQ229" s="103"/>
      <c r="DR229" s="103"/>
      <c r="DS229" s="103"/>
      <c r="DT229" s="103"/>
      <c r="DU229" s="103"/>
      <c r="DV229" s="103"/>
      <c r="DW229" s="103"/>
      <c r="DX229" s="103"/>
      <c r="DY229" s="103"/>
      <c r="DZ229" s="103"/>
      <c r="EA229" s="103"/>
      <c r="EB229" s="103"/>
      <c r="EC229" s="103"/>
      <c r="ED229" s="103"/>
      <c r="EE229" s="103"/>
      <c r="EF229" s="103"/>
      <c r="EG229" s="103"/>
      <c r="EH229" s="103"/>
      <c r="EI229" s="103"/>
      <c r="EJ229" s="103"/>
      <c r="EK229" s="103"/>
      <c r="EL229" s="103"/>
      <c r="EM229" s="103"/>
      <c r="EN229" s="103"/>
      <c r="EO229" s="103"/>
      <c r="EP229" s="103"/>
      <c r="EQ229" s="103"/>
      <c r="ER229" s="103"/>
      <c r="ES229" s="103"/>
      <c r="ET229" s="103"/>
      <c r="EU229" s="103"/>
      <c r="EV229" s="103"/>
      <c r="EW229" s="103"/>
      <c r="EX229" s="103"/>
      <c r="EY229" s="103"/>
      <c r="EZ229" s="103"/>
      <c r="FA229" s="103"/>
      <c r="FB229" s="103"/>
      <c r="FC229" s="103"/>
      <c r="FD229" s="103"/>
      <c r="FE229" s="103"/>
      <c r="FF229" s="103"/>
      <c r="FG229" s="103"/>
      <c r="FH229" s="103"/>
      <c r="FI229" s="103"/>
      <c r="FJ229" s="103"/>
      <c r="FK229" s="103"/>
      <c r="FL229" s="103"/>
      <c r="FM229" s="103"/>
      <c r="FN229" s="103"/>
      <c r="FO229" s="103"/>
      <c r="FP229" s="103"/>
      <c r="FQ229" s="103"/>
      <c r="FR229" s="103"/>
      <c r="FS229" s="103"/>
      <c r="FT229" s="103"/>
      <c r="FU229" s="103"/>
      <c r="FV229" s="103"/>
      <c r="FW229" s="103"/>
      <c r="FX229" s="103"/>
      <c r="FY229" s="103"/>
      <c r="FZ229" s="103"/>
      <c r="GA229" s="103"/>
      <c r="GB229" s="103"/>
      <c r="GC229" s="103"/>
      <c r="GD229" s="103"/>
      <c r="GE229" s="103"/>
      <c r="GF229" s="103"/>
      <c r="GG229" s="103"/>
      <c r="GH229" s="103"/>
      <c r="GI229" s="103"/>
      <c r="GJ229" s="103"/>
      <c r="GK229" s="103"/>
      <c r="GL229" s="103"/>
      <c r="GM229" s="103"/>
      <c r="GN229" s="103"/>
      <c r="GO229" s="103"/>
      <c r="GP229" s="103"/>
      <c r="GQ229" s="103"/>
      <c r="GR229" s="103"/>
      <c r="GS229" s="103"/>
      <c r="GT229" s="103"/>
    </row>
    <row r="230" spans="1:202" ht="13.15" hidden="1" customHeight="1" x14ac:dyDescent="0.2">
      <c r="A230" s="3" t="s">
        <v>329</v>
      </c>
      <c r="B230" s="4" t="s">
        <v>815</v>
      </c>
      <c r="C230" s="28">
        <v>2016</v>
      </c>
      <c r="D230" s="16">
        <v>109</v>
      </c>
      <c r="E230" s="16">
        <v>3</v>
      </c>
      <c r="F230" s="5" t="s">
        <v>862</v>
      </c>
      <c r="G230" s="5" t="s">
        <v>16</v>
      </c>
      <c r="H230" s="5" t="s">
        <v>5</v>
      </c>
      <c r="I230" s="5" t="s">
        <v>6</v>
      </c>
      <c r="J230" s="5" t="s">
        <v>7</v>
      </c>
      <c r="K230" s="48" t="s">
        <v>1046</v>
      </c>
      <c r="L230" s="51" t="s">
        <v>52</v>
      </c>
      <c r="M230" s="5" t="s">
        <v>9</v>
      </c>
      <c r="N230" s="85">
        <v>2</v>
      </c>
      <c r="O230" s="85">
        <v>3.13</v>
      </c>
      <c r="P230" s="7" t="s">
        <v>333</v>
      </c>
      <c r="Q230" s="5" t="s">
        <v>39</v>
      </c>
      <c r="R230" s="5" t="s">
        <v>18</v>
      </c>
      <c r="S230" s="5" t="s">
        <v>807</v>
      </c>
      <c r="T230" s="5" t="s">
        <v>1335</v>
      </c>
      <c r="U230" s="9">
        <f>N230+3.41</f>
        <v>5.41</v>
      </c>
      <c r="V230" s="9">
        <f t="shared" si="13"/>
        <v>3.0021016254857844E-2</v>
      </c>
      <c r="W230" s="9">
        <f>N230+2.65</f>
        <v>4.6500000000000004</v>
      </c>
      <c r="X230" s="9">
        <f>N230+4.27</f>
        <v>6.27</v>
      </c>
      <c r="Y230" s="9">
        <f>O230+2.12</f>
        <v>5.25</v>
      </c>
      <c r="Z230" s="9"/>
      <c r="AA230" s="5" t="s">
        <v>12</v>
      </c>
      <c r="AB230" s="7" t="s">
        <v>1044</v>
      </c>
      <c r="AC230" s="5" t="s">
        <v>74</v>
      </c>
      <c r="AD230" s="3">
        <v>9</v>
      </c>
      <c r="AE230" s="5" t="s">
        <v>14</v>
      </c>
      <c r="AF230" s="5" t="s">
        <v>1329</v>
      </c>
      <c r="AG230" s="5" t="s">
        <v>8</v>
      </c>
      <c r="AH230" s="5" t="s">
        <v>8</v>
      </c>
      <c r="AI230" s="5" t="s">
        <v>8</v>
      </c>
      <c r="AJ230" s="5" t="s">
        <v>8</v>
      </c>
      <c r="AK230" s="5" t="s">
        <v>1028</v>
      </c>
      <c r="AL230" s="5" t="s">
        <v>14</v>
      </c>
      <c r="AM230" s="5" t="s">
        <v>1028</v>
      </c>
      <c r="AN230" s="5" t="s">
        <v>18</v>
      </c>
      <c r="AO230" s="5" t="s">
        <v>18</v>
      </c>
      <c r="AP230" s="5" t="s">
        <v>816</v>
      </c>
      <c r="AQ230" s="5" t="s">
        <v>817</v>
      </c>
      <c r="BD230" s="58"/>
      <c r="BM230" s="58"/>
    </row>
    <row r="231" spans="1:202" ht="14.65" customHeight="1" x14ac:dyDescent="0.2">
      <c r="A231" s="3" t="s">
        <v>329</v>
      </c>
      <c r="B231" s="4" t="s">
        <v>175</v>
      </c>
      <c r="C231" s="28">
        <v>2016</v>
      </c>
      <c r="D231" s="16">
        <v>108</v>
      </c>
      <c r="E231" s="16">
        <v>3</v>
      </c>
      <c r="F231" s="5" t="s">
        <v>866</v>
      </c>
      <c r="G231" s="5" t="s">
        <v>16</v>
      </c>
      <c r="H231" s="5" t="s">
        <v>5</v>
      </c>
      <c r="I231" s="5" t="s">
        <v>811</v>
      </c>
      <c r="J231" s="5" t="s">
        <v>25</v>
      </c>
      <c r="K231" s="5" t="s">
        <v>1045</v>
      </c>
      <c r="L231" s="5" t="s">
        <v>1049</v>
      </c>
      <c r="M231" s="5" t="s">
        <v>9</v>
      </c>
      <c r="N231" s="85">
        <v>2.29</v>
      </c>
      <c r="O231" s="85">
        <v>2.29</v>
      </c>
      <c r="P231" s="7" t="s">
        <v>1027</v>
      </c>
      <c r="Q231" s="5" t="s">
        <v>39</v>
      </c>
      <c r="R231" s="5" t="s">
        <v>18</v>
      </c>
      <c r="S231" s="5" t="s">
        <v>807</v>
      </c>
      <c r="T231" s="5" t="s">
        <v>1335</v>
      </c>
      <c r="U231" s="9">
        <f>N231+3.9</f>
        <v>6.1899999999999995</v>
      </c>
      <c r="V231" s="9">
        <f t="shared" si="13"/>
        <v>-0.15156251921072122</v>
      </c>
      <c r="W231" s="9"/>
      <c r="X231" s="9"/>
      <c r="Y231" s="9">
        <f t="shared" ref="Y231:Y236" si="16">O231+4.913</f>
        <v>7.2030000000000003</v>
      </c>
      <c r="Z231" s="9"/>
      <c r="AA231" s="5" t="s">
        <v>12</v>
      </c>
      <c r="AB231" s="7" t="s">
        <v>1044</v>
      </c>
      <c r="AC231" s="5" t="s">
        <v>74</v>
      </c>
      <c r="AD231" s="3">
        <v>9</v>
      </c>
      <c r="AE231" s="5" t="s">
        <v>8</v>
      </c>
      <c r="AF231" s="5" t="s">
        <v>1328</v>
      </c>
      <c r="AG231" s="5" t="s">
        <v>8</v>
      </c>
      <c r="AH231" s="5" t="s">
        <v>8</v>
      </c>
      <c r="AI231" s="5" t="s">
        <v>8</v>
      </c>
      <c r="AJ231" s="5" t="s">
        <v>8</v>
      </c>
      <c r="AK231" s="5" t="s">
        <v>808</v>
      </c>
      <c r="AL231" s="5" t="s">
        <v>14</v>
      </c>
      <c r="AM231" s="5" t="s">
        <v>1028</v>
      </c>
      <c r="AN231" s="5" t="s">
        <v>18</v>
      </c>
      <c r="AO231" s="5" t="s">
        <v>18</v>
      </c>
      <c r="AP231" s="5" t="s">
        <v>805</v>
      </c>
      <c r="AQ231" s="5" t="s">
        <v>809</v>
      </c>
      <c r="AR231" s="27">
        <v>3.4999999999999998E-7</v>
      </c>
      <c r="AU231" s="27">
        <v>1.1000000000000001E-7</v>
      </c>
      <c r="AV231" s="27">
        <v>0.72</v>
      </c>
      <c r="AY231" s="27">
        <v>0.19</v>
      </c>
      <c r="AZ231" s="27">
        <v>6.7000000000000004E-2</v>
      </c>
      <c r="BC231" s="27">
        <v>1.7000000000000001E-2</v>
      </c>
      <c r="BD231" s="58">
        <f t="shared" ref="BD231:BD236" si="17">LN(AZ231/BC231)</f>
        <v>1.37147927533475</v>
      </c>
      <c r="BM231" s="58"/>
      <c r="BN231" s="27">
        <v>1.3440000000000001E-3</v>
      </c>
      <c r="BQ231" s="27">
        <v>4.6200000000000001E-4</v>
      </c>
      <c r="BZ231" s="27">
        <v>5.0000000000000001E-3</v>
      </c>
      <c r="CC231" s="27">
        <v>1.5E-3</v>
      </c>
      <c r="CD231" s="27">
        <v>25</v>
      </c>
      <c r="CG231" s="27">
        <v>12</v>
      </c>
      <c r="CH231" s="5">
        <v>8.3000000000000007</v>
      </c>
      <c r="CK231" s="5">
        <v>12.5</v>
      </c>
    </row>
    <row r="232" spans="1:202" ht="13.15" customHeight="1" x14ac:dyDescent="0.2">
      <c r="A232" s="3" t="s">
        <v>329</v>
      </c>
      <c r="B232" s="4" t="s">
        <v>175</v>
      </c>
      <c r="C232" s="28">
        <v>2016</v>
      </c>
      <c r="D232" s="16">
        <v>108</v>
      </c>
      <c r="E232" s="16">
        <v>2</v>
      </c>
      <c r="F232" s="5" t="s">
        <v>866</v>
      </c>
      <c r="G232" s="5" t="s">
        <v>16</v>
      </c>
      <c r="H232" s="5" t="s">
        <v>5</v>
      </c>
      <c r="I232" s="5" t="s">
        <v>810</v>
      </c>
      <c r="J232" s="5" t="s">
        <v>25</v>
      </c>
      <c r="K232" s="5" t="s">
        <v>1045</v>
      </c>
      <c r="L232" s="5" t="s">
        <v>1049</v>
      </c>
      <c r="M232" s="5" t="s">
        <v>9</v>
      </c>
      <c r="N232" s="85">
        <v>2.29</v>
      </c>
      <c r="O232" s="85">
        <v>2.29</v>
      </c>
      <c r="P232" s="7" t="s">
        <v>1027</v>
      </c>
      <c r="Q232" s="5" t="s">
        <v>39</v>
      </c>
      <c r="R232" s="5" t="s">
        <v>18</v>
      </c>
      <c r="S232" s="5" t="s">
        <v>807</v>
      </c>
      <c r="T232" s="5" t="s">
        <v>1335</v>
      </c>
      <c r="U232" s="9">
        <f>N232+5.01</f>
        <v>7.3</v>
      </c>
      <c r="V232" s="9">
        <f t="shared" si="13"/>
        <v>1.3376742247119596E-2</v>
      </c>
      <c r="W232" s="9"/>
      <c r="X232" s="9"/>
      <c r="Y232" s="9">
        <f t="shared" si="16"/>
        <v>7.2030000000000003</v>
      </c>
      <c r="Z232" s="9"/>
      <c r="AA232" s="5" t="s">
        <v>12</v>
      </c>
      <c r="AB232" s="7" t="s">
        <v>1044</v>
      </c>
      <c r="AC232" s="5" t="s">
        <v>74</v>
      </c>
      <c r="AD232" s="3">
        <v>9</v>
      </c>
      <c r="AE232" s="5" t="s">
        <v>8</v>
      </c>
      <c r="AF232" s="5" t="s">
        <v>1328</v>
      </c>
      <c r="AG232" s="5" t="s">
        <v>8</v>
      </c>
      <c r="AH232" s="5" t="s">
        <v>8</v>
      </c>
      <c r="AI232" s="5" t="s">
        <v>8</v>
      </c>
      <c r="AJ232" s="5" t="s">
        <v>8</v>
      </c>
      <c r="AK232" s="5" t="s">
        <v>808</v>
      </c>
      <c r="AL232" s="5" t="s">
        <v>14</v>
      </c>
      <c r="AM232" s="5" t="s">
        <v>1028</v>
      </c>
      <c r="AN232" s="5" t="s">
        <v>18</v>
      </c>
      <c r="AO232" s="5" t="s">
        <v>18</v>
      </c>
      <c r="AP232" s="5" t="s">
        <v>805</v>
      </c>
      <c r="AQ232" s="5" t="s">
        <v>809</v>
      </c>
      <c r="AR232" s="27">
        <v>4.3000000000000001E-7</v>
      </c>
      <c r="AU232" s="27">
        <v>1.1000000000000001E-7</v>
      </c>
      <c r="AV232" s="27">
        <v>0.84</v>
      </c>
      <c r="AY232" s="27">
        <v>0.19</v>
      </c>
      <c r="AZ232" s="27">
        <v>5.2999999999999999E-2</v>
      </c>
      <c r="BC232" s="27">
        <v>1.7000000000000001E-2</v>
      </c>
      <c r="BD232" s="58">
        <f t="shared" si="17"/>
        <v>1.1370785694959056</v>
      </c>
      <c r="BM232" s="58"/>
      <c r="BN232" s="27">
        <v>1.8200000000000001E-4</v>
      </c>
      <c r="BQ232" s="27">
        <v>4.6200000000000001E-4</v>
      </c>
      <c r="BZ232" s="27">
        <v>6.4999999999999997E-3</v>
      </c>
      <c r="CC232" s="27">
        <v>1.5E-3</v>
      </c>
      <c r="CD232" s="27">
        <v>28</v>
      </c>
      <c r="CG232" s="27">
        <v>12</v>
      </c>
      <c r="CH232" s="5">
        <v>10.7</v>
      </c>
      <c r="CK232" s="5">
        <v>12.5</v>
      </c>
    </row>
    <row r="233" spans="1:202" ht="13.15" customHeight="1" x14ac:dyDescent="0.2">
      <c r="A233" s="3" t="s">
        <v>329</v>
      </c>
      <c r="B233" s="4" t="s">
        <v>175</v>
      </c>
      <c r="C233" s="28">
        <v>2016</v>
      </c>
      <c r="D233" s="16">
        <v>108</v>
      </c>
      <c r="E233" s="16">
        <v>6</v>
      </c>
      <c r="F233" s="5" t="s">
        <v>866</v>
      </c>
      <c r="G233" s="5" t="s">
        <v>16</v>
      </c>
      <c r="H233" s="5" t="s">
        <v>5</v>
      </c>
      <c r="I233" s="5" t="s">
        <v>814</v>
      </c>
      <c r="J233" s="5" t="s">
        <v>25</v>
      </c>
      <c r="K233" s="5" t="s">
        <v>1045</v>
      </c>
      <c r="L233" s="5" t="s">
        <v>1049</v>
      </c>
      <c r="M233" s="5" t="s">
        <v>9</v>
      </c>
      <c r="N233" s="85">
        <v>2.29</v>
      </c>
      <c r="O233" s="85">
        <v>2.29</v>
      </c>
      <c r="P233" s="7" t="s">
        <v>1027</v>
      </c>
      <c r="Q233" s="5" t="s">
        <v>39</v>
      </c>
      <c r="R233" s="5" t="s">
        <v>18</v>
      </c>
      <c r="S233" s="5" t="s">
        <v>807</v>
      </c>
      <c r="T233" s="5" t="s">
        <v>1335</v>
      </c>
      <c r="U233" s="9">
        <f>N233+5.57</f>
        <v>7.86</v>
      </c>
      <c r="V233" s="9">
        <f t="shared" si="13"/>
        <v>8.7289000533889285E-2</v>
      </c>
      <c r="W233" s="9"/>
      <c r="X233" s="9"/>
      <c r="Y233" s="9">
        <f t="shared" si="16"/>
        <v>7.2030000000000003</v>
      </c>
      <c r="Z233" s="9"/>
      <c r="AA233" s="5" t="s">
        <v>12</v>
      </c>
      <c r="AB233" s="7" t="s">
        <v>1044</v>
      </c>
      <c r="AC233" s="5" t="s">
        <v>74</v>
      </c>
      <c r="AD233" s="3">
        <v>9</v>
      </c>
      <c r="AE233" s="5" t="s">
        <v>8</v>
      </c>
      <c r="AF233" s="5" t="s">
        <v>1328</v>
      </c>
      <c r="AG233" s="5" t="s">
        <v>8</v>
      </c>
      <c r="AH233" s="5" t="s">
        <v>8</v>
      </c>
      <c r="AI233" s="5" t="s">
        <v>8</v>
      </c>
      <c r="AJ233" s="5" t="s">
        <v>8</v>
      </c>
      <c r="AK233" s="5" t="s">
        <v>808</v>
      </c>
      <c r="AL233" s="5" t="s">
        <v>14</v>
      </c>
      <c r="AM233" s="5" t="s">
        <v>1028</v>
      </c>
      <c r="AN233" s="5" t="s">
        <v>18</v>
      </c>
      <c r="AO233" s="5" t="s">
        <v>18</v>
      </c>
      <c r="AP233" s="5" t="s">
        <v>805</v>
      </c>
      <c r="AQ233" s="5" t="s">
        <v>809</v>
      </c>
      <c r="AR233" s="27">
        <v>4.8999999999999997E-7</v>
      </c>
      <c r="AU233" s="27">
        <v>1.1000000000000001E-7</v>
      </c>
      <c r="AV233" s="27">
        <v>0.56999999999999995</v>
      </c>
      <c r="AY233" s="27">
        <v>0.19</v>
      </c>
      <c r="AZ233" s="27">
        <v>8.2000000000000003E-2</v>
      </c>
      <c r="BC233" s="27">
        <v>1.7000000000000001E-2</v>
      </c>
      <c r="BD233" s="58">
        <f t="shared" si="17"/>
        <v>1.573505903208037</v>
      </c>
      <c r="BM233" s="58"/>
      <c r="BN233" s="27">
        <v>4.4800000000000005E-3</v>
      </c>
      <c r="BQ233" s="27">
        <v>4.6200000000000001E-4</v>
      </c>
      <c r="BZ233" s="27">
        <v>8.8000000000000005E-3</v>
      </c>
      <c r="CC233" s="27">
        <v>1.5E-3</v>
      </c>
      <c r="CD233" s="27">
        <v>34</v>
      </c>
      <c r="CG233" s="27">
        <v>12</v>
      </c>
      <c r="CH233" s="5">
        <v>9.4</v>
      </c>
      <c r="CK233" s="5">
        <v>12.5</v>
      </c>
    </row>
    <row r="234" spans="1:202" ht="14.65" customHeight="1" x14ac:dyDescent="0.2">
      <c r="A234" s="3" t="s">
        <v>329</v>
      </c>
      <c r="B234" s="4" t="s">
        <v>175</v>
      </c>
      <c r="C234" s="28">
        <v>2016</v>
      </c>
      <c r="D234" s="16">
        <v>108</v>
      </c>
      <c r="E234" s="16">
        <v>5</v>
      </c>
      <c r="F234" s="5" t="s">
        <v>866</v>
      </c>
      <c r="G234" s="5" t="s">
        <v>16</v>
      </c>
      <c r="H234" s="5" t="s">
        <v>5</v>
      </c>
      <c r="I234" s="5" t="s">
        <v>813</v>
      </c>
      <c r="J234" s="5" t="s">
        <v>25</v>
      </c>
      <c r="K234" s="5" t="s">
        <v>1045</v>
      </c>
      <c r="L234" s="5" t="s">
        <v>1049</v>
      </c>
      <c r="M234" s="5" t="s">
        <v>9</v>
      </c>
      <c r="N234" s="85">
        <v>2.29</v>
      </c>
      <c r="O234" s="85">
        <v>2.29</v>
      </c>
      <c r="P234" s="7" t="s">
        <v>1027</v>
      </c>
      <c r="Q234" s="5" t="s">
        <v>39</v>
      </c>
      <c r="R234" s="5" t="s">
        <v>18</v>
      </c>
      <c r="S234" s="5" t="s">
        <v>807</v>
      </c>
      <c r="T234" s="5" t="s">
        <v>1335</v>
      </c>
      <c r="U234" s="9">
        <f>N234+6.53</f>
        <v>8.82</v>
      </c>
      <c r="V234" s="9">
        <f t="shared" si="13"/>
        <v>0.20252426411147409</v>
      </c>
      <c r="W234" s="9"/>
      <c r="X234" s="9"/>
      <c r="Y234" s="9">
        <f t="shared" si="16"/>
        <v>7.2030000000000003</v>
      </c>
      <c r="Z234" s="9"/>
      <c r="AA234" s="5" t="s">
        <v>12</v>
      </c>
      <c r="AB234" s="7" t="s">
        <v>1044</v>
      </c>
      <c r="AC234" s="5" t="s">
        <v>74</v>
      </c>
      <c r="AD234" s="3">
        <v>9</v>
      </c>
      <c r="AE234" s="5" t="s">
        <v>8</v>
      </c>
      <c r="AF234" s="5" t="s">
        <v>1328</v>
      </c>
      <c r="AG234" s="5" t="s">
        <v>8</v>
      </c>
      <c r="AH234" s="5" t="s">
        <v>8</v>
      </c>
      <c r="AI234" s="5" t="s">
        <v>8</v>
      </c>
      <c r="AJ234" s="5" t="s">
        <v>8</v>
      </c>
      <c r="AK234" s="5" t="s">
        <v>808</v>
      </c>
      <c r="AL234" s="5" t="s">
        <v>14</v>
      </c>
      <c r="AM234" s="5" t="s">
        <v>1028</v>
      </c>
      <c r="AN234" s="5" t="s">
        <v>18</v>
      </c>
      <c r="AO234" s="5" t="s">
        <v>18</v>
      </c>
      <c r="AP234" s="5" t="s">
        <v>805</v>
      </c>
      <c r="AQ234" s="5" t="s">
        <v>809</v>
      </c>
      <c r="AR234" s="27">
        <v>5.6000000000000004E-7</v>
      </c>
      <c r="AU234" s="27">
        <v>1.1000000000000001E-7</v>
      </c>
      <c r="AV234" s="27">
        <v>0.69</v>
      </c>
      <c r="AY234" s="27">
        <v>0.19</v>
      </c>
      <c r="AZ234" s="27">
        <v>8.7999999999999995E-2</v>
      </c>
      <c r="BC234" s="27">
        <v>1.7000000000000001E-2</v>
      </c>
      <c r="BD234" s="58">
        <f t="shared" si="17"/>
        <v>1.6441234704219903</v>
      </c>
      <c r="BM234" s="58"/>
      <c r="BN234" s="27">
        <v>5.0400000000000002E-3</v>
      </c>
      <c r="BQ234" s="27">
        <v>4.6200000000000001E-4</v>
      </c>
      <c r="BZ234" s="27">
        <v>0.01</v>
      </c>
      <c r="CC234" s="27">
        <v>1.5E-3</v>
      </c>
      <c r="CD234" s="27">
        <v>36</v>
      </c>
      <c r="CG234" s="27">
        <v>12</v>
      </c>
      <c r="CH234" s="5">
        <v>11.8</v>
      </c>
      <c r="CK234" s="5">
        <v>12.5</v>
      </c>
    </row>
    <row r="235" spans="1:202" ht="13.15" hidden="1" customHeight="1" x14ac:dyDescent="0.2">
      <c r="A235" s="3" t="s">
        <v>329</v>
      </c>
      <c r="B235" s="4" t="s">
        <v>175</v>
      </c>
      <c r="C235" s="28">
        <v>2016</v>
      </c>
      <c r="D235" s="16">
        <v>108</v>
      </c>
      <c r="E235" s="16">
        <v>1</v>
      </c>
      <c r="F235" s="5" t="s">
        <v>866</v>
      </c>
      <c r="G235" s="5" t="s">
        <v>16</v>
      </c>
      <c r="H235" s="5" t="s">
        <v>5</v>
      </c>
      <c r="I235" s="5" t="s">
        <v>806</v>
      </c>
      <c r="J235" s="5" t="s">
        <v>7</v>
      </c>
      <c r="K235" s="48" t="s">
        <v>1046</v>
      </c>
      <c r="L235" s="5" t="s">
        <v>1049</v>
      </c>
      <c r="M235" s="5" t="s">
        <v>9</v>
      </c>
      <c r="N235" s="85">
        <v>2.29</v>
      </c>
      <c r="O235" s="85">
        <v>2.29</v>
      </c>
      <c r="P235" s="7" t="s">
        <v>1027</v>
      </c>
      <c r="Q235" s="5" t="s">
        <v>39</v>
      </c>
      <c r="R235" s="5" t="s">
        <v>18</v>
      </c>
      <c r="S235" s="5" t="s">
        <v>807</v>
      </c>
      <c r="T235" s="5" t="s">
        <v>1335</v>
      </c>
      <c r="U235" s="9">
        <f>N235+5.01</f>
        <v>7.3</v>
      </c>
      <c r="V235" s="9">
        <f t="shared" si="13"/>
        <v>1.3376742247119596E-2</v>
      </c>
      <c r="W235" s="9"/>
      <c r="X235" s="9"/>
      <c r="Y235" s="9">
        <f t="shared" si="16"/>
        <v>7.2030000000000003</v>
      </c>
      <c r="Z235" s="9"/>
      <c r="AA235" s="5" t="s">
        <v>12</v>
      </c>
      <c r="AB235" s="7" t="s">
        <v>1044</v>
      </c>
      <c r="AC235" s="5" t="s">
        <v>74</v>
      </c>
      <c r="AD235" s="3">
        <v>9</v>
      </c>
      <c r="AE235" s="5" t="s">
        <v>8</v>
      </c>
      <c r="AF235" s="5" t="s">
        <v>1328</v>
      </c>
      <c r="AG235" s="5" t="s">
        <v>8</v>
      </c>
      <c r="AH235" s="5" t="s">
        <v>8</v>
      </c>
      <c r="AI235" s="5" t="s">
        <v>8</v>
      </c>
      <c r="AJ235" s="5" t="s">
        <v>8</v>
      </c>
      <c r="AK235" s="5" t="s">
        <v>808</v>
      </c>
      <c r="AL235" s="5" t="s">
        <v>14</v>
      </c>
      <c r="AM235" s="5" t="s">
        <v>1028</v>
      </c>
      <c r="AN235" s="5" t="s">
        <v>18</v>
      </c>
      <c r="AO235" s="5" t="s">
        <v>18</v>
      </c>
      <c r="AP235" s="5" t="s">
        <v>805</v>
      </c>
      <c r="AQ235" s="5" t="s">
        <v>809</v>
      </c>
      <c r="AR235" s="27">
        <v>3.5999999999999999E-7</v>
      </c>
      <c r="AU235" s="27">
        <v>1.1000000000000001E-7</v>
      </c>
      <c r="AV235" s="27">
        <v>0.68</v>
      </c>
      <c r="AY235" s="27">
        <v>0.19</v>
      </c>
      <c r="AZ235" s="27">
        <v>4.2999999999999997E-2</v>
      </c>
      <c r="BC235" s="27">
        <v>1.7000000000000001E-2</v>
      </c>
      <c r="BD235" s="58">
        <f t="shared" si="17"/>
        <v>0.92798677163734611</v>
      </c>
      <c r="BM235" s="58"/>
      <c r="BN235" s="27">
        <v>1.274E-3</v>
      </c>
      <c r="BQ235" s="27">
        <v>4.6200000000000001E-4</v>
      </c>
      <c r="BZ235" s="27">
        <v>4.1999999999999997E-3</v>
      </c>
      <c r="CC235" s="27">
        <v>1.5E-3</v>
      </c>
      <c r="CD235" s="27">
        <v>25</v>
      </c>
      <c r="CG235" s="27">
        <v>12</v>
      </c>
      <c r="CH235" s="5">
        <v>8.4</v>
      </c>
      <c r="CK235" s="5">
        <v>12.5</v>
      </c>
      <c r="CT235" s="9"/>
      <c r="CU235" s="9"/>
      <c r="CV235" s="9"/>
      <c r="CW235" s="9"/>
      <c r="CY235" s="9"/>
      <c r="CZ235" s="9"/>
    </row>
    <row r="236" spans="1:202" ht="13.15" hidden="1" customHeight="1" x14ac:dyDescent="0.2">
      <c r="A236" s="3" t="s">
        <v>329</v>
      </c>
      <c r="B236" s="4" t="s">
        <v>175</v>
      </c>
      <c r="C236" s="28">
        <v>2016</v>
      </c>
      <c r="D236" s="16">
        <v>108</v>
      </c>
      <c r="E236" s="16">
        <v>4</v>
      </c>
      <c r="F236" s="5" t="s">
        <v>866</v>
      </c>
      <c r="G236" s="5" t="s">
        <v>16</v>
      </c>
      <c r="H236" s="5" t="s">
        <v>5</v>
      </c>
      <c r="I236" s="5" t="s">
        <v>812</v>
      </c>
      <c r="J236" s="5" t="s">
        <v>7</v>
      </c>
      <c r="K236" s="5" t="s">
        <v>1046</v>
      </c>
      <c r="L236" s="5" t="s">
        <v>1049</v>
      </c>
      <c r="M236" s="5" t="s">
        <v>9</v>
      </c>
      <c r="N236" s="85">
        <v>2.29</v>
      </c>
      <c r="O236" s="85">
        <v>2.29</v>
      </c>
      <c r="P236" s="7" t="s">
        <v>1027</v>
      </c>
      <c r="Q236" s="5" t="s">
        <v>39</v>
      </c>
      <c r="R236" s="5" t="s">
        <v>18</v>
      </c>
      <c r="S236" s="5" t="s">
        <v>807</v>
      </c>
      <c r="T236" s="5" t="s">
        <v>1335</v>
      </c>
      <c r="U236" s="9">
        <f>N236+5.56</f>
        <v>7.85</v>
      </c>
      <c r="V236" s="9">
        <f t="shared" si="13"/>
        <v>8.601592588709113E-2</v>
      </c>
      <c r="W236" s="9"/>
      <c r="X236" s="9"/>
      <c r="Y236" s="9">
        <f t="shared" si="16"/>
        <v>7.2030000000000003</v>
      </c>
      <c r="Z236" s="9"/>
      <c r="AA236" s="5" t="s">
        <v>12</v>
      </c>
      <c r="AB236" s="7" t="s">
        <v>1044</v>
      </c>
      <c r="AC236" s="5" t="s">
        <v>74</v>
      </c>
      <c r="AD236" s="3">
        <v>9</v>
      </c>
      <c r="AE236" s="5" t="s">
        <v>8</v>
      </c>
      <c r="AF236" s="5" t="s">
        <v>1328</v>
      </c>
      <c r="AG236" s="5" t="s">
        <v>8</v>
      </c>
      <c r="AH236" s="5" t="s">
        <v>8</v>
      </c>
      <c r="AI236" s="5" t="s">
        <v>8</v>
      </c>
      <c r="AJ236" s="5" t="s">
        <v>8</v>
      </c>
      <c r="AK236" s="5" t="s">
        <v>808</v>
      </c>
      <c r="AL236" s="5" t="s">
        <v>14</v>
      </c>
      <c r="AM236" s="5" t="s">
        <v>1028</v>
      </c>
      <c r="AN236" s="5" t="s">
        <v>18</v>
      </c>
      <c r="AO236" s="5" t="s">
        <v>18</v>
      </c>
      <c r="AP236" s="5" t="s">
        <v>805</v>
      </c>
      <c r="AQ236" s="5" t="s">
        <v>809</v>
      </c>
      <c r="AR236" s="27">
        <v>8.8999999999999995E-7</v>
      </c>
      <c r="AU236" s="27">
        <v>1.1000000000000001E-7</v>
      </c>
      <c r="AV236" s="27">
        <v>0.53</v>
      </c>
      <c r="AY236" s="27">
        <v>0.19</v>
      </c>
      <c r="AZ236" s="27">
        <v>7.8E-2</v>
      </c>
      <c r="BC236" s="27">
        <v>1.7000000000000001E-2</v>
      </c>
      <c r="BD236" s="58">
        <f t="shared" si="17"/>
        <v>1.5234954826333755</v>
      </c>
      <c r="BM236" s="58"/>
      <c r="BN236" s="27">
        <v>4.4800000000000005E-3</v>
      </c>
      <c r="BQ236" s="27">
        <v>4.6200000000000001E-4</v>
      </c>
      <c r="BZ236" s="27">
        <v>8.9999999999999993E-3</v>
      </c>
      <c r="CC236" s="27">
        <v>1.5E-3</v>
      </c>
      <c r="CD236" s="27">
        <v>34</v>
      </c>
      <c r="CG236" s="27">
        <v>12</v>
      </c>
      <c r="CH236" s="5">
        <v>9.4</v>
      </c>
      <c r="CK236" s="5">
        <v>12.5</v>
      </c>
    </row>
    <row r="237" spans="1:202" ht="13.15" hidden="1" customHeight="1" x14ac:dyDescent="0.2">
      <c r="A237" s="3" t="s">
        <v>1</v>
      </c>
      <c r="B237" s="4" t="s">
        <v>815</v>
      </c>
      <c r="C237" s="28">
        <v>2016</v>
      </c>
      <c r="D237" s="16">
        <v>109</v>
      </c>
      <c r="E237" s="16">
        <v>5</v>
      </c>
      <c r="F237" s="5" t="s">
        <v>1055</v>
      </c>
      <c r="G237" s="5" t="s">
        <v>16</v>
      </c>
      <c r="H237" s="5" t="s">
        <v>5</v>
      </c>
      <c r="I237" s="5" t="s">
        <v>6</v>
      </c>
      <c r="J237" s="5" t="s">
        <v>7</v>
      </c>
      <c r="K237" s="5" t="s">
        <v>1046</v>
      </c>
      <c r="L237" s="51" t="s">
        <v>52</v>
      </c>
      <c r="M237" s="5" t="s">
        <v>9</v>
      </c>
      <c r="N237" s="85">
        <v>3.1</v>
      </c>
      <c r="O237" s="85">
        <v>3.14</v>
      </c>
      <c r="P237" s="7" t="s">
        <v>71</v>
      </c>
      <c r="Q237" s="5" t="s">
        <v>39</v>
      </c>
      <c r="R237" s="5" t="s">
        <v>18</v>
      </c>
      <c r="S237" s="5" t="s">
        <v>807</v>
      </c>
      <c r="T237" s="5" t="s">
        <v>1335</v>
      </c>
      <c r="U237" s="9">
        <f>N237-0.497</f>
        <v>2.6030000000000002</v>
      </c>
      <c r="V237" s="9">
        <f t="shared" si="13"/>
        <v>-0.49025435692389696</v>
      </c>
      <c r="W237" s="9">
        <f>N237-1.06</f>
        <v>2.04</v>
      </c>
      <c r="X237" s="9">
        <f>N237+0.22</f>
        <v>3.3200000000000003</v>
      </c>
      <c r="Y237" s="9">
        <f>O237+1.11</f>
        <v>4.25</v>
      </c>
      <c r="Z237" s="9"/>
      <c r="AA237" s="5" t="s">
        <v>12</v>
      </c>
      <c r="AB237" s="7" t="s">
        <v>1044</v>
      </c>
      <c r="AC237" s="5" t="s">
        <v>74</v>
      </c>
      <c r="AD237" s="3">
        <v>9</v>
      </c>
      <c r="AE237" s="5" t="s">
        <v>14</v>
      </c>
      <c r="AF237" s="5" t="s">
        <v>1329</v>
      </c>
      <c r="AG237" s="5" t="s">
        <v>8</v>
      </c>
      <c r="AH237" s="5" t="s">
        <v>8</v>
      </c>
      <c r="AI237" s="5" t="s">
        <v>8</v>
      </c>
      <c r="AJ237" s="5" t="s">
        <v>8</v>
      </c>
      <c r="AK237" s="5" t="s">
        <v>1028</v>
      </c>
      <c r="AL237" s="5" t="s">
        <v>14</v>
      </c>
      <c r="AM237" s="5" t="s">
        <v>1028</v>
      </c>
      <c r="AN237" s="5" t="s">
        <v>18</v>
      </c>
      <c r="AO237" s="5" t="s">
        <v>18</v>
      </c>
      <c r="AP237" s="5" t="s">
        <v>816</v>
      </c>
      <c r="AQ237" s="5" t="s">
        <v>817</v>
      </c>
      <c r="BD237" s="58"/>
      <c r="BM237" s="58"/>
    </row>
    <row r="238" spans="1:202" ht="13.15" customHeight="1" x14ac:dyDescent="0.2">
      <c r="A238" s="3" t="s">
        <v>329</v>
      </c>
      <c r="B238" s="4" t="s">
        <v>416</v>
      </c>
      <c r="C238" s="28">
        <v>2017</v>
      </c>
      <c r="D238" s="16">
        <v>50</v>
      </c>
      <c r="E238" s="16">
        <v>1</v>
      </c>
      <c r="F238" s="5" t="s">
        <v>1103</v>
      </c>
      <c r="G238" s="19" t="s">
        <v>418</v>
      </c>
      <c r="H238" s="5" t="s">
        <v>93</v>
      </c>
      <c r="I238" s="5" t="s">
        <v>419</v>
      </c>
      <c r="J238" s="5" t="s">
        <v>25</v>
      </c>
      <c r="K238" s="5" t="s">
        <v>726</v>
      </c>
      <c r="L238" s="5" t="s">
        <v>8</v>
      </c>
      <c r="M238" s="5" t="s">
        <v>38</v>
      </c>
      <c r="N238" s="7">
        <v>0</v>
      </c>
      <c r="O238" s="7">
        <v>0</v>
      </c>
      <c r="P238" s="7" t="s">
        <v>420</v>
      </c>
      <c r="Q238" s="5" t="s">
        <v>293</v>
      </c>
      <c r="R238" s="5" t="s">
        <v>111</v>
      </c>
      <c r="S238" s="5" t="s">
        <v>403</v>
      </c>
      <c r="T238" s="5" t="s">
        <v>1335</v>
      </c>
      <c r="U238" s="9">
        <v>5.3</v>
      </c>
      <c r="V238" s="9">
        <f t="shared" si="13"/>
        <v>0.33534080146374112</v>
      </c>
      <c r="W238" s="9"/>
      <c r="X238" s="9"/>
      <c r="Y238" s="9">
        <v>3.79</v>
      </c>
      <c r="Z238" s="9"/>
      <c r="AA238" s="5" t="s">
        <v>12</v>
      </c>
      <c r="AB238" s="62" t="s">
        <v>1043</v>
      </c>
      <c r="AC238" s="5" t="s">
        <v>13</v>
      </c>
      <c r="AD238" s="3">
        <v>9</v>
      </c>
      <c r="AE238" s="5" t="s">
        <v>8</v>
      </c>
      <c r="AF238" s="5" t="s">
        <v>29</v>
      </c>
      <c r="AG238" s="5" t="s">
        <v>8</v>
      </c>
      <c r="AH238" s="5" t="s">
        <v>8</v>
      </c>
      <c r="AI238" s="5" t="s">
        <v>8</v>
      </c>
      <c r="AJ238" s="5" t="s">
        <v>8</v>
      </c>
      <c r="AK238" s="5" t="s">
        <v>421</v>
      </c>
      <c r="AL238" s="5" t="s">
        <v>8</v>
      </c>
      <c r="AM238" s="5" t="s">
        <v>422</v>
      </c>
      <c r="AN238" s="5" t="s">
        <v>67</v>
      </c>
      <c r="AO238" s="5" t="s">
        <v>1028</v>
      </c>
      <c r="AP238" s="19" t="s">
        <v>417</v>
      </c>
      <c r="AQ238" s="5" t="s">
        <v>423</v>
      </c>
      <c r="AZ238" s="12">
        <v>6.2100000000000002E-2</v>
      </c>
      <c r="BA238" s="12"/>
      <c r="BB238" s="12"/>
      <c r="BC238" s="12">
        <v>4.5999999999999999E-2</v>
      </c>
      <c r="BD238" s="58">
        <f>LN(AZ238/BC238)</f>
        <v>0.30010459245033816</v>
      </c>
      <c r="BE238" s="12"/>
      <c r="BF238" s="12"/>
      <c r="BG238" s="12"/>
      <c r="BH238" s="12"/>
      <c r="BI238" s="12">
        <v>6.0299999999999998E-3</v>
      </c>
      <c r="BJ238" s="12"/>
      <c r="BK238" s="12"/>
      <c r="BL238" s="12">
        <v>6.1000000000000004E-3</v>
      </c>
      <c r="BM238" s="58">
        <f>LN(BI238/BL238)</f>
        <v>-1.1541760440171571E-2</v>
      </c>
      <c r="EI238" s="12">
        <v>2.75E-2</v>
      </c>
      <c r="EJ238" s="12"/>
      <c r="EK238" s="12"/>
      <c r="EL238" s="12">
        <v>3.0599999999999999E-2</v>
      </c>
      <c r="GI238" s="9">
        <v>1.25</v>
      </c>
      <c r="GJ238" s="9"/>
      <c r="GK238" s="9"/>
      <c r="GL238" s="9">
        <v>1.41</v>
      </c>
    </row>
    <row r="239" spans="1:202" s="114" customFormat="1" ht="13.15" customHeight="1" x14ac:dyDescent="0.2">
      <c r="A239" s="114" t="s">
        <v>329</v>
      </c>
      <c r="B239" s="115" t="s">
        <v>815</v>
      </c>
      <c r="C239" s="116">
        <v>2016</v>
      </c>
      <c r="D239" s="117">
        <v>109</v>
      </c>
      <c r="E239" s="117">
        <v>4</v>
      </c>
      <c r="F239" s="114" t="s">
        <v>862</v>
      </c>
      <c r="G239" s="5" t="s">
        <v>16</v>
      </c>
      <c r="H239" s="5" t="s">
        <v>5</v>
      </c>
      <c r="I239" s="5" t="s">
        <v>818</v>
      </c>
      <c r="J239" s="5" t="s">
        <v>90</v>
      </c>
      <c r="K239" s="48" t="s">
        <v>1046</v>
      </c>
      <c r="L239" s="51" t="s">
        <v>52</v>
      </c>
      <c r="M239" s="5" t="s">
        <v>9</v>
      </c>
      <c r="N239" s="85">
        <v>2</v>
      </c>
      <c r="O239" s="85">
        <v>3.13</v>
      </c>
      <c r="P239" s="118" t="s">
        <v>333</v>
      </c>
      <c r="Q239" s="114" t="s">
        <v>39</v>
      </c>
      <c r="R239" s="114" t="s">
        <v>18</v>
      </c>
      <c r="S239" s="114" t="s">
        <v>807</v>
      </c>
      <c r="T239" s="114" t="s">
        <v>1335</v>
      </c>
      <c r="U239" s="119">
        <f>N239+3.02</f>
        <v>5.0199999999999996</v>
      </c>
      <c r="V239" s="119">
        <f t="shared" si="13"/>
        <v>-4.4798142899894595E-2</v>
      </c>
      <c r="W239" s="119">
        <f>N239+1.55</f>
        <v>3.55</v>
      </c>
      <c r="X239" s="119">
        <f>N239+6.71</f>
        <v>8.7100000000000009</v>
      </c>
      <c r="Y239" s="119">
        <f>O239+2.12</f>
        <v>5.25</v>
      </c>
      <c r="Z239" s="119"/>
      <c r="AA239" s="114" t="s">
        <v>12</v>
      </c>
      <c r="AB239" s="118" t="s">
        <v>1044</v>
      </c>
      <c r="AC239" s="114" t="s">
        <v>74</v>
      </c>
      <c r="AD239" s="114">
        <v>9</v>
      </c>
      <c r="AE239" s="114" t="s">
        <v>14</v>
      </c>
      <c r="AF239" s="114" t="s">
        <v>1329</v>
      </c>
      <c r="AG239" s="114" t="s">
        <v>8</v>
      </c>
      <c r="AH239" s="114" t="s">
        <v>8</v>
      </c>
      <c r="AI239" s="114" t="s">
        <v>8</v>
      </c>
      <c r="AJ239" s="114" t="s">
        <v>8</v>
      </c>
      <c r="AK239" s="114" t="s">
        <v>1028</v>
      </c>
      <c r="AL239" s="114" t="s">
        <v>14</v>
      </c>
      <c r="AM239" s="114" t="s">
        <v>1028</v>
      </c>
      <c r="AN239" s="114" t="s">
        <v>18</v>
      </c>
      <c r="AO239" s="114" t="s">
        <v>18</v>
      </c>
      <c r="AP239" s="114" t="s">
        <v>816</v>
      </c>
      <c r="AQ239" s="114" t="s">
        <v>817</v>
      </c>
      <c r="BD239" s="123"/>
      <c r="BM239" s="123"/>
      <c r="CX239" s="125"/>
    </row>
    <row r="240" spans="1:202" ht="13.15" hidden="1" customHeight="1" x14ac:dyDescent="0.2">
      <c r="A240" s="3" t="s">
        <v>329</v>
      </c>
      <c r="B240" s="4" t="s">
        <v>772</v>
      </c>
      <c r="C240" s="28">
        <v>2014</v>
      </c>
      <c r="D240" s="16">
        <v>101</v>
      </c>
      <c r="E240" s="16">
        <v>2</v>
      </c>
      <c r="F240" s="5" t="s">
        <v>867</v>
      </c>
      <c r="G240" s="5" t="s">
        <v>770</v>
      </c>
      <c r="H240" s="5" t="s">
        <v>5</v>
      </c>
      <c r="I240" s="5" t="s">
        <v>774</v>
      </c>
      <c r="J240" s="5" t="s">
        <v>7</v>
      </c>
      <c r="K240" s="5" t="s">
        <v>1046</v>
      </c>
      <c r="L240" s="5" t="s">
        <v>1049</v>
      </c>
      <c r="M240" s="5" t="s">
        <v>9</v>
      </c>
      <c r="N240" s="85">
        <v>1.47</v>
      </c>
      <c r="O240" s="85">
        <v>2.29</v>
      </c>
      <c r="P240" s="7" t="s">
        <v>866</v>
      </c>
      <c r="Q240" s="5" t="s">
        <v>39</v>
      </c>
      <c r="R240" s="5" t="s">
        <v>443</v>
      </c>
      <c r="S240" s="5" t="s">
        <v>775</v>
      </c>
      <c r="T240" s="5" t="s">
        <v>1335</v>
      </c>
      <c r="U240" s="9">
        <f>N240+(45.6/16.26)</f>
        <v>4.2744280442804428</v>
      </c>
      <c r="V240" s="9">
        <f t="shared" si="13"/>
        <v>-0.41222604052772599</v>
      </c>
      <c r="W240" s="9"/>
      <c r="X240" s="9"/>
      <c r="Y240" s="9">
        <f>O240+(68.1/16.35)</f>
        <v>6.4551376146788986</v>
      </c>
      <c r="Z240" s="9"/>
      <c r="AA240" s="5" t="s">
        <v>12</v>
      </c>
      <c r="AB240" s="7" t="s">
        <v>1044</v>
      </c>
      <c r="AC240" s="5" t="s">
        <v>74</v>
      </c>
      <c r="AD240" s="3">
        <v>9</v>
      </c>
      <c r="AE240" s="5" t="s">
        <v>8</v>
      </c>
      <c r="AF240" s="5" t="s">
        <v>1323</v>
      </c>
      <c r="AG240" s="5" t="s">
        <v>14</v>
      </c>
      <c r="AH240" s="5" t="s">
        <v>8</v>
      </c>
      <c r="AI240" s="5" t="s">
        <v>14</v>
      </c>
      <c r="AJ240" s="5" t="s">
        <v>8</v>
      </c>
      <c r="AK240" s="5" t="s">
        <v>210</v>
      </c>
      <c r="AL240" s="5" t="s">
        <v>8</v>
      </c>
      <c r="AM240" s="5" t="s">
        <v>1028</v>
      </c>
      <c r="AN240" s="5" t="s">
        <v>680</v>
      </c>
      <c r="AO240" s="5" t="s">
        <v>680</v>
      </c>
      <c r="AP240" s="5" t="s">
        <v>773</v>
      </c>
      <c r="AQ240" s="5" t="s">
        <v>776</v>
      </c>
      <c r="AZ240" s="5">
        <f>0.292/16.26</f>
        <v>1.7958179581795814E-2</v>
      </c>
      <c r="BC240" s="5">
        <f>0.259/16.35</f>
        <v>1.584097859327217E-2</v>
      </c>
      <c r="BD240" s="58">
        <f>LN(AZ240/BC240)</f>
        <v>0.12544553379234183</v>
      </c>
      <c r="BI240" s="5">
        <f>0.066/16.26</f>
        <v>4.0590405904059037E-3</v>
      </c>
      <c r="BL240" s="5">
        <f>0.024/16.35</f>
        <v>1.4678899082568807E-3</v>
      </c>
      <c r="BM240" s="58">
        <f>LN(BI240/BL240)</f>
        <v>1.0171207049020778</v>
      </c>
      <c r="CT240" s="5">
        <f>695/16.26</f>
        <v>42.742927429274289</v>
      </c>
      <c r="CW240" s="5">
        <f>2110/16.35</f>
        <v>129.05198776758408</v>
      </c>
      <c r="CX240" s="59">
        <f>LN(CT240/CW240)</f>
        <v>-1.1050115876817221</v>
      </c>
      <c r="DK240" s="5">
        <f>1.45/16.26</f>
        <v>8.9175891758917575E-2</v>
      </c>
      <c r="DN240" s="5">
        <f>35.55/16.35</f>
        <v>2.1743119266055042</v>
      </c>
    </row>
    <row r="241" spans="1:202" s="48" customFormat="1" ht="13.15" hidden="1" customHeight="1" x14ac:dyDescent="0.2">
      <c r="A241" s="3" t="s">
        <v>329</v>
      </c>
      <c r="B241" s="4" t="s">
        <v>772</v>
      </c>
      <c r="C241" s="28">
        <v>2014</v>
      </c>
      <c r="D241" s="16">
        <v>101</v>
      </c>
      <c r="E241" s="16">
        <v>1</v>
      </c>
      <c r="F241" s="5" t="s">
        <v>867</v>
      </c>
      <c r="G241" s="5" t="s">
        <v>16</v>
      </c>
      <c r="H241" s="5" t="s">
        <v>5</v>
      </c>
      <c r="I241" s="5" t="s">
        <v>774</v>
      </c>
      <c r="J241" s="5" t="s">
        <v>7</v>
      </c>
      <c r="K241" s="5" t="s">
        <v>1046</v>
      </c>
      <c r="L241" s="5" t="s">
        <v>1049</v>
      </c>
      <c r="M241" s="5" t="s">
        <v>9</v>
      </c>
      <c r="N241" s="85">
        <v>1.47</v>
      </c>
      <c r="O241" s="85">
        <v>2.29</v>
      </c>
      <c r="P241" s="7" t="s">
        <v>866</v>
      </c>
      <c r="Q241" s="5" t="s">
        <v>39</v>
      </c>
      <c r="R241" s="5" t="s">
        <v>443</v>
      </c>
      <c r="S241" s="5" t="s">
        <v>775</v>
      </c>
      <c r="T241" s="5" t="s">
        <v>1335</v>
      </c>
      <c r="U241" s="9">
        <f>N241+(61.1/16.26)</f>
        <v>5.227687576875768</v>
      </c>
      <c r="V241" s="9">
        <f t="shared" si="13"/>
        <v>-0.21090730876541761</v>
      </c>
      <c r="W241" s="9"/>
      <c r="X241" s="9"/>
      <c r="Y241" s="9">
        <f>O241+(68.1/16.35)</f>
        <v>6.4551376146788986</v>
      </c>
      <c r="Z241" s="9"/>
      <c r="AA241" s="5" t="s">
        <v>12</v>
      </c>
      <c r="AB241" s="7" t="s">
        <v>1044</v>
      </c>
      <c r="AC241" s="5" t="s">
        <v>74</v>
      </c>
      <c r="AD241" s="3">
        <v>9</v>
      </c>
      <c r="AE241" s="5" t="s">
        <v>8</v>
      </c>
      <c r="AF241" s="5" t="s">
        <v>1323</v>
      </c>
      <c r="AG241" s="5" t="s">
        <v>8</v>
      </c>
      <c r="AH241" s="5" t="s">
        <v>8</v>
      </c>
      <c r="AI241" s="5" t="s">
        <v>8</v>
      </c>
      <c r="AJ241" s="5" t="s">
        <v>8</v>
      </c>
      <c r="AK241" s="5" t="s">
        <v>210</v>
      </c>
      <c r="AL241" s="5" t="s">
        <v>8</v>
      </c>
      <c r="AM241" s="5" t="s">
        <v>1028</v>
      </c>
      <c r="AN241" s="5" t="s">
        <v>680</v>
      </c>
      <c r="AO241" s="5" t="s">
        <v>680</v>
      </c>
      <c r="AP241" s="5" t="s">
        <v>773</v>
      </c>
      <c r="AQ241" s="5" t="s">
        <v>776</v>
      </c>
      <c r="AR241" s="5"/>
      <c r="AS241" s="5"/>
      <c r="AT241" s="5"/>
      <c r="AU241" s="5"/>
      <c r="AV241" s="5"/>
      <c r="AW241" s="5"/>
      <c r="AX241" s="5"/>
      <c r="AY241" s="5"/>
      <c r="AZ241" s="5">
        <f>0.318/16.26</f>
        <v>1.9557195571955718E-2</v>
      </c>
      <c r="BA241" s="5"/>
      <c r="BB241" s="5"/>
      <c r="BC241" s="5">
        <f>0.259/16.35</f>
        <v>1.584097859327217E-2</v>
      </c>
      <c r="BD241" s="58">
        <f>LN(AZ241/BC241)</f>
        <v>0.21074311430423703</v>
      </c>
      <c r="BE241" s="5"/>
      <c r="BF241" s="5"/>
      <c r="BG241" s="5"/>
      <c r="BH241" s="5"/>
      <c r="BI241" s="5">
        <f>0.159/16.26</f>
        <v>9.7785977859778592E-3</v>
      </c>
      <c r="BJ241" s="5"/>
      <c r="BK241" s="5"/>
      <c r="BL241" s="5">
        <f>0.024/16.35</f>
        <v>1.4678899082568807E-3</v>
      </c>
      <c r="BM241" s="58">
        <f>LN(BI241/BL241)</f>
        <v>1.8963701650958837</v>
      </c>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f>790/16.26</f>
        <v>48.585485854858547</v>
      </c>
      <c r="CU241" s="5"/>
      <c r="CV241" s="5"/>
      <c r="CW241" s="5">
        <f>2110/16.35</f>
        <v>129.05198776758408</v>
      </c>
      <c r="CX241" s="59">
        <f>LN(CT241/CW241)</f>
        <v>-0.97689048778544707</v>
      </c>
      <c r="CY241" s="5"/>
      <c r="CZ241" s="5"/>
      <c r="DA241" s="5"/>
      <c r="DB241" s="5"/>
      <c r="DC241" s="5"/>
      <c r="DD241" s="5"/>
      <c r="DE241" s="5"/>
      <c r="DF241" s="5"/>
      <c r="DG241" s="5"/>
      <c r="DH241" s="5"/>
      <c r="DI241" s="5"/>
      <c r="DJ241" s="5"/>
      <c r="DK241" s="5">
        <f>2.78/16.26</f>
        <v>0.17097170971709713</v>
      </c>
      <c r="DL241" s="5"/>
      <c r="DM241" s="5"/>
      <c r="DN241" s="5">
        <f>35.55/16.35</f>
        <v>2.1743119266055042</v>
      </c>
      <c r="DO241" s="5"/>
      <c r="DP241" s="5"/>
      <c r="DQ241" s="5"/>
      <c r="DR241" s="5"/>
      <c r="DS241" s="5"/>
      <c r="DT241" s="5"/>
      <c r="DU241" s="5"/>
      <c r="DV241" s="5"/>
      <c r="DW241" s="5"/>
      <c r="DX241" s="5"/>
      <c r="DY241" s="5"/>
      <c r="DZ241" s="5"/>
      <c r="EA241" s="5"/>
      <c r="EB241" s="5"/>
      <c r="EC241" s="5"/>
      <c r="ED241" s="5"/>
      <c r="EE241" s="5"/>
      <c r="EF241" s="5"/>
      <c r="EG241" s="5"/>
      <c r="EH241" s="5"/>
      <c r="EI241" s="5"/>
      <c r="EJ241" s="5"/>
      <c r="EK241" s="5"/>
      <c r="EL241" s="5"/>
      <c r="EM241" s="5"/>
      <c r="EN241" s="5"/>
      <c r="EO241" s="5"/>
      <c r="EP241" s="5"/>
      <c r="EQ241" s="5"/>
      <c r="ER241" s="5"/>
      <c r="ES241" s="5"/>
      <c r="ET241" s="5"/>
      <c r="EU241" s="5"/>
      <c r="EV241" s="5"/>
      <c r="EW241" s="5"/>
      <c r="EX241" s="5"/>
      <c r="EY241" s="5"/>
      <c r="EZ241" s="5"/>
      <c r="FA241" s="5"/>
      <c r="FB241" s="5"/>
      <c r="FC241" s="5"/>
      <c r="FD241" s="5"/>
      <c r="FE241" s="5"/>
      <c r="FF241" s="5"/>
      <c r="FG241" s="5"/>
      <c r="FH241" s="5"/>
      <c r="FI241" s="5"/>
      <c r="FJ241" s="5"/>
      <c r="FK241" s="5"/>
      <c r="FL241" s="5"/>
      <c r="FM241" s="5"/>
      <c r="FN241" s="5"/>
      <c r="FO241" s="5"/>
      <c r="FP241" s="5"/>
      <c r="FQ241" s="5"/>
      <c r="FR241" s="5"/>
      <c r="FS241" s="5"/>
      <c r="FT241" s="5"/>
      <c r="FU241" s="5"/>
      <c r="FV241" s="5"/>
      <c r="FW241" s="5"/>
      <c r="FX241" s="5"/>
      <c r="FY241" s="5"/>
      <c r="FZ241" s="5"/>
      <c r="GA241" s="5"/>
      <c r="GB241" s="5"/>
      <c r="GC241" s="5"/>
      <c r="GD241" s="5"/>
      <c r="GE241" s="5"/>
      <c r="GF241" s="5"/>
      <c r="GG241" s="5"/>
      <c r="GH241" s="5"/>
      <c r="GI241" s="5"/>
      <c r="GJ241" s="5"/>
      <c r="GK241" s="5"/>
      <c r="GL241" s="5"/>
      <c r="GM241" s="5"/>
      <c r="GN241" s="5"/>
      <c r="GO241" s="5"/>
      <c r="GP241" s="5"/>
      <c r="GQ241" s="5"/>
      <c r="GR241" s="5"/>
      <c r="GS241" s="5"/>
      <c r="GT241" s="5"/>
    </row>
    <row r="242" spans="1:202" s="48" customFormat="1" ht="13.15" hidden="1" customHeight="1" x14ac:dyDescent="0.2">
      <c r="A242" s="3" t="s">
        <v>329</v>
      </c>
      <c r="B242" s="4" t="s">
        <v>815</v>
      </c>
      <c r="C242" s="28">
        <v>2016</v>
      </c>
      <c r="D242" s="16">
        <v>109</v>
      </c>
      <c r="E242" s="16">
        <v>1</v>
      </c>
      <c r="F242" s="5" t="s">
        <v>867</v>
      </c>
      <c r="G242" s="5" t="s">
        <v>16</v>
      </c>
      <c r="H242" s="5" t="s">
        <v>5</v>
      </c>
      <c r="I242" s="5" t="s">
        <v>6</v>
      </c>
      <c r="J242" s="5" t="s">
        <v>7</v>
      </c>
      <c r="K242" s="5" t="s">
        <v>1046</v>
      </c>
      <c r="L242" s="51" t="s">
        <v>52</v>
      </c>
      <c r="M242" s="5" t="s">
        <v>9</v>
      </c>
      <c r="N242" s="85">
        <v>1.8</v>
      </c>
      <c r="O242" s="85">
        <v>2.29</v>
      </c>
      <c r="P242" s="7" t="s">
        <v>1027</v>
      </c>
      <c r="Q242" s="5" t="s">
        <v>39</v>
      </c>
      <c r="R242" s="5" t="s">
        <v>18</v>
      </c>
      <c r="S242" s="5" t="s">
        <v>807</v>
      </c>
      <c r="T242" s="5" t="s">
        <v>1335</v>
      </c>
      <c r="U242" s="9">
        <f>N242+1.4</f>
        <v>3.2</v>
      </c>
      <c r="V242" s="9">
        <f t="shared" si="13"/>
        <v>-0.39709685843764769</v>
      </c>
      <c r="W242" s="9">
        <f>N242+1.04</f>
        <v>2.84</v>
      </c>
      <c r="X242" s="9">
        <f>N242+1.82</f>
        <v>3.62</v>
      </c>
      <c r="Y242" s="9">
        <f>O242+2.47</f>
        <v>4.76</v>
      </c>
      <c r="Z242" s="9"/>
      <c r="AA242" s="5" t="s">
        <v>12</v>
      </c>
      <c r="AB242" s="7" t="s">
        <v>1044</v>
      </c>
      <c r="AC242" s="5" t="s">
        <v>74</v>
      </c>
      <c r="AD242" s="3">
        <v>9</v>
      </c>
      <c r="AE242" s="5" t="s">
        <v>14</v>
      </c>
      <c r="AF242" s="5" t="s">
        <v>1329</v>
      </c>
      <c r="AG242" s="5" t="s">
        <v>8</v>
      </c>
      <c r="AH242" s="5" t="s">
        <v>8</v>
      </c>
      <c r="AI242" s="5" t="s">
        <v>8</v>
      </c>
      <c r="AJ242" s="5" t="s">
        <v>8</v>
      </c>
      <c r="AK242" s="5" t="s">
        <v>1028</v>
      </c>
      <c r="AL242" s="5" t="s">
        <v>14</v>
      </c>
      <c r="AM242" s="5" t="s">
        <v>1028</v>
      </c>
      <c r="AN242" s="5" t="s">
        <v>18</v>
      </c>
      <c r="AO242" s="5" t="s">
        <v>18</v>
      </c>
      <c r="AP242" s="5" t="s">
        <v>816</v>
      </c>
      <c r="AQ242" s="5" t="s">
        <v>817</v>
      </c>
      <c r="AR242" s="5"/>
      <c r="AS242" s="5"/>
      <c r="AT242" s="5"/>
      <c r="AU242" s="5"/>
      <c r="AV242" s="5"/>
      <c r="AW242" s="5"/>
      <c r="AX242" s="5"/>
      <c r="AY242" s="5"/>
      <c r="AZ242" s="5"/>
      <c r="BA242" s="5"/>
      <c r="BB242" s="5"/>
      <c r="BC242" s="5"/>
      <c r="BD242" s="58"/>
      <c r="BE242" s="5"/>
      <c r="BF242" s="5"/>
      <c r="BG242" s="5"/>
      <c r="BH242" s="5"/>
      <c r="BI242" s="5"/>
      <c r="BJ242" s="5"/>
      <c r="BK242" s="5"/>
      <c r="BL242" s="5"/>
      <c r="BM242" s="58"/>
      <c r="BN242" s="5"/>
      <c r="BO242" s="5"/>
      <c r="BP242" s="5"/>
      <c r="BQ242" s="5"/>
      <c r="BR242" s="5"/>
      <c r="BS242" s="5"/>
      <c r="BT242" s="5"/>
      <c r="BU242" s="5"/>
      <c r="BV242" s="5"/>
      <c r="BW242" s="5"/>
      <c r="BX242" s="5"/>
      <c r="BY242" s="5"/>
      <c r="BZ242" s="5"/>
      <c r="CA242" s="5"/>
      <c r="CB242" s="5"/>
      <c r="CC242" s="5"/>
      <c r="CD242" s="5"/>
      <c r="CE242" s="5"/>
      <c r="CF242" s="5"/>
      <c r="CG242" s="5"/>
      <c r="CH242" s="5"/>
      <c r="CI242" s="5"/>
      <c r="CJ242" s="5"/>
      <c r="CK242" s="5"/>
      <c r="CL242" s="5"/>
      <c r="CM242" s="5"/>
      <c r="CN242" s="5"/>
      <c r="CO242" s="5"/>
      <c r="CP242" s="5"/>
      <c r="CQ242" s="5"/>
      <c r="CR242" s="5"/>
      <c r="CS242" s="5"/>
      <c r="CT242" s="5"/>
      <c r="CU242" s="5"/>
      <c r="CV242" s="5"/>
      <c r="CW242" s="5"/>
      <c r="CX242" s="59"/>
      <c r="CY242" s="5"/>
      <c r="CZ242" s="5"/>
      <c r="DA242" s="5"/>
      <c r="DB242" s="5"/>
      <c r="DC242" s="5"/>
      <c r="DD242" s="5"/>
      <c r="DE242" s="5"/>
      <c r="DF242" s="5"/>
      <c r="DG242" s="5"/>
      <c r="DH242" s="5"/>
      <c r="DI242" s="5"/>
      <c r="DJ242" s="5"/>
      <c r="DK242" s="5"/>
      <c r="DL242" s="5"/>
      <c r="DM242" s="5"/>
      <c r="DN242" s="5"/>
      <c r="DO242" s="5"/>
      <c r="DP242" s="5"/>
      <c r="DQ242" s="5"/>
      <c r="DR242" s="5"/>
      <c r="DS242" s="5"/>
      <c r="DT242" s="5"/>
      <c r="DU242" s="5"/>
      <c r="DV242" s="5"/>
      <c r="DW242" s="5"/>
      <c r="DX242" s="5"/>
      <c r="DY242" s="5"/>
      <c r="DZ242" s="5"/>
      <c r="EA242" s="5"/>
      <c r="EB242" s="5"/>
      <c r="EC242" s="5"/>
      <c r="ED242" s="5"/>
      <c r="EE242" s="5"/>
      <c r="EF242" s="5"/>
      <c r="EG242" s="5"/>
      <c r="EH242" s="5"/>
      <c r="EI242" s="5"/>
      <c r="EJ242" s="5"/>
      <c r="EK242" s="5"/>
      <c r="EL242" s="5"/>
      <c r="EM242" s="5"/>
      <c r="EN242" s="5"/>
      <c r="EO242" s="5"/>
      <c r="EP242" s="5"/>
      <c r="EQ242" s="5"/>
      <c r="ER242" s="5"/>
      <c r="ES242" s="5"/>
      <c r="ET242" s="5"/>
      <c r="EU242" s="5"/>
      <c r="EV242" s="5"/>
      <c r="EW242" s="5"/>
      <c r="EX242" s="5"/>
      <c r="EY242" s="5"/>
      <c r="EZ242" s="5"/>
      <c r="FA242" s="5"/>
      <c r="FB242" s="5"/>
      <c r="FC242" s="5"/>
      <c r="FD242" s="5"/>
      <c r="FE242" s="5"/>
      <c r="FF242" s="5"/>
      <c r="FG242" s="5"/>
      <c r="FH242" s="5"/>
      <c r="FI242" s="5"/>
      <c r="FJ242" s="5"/>
      <c r="FK242" s="5"/>
      <c r="FL242" s="5"/>
      <c r="FM242" s="5"/>
      <c r="FN242" s="5"/>
      <c r="FO242" s="5"/>
      <c r="FP242" s="5"/>
      <c r="FQ242" s="5"/>
      <c r="FR242" s="5"/>
      <c r="FS242" s="5"/>
      <c r="FT242" s="5"/>
      <c r="FU242" s="5"/>
      <c r="FV242" s="5"/>
      <c r="FW242" s="5"/>
      <c r="FX242" s="5"/>
      <c r="FY242" s="5"/>
      <c r="FZ242" s="5"/>
      <c r="GA242" s="5"/>
      <c r="GB242" s="5"/>
      <c r="GC242" s="5"/>
      <c r="GD242" s="5"/>
      <c r="GE242" s="5"/>
      <c r="GF242" s="5"/>
      <c r="GG242" s="5"/>
      <c r="GH242" s="5"/>
      <c r="GI242" s="5"/>
      <c r="GJ242" s="5"/>
      <c r="GK242" s="5"/>
      <c r="GL242" s="5"/>
      <c r="GM242" s="5"/>
      <c r="GN242" s="5"/>
      <c r="GO242" s="5"/>
      <c r="GP242" s="5"/>
      <c r="GQ242" s="5"/>
      <c r="GR242" s="5"/>
      <c r="GS242" s="5"/>
      <c r="GT242" s="5"/>
    </row>
    <row r="243" spans="1:202" s="48" customFormat="1" ht="13.15" hidden="1" customHeight="1" x14ac:dyDescent="0.2">
      <c r="A243" s="29" t="s">
        <v>1</v>
      </c>
      <c r="B243" s="47" t="s">
        <v>815</v>
      </c>
      <c r="C243" s="78">
        <v>2016</v>
      </c>
      <c r="D243" s="16">
        <v>109</v>
      </c>
      <c r="E243" s="49">
        <v>6</v>
      </c>
      <c r="F243" s="5" t="s">
        <v>1055</v>
      </c>
      <c r="G243" s="48" t="s">
        <v>16</v>
      </c>
      <c r="H243" s="48" t="s">
        <v>5</v>
      </c>
      <c r="I243" s="48" t="s">
        <v>818</v>
      </c>
      <c r="J243" s="48" t="s">
        <v>90</v>
      </c>
      <c r="K243" s="48" t="s">
        <v>1046</v>
      </c>
      <c r="L243" s="51" t="s">
        <v>52</v>
      </c>
      <c r="M243" s="48" t="s">
        <v>9</v>
      </c>
      <c r="N243" s="95">
        <v>3.1</v>
      </c>
      <c r="O243" s="95">
        <v>3.14</v>
      </c>
      <c r="P243" s="50" t="s">
        <v>71</v>
      </c>
      <c r="Q243" s="48" t="s">
        <v>39</v>
      </c>
      <c r="R243" s="48" t="s">
        <v>18</v>
      </c>
      <c r="S243" s="48" t="s">
        <v>807</v>
      </c>
      <c r="T243" s="5" t="s">
        <v>1335</v>
      </c>
      <c r="U243" s="101">
        <f>N243+1.6</f>
        <v>4.7</v>
      </c>
      <c r="V243" s="9">
        <f t="shared" si="13"/>
        <v>0.10064352577968751</v>
      </c>
      <c r="W243" s="101">
        <f>N242+0.277</f>
        <v>2.077</v>
      </c>
      <c r="X243" s="101">
        <f>N242+3.36</f>
        <v>5.16</v>
      </c>
      <c r="Y243" s="101">
        <f>O243+1.11</f>
        <v>4.25</v>
      </c>
      <c r="Z243" s="101"/>
      <c r="AA243" s="48" t="s">
        <v>12</v>
      </c>
      <c r="AB243" s="7" t="s">
        <v>1044</v>
      </c>
      <c r="AC243" s="48" t="s">
        <v>74</v>
      </c>
      <c r="AD243" s="3">
        <v>9</v>
      </c>
      <c r="AE243" s="48" t="s">
        <v>14</v>
      </c>
      <c r="AF243" s="5" t="s">
        <v>1329</v>
      </c>
      <c r="AG243" s="48" t="s">
        <v>8</v>
      </c>
      <c r="AH243" s="48" t="s">
        <v>8</v>
      </c>
      <c r="AI243" s="48" t="s">
        <v>8</v>
      </c>
      <c r="AJ243" s="48" t="s">
        <v>8</v>
      </c>
      <c r="AK243" s="5" t="s">
        <v>1028</v>
      </c>
      <c r="AL243" s="48" t="s">
        <v>14</v>
      </c>
      <c r="AM243" s="5" t="s">
        <v>1028</v>
      </c>
      <c r="AN243" s="48" t="s">
        <v>18</v>
      </c>
      <c r="AO243" s="48" t="s">
        <v>18</v>
      </c>
      <c r="AP243" s="48" t="s">
        <v>816</v>
      </c>
      <c r="AQ243" s="48" t="s">
        <v>817</v>
      </c>
      <c r="BD243" s="58"/>
      <c r="BM243" s="58"/>
      <c r="CX243" s="59"/>
      <c r="FW243" s="48">
        <v>0.74811000000000005</v>
      </c>
      <c r="FZ243" s="48">
        <v>1.5178</v>
      </c>
    </row>
    <row r="244" spans="1:202" s="48" customFormat="1" ht="13.15" customHeight="1" x14ac:dyDescent="0.2">
      <c r="A244" s="3" t="s">
        <v>329</v>
      </c>
      <c r="B244" s="4" t="s">
        <v>815</v>
      </c>
      <c r="C244" s="28">
        <v>2016</v>
      </c>
      <c r="D244" s="16">
        <v>109</v>
      </c>
      <c r="E244" s="16">
        <v>2</v>
      </c>
      <c r="F244" s="5" t="s">
        <v>867</v>
      </c>
      <c r="G244" s="5" t="s">
        <v>16</v>
      </c>
      <c r="H244" s="5" t="s">
        <v>5</v>
      </c>
      <c r="I244" s="5" t="s">
        <v>818</v>
      </c>
      <c r="J244" s="5" t="s">
        <v>90</v>
      </c>
      <c r="K244" s="5" t="s">
        <v>1046</v>
      </c>
      <c r="L244" s="51" t="s">
        <v>52</v>
      </c>
      <c r="M244" s="5" t="s">
        <v>9</v>
      </c>
      <c r="N244" s="85">
        <v>1.8</v>
      </c>
      <c r="O244" s="85">
        <v>2.29</v>
      </c>
      <c r="P244" s="7" t="s">
        <v>1027</v>
      </c>
      <c r="Q244" s="5" t="s">
        <v>39</v>
      </c>
      <c r="R244" s="5" t="s">
        <v>18</v>
      </c>
      <c r="S244" s="5" t="s">
        <v>807</v>
      </c>
      <c r="T244" s="5" t="s">
        <v>1335</v>
      </c>
      <c r="U244" s="9">
        <f>N244+1.31</f>
        <v>3.1100000000000003</v>
      </c>
      <c r="V244" s="9">
        <f t="shared" si="13"/>
        <v>-0.42562494205218571</v>
      </c>
      <c r="W244" s="9">
        <f>N244+0.87</f>
        <v>2.67</v>
      </c>
      <c r="X244" s="9">
        <f>N244+1.97</f>
        <v>3.77</v>
      </c>
      <c r="Y244" s="9">
        <f>O244+2.47</f>
        <v>4.76</v>
      </c>
      <c r="Z244" s="9"/>
      <c r="AA244" s="5" t="s">
        <v>12</v>
      </c>
      <c r="AB244" s="7" t="s">
        <v>1044</v>
      </c>
      <c r="AC244" s="5" t="s">
        <v>74</v>
      </c>
      <c r="AD244" s="3">
        <v>9</v>
      </c>
      <c r="AE244" s="5" t="s">
        <v>14</v>
      </c>
      <c r="AF244" s="5" t="s">
        <v>1329</v>
      </c>
      <c r="AG244" s="5" t="s">
        <v>8</v>
      </c>
      <c r="AH244" s="5" t="s">
        <v>8</v>
      </c>
      <c r="AI244" s="5" t="s">
        <v>8</v>
      </c>
      <c r="AJ244" s="5" t="s">
        <v>8</v>
      </c>
      <c r="AK244" s="5" t="s">
        <v>1028</v>
      </c>
      <c r="AL244" s="5" t="s">
        <v>14</v>
      </c>
      <c r="AM244" s="5" t="s">
        <v>1028</v>
      </c>
      <c r="AN244" s="5" t="s">
        <v>18</v>
      </c>
      <c r="AO244" s="5" t="s">
        <v>18</v>
      </c>
      <c r="AP244" s="5" t="s">
        <v>816</v>
      </c>
      <c r="AQ244" s="5" t="s">
        <v>817</v>
      </c>
      <c r="AR244" s="5"/>
      <c r="AS244" s="5"/>
      <c r="AT244" s="5"/>
      <c r="AU244" s="5"/>
      <c r="AV244" s="5"/>
      <c r="AW244" s="5"/>
      <c r="AX244" s="5"/>
      <c r="AY244" s="5"/>
      <c r="AZ244" s="5"/>
      <c r="BA244" s="5"/>
      <c r="BB244" s="5"/>
      <c r="BC244" s="5"/>
      <c r="BD244" s="58"/>
      <c r="BE244" s="5"/>
      <c r="BF244" s="5"/>
      <c r="BG244" s="5"/>
      <c r="BH244" s="5"/>
      <c r="BI244" s="5"/>
      <c r="BJ244" s="5"/>
      <c r="BK244" s="5"/>
      <c r="BL244" s="5"/>
      <c r="BM244" s="58"/>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c r="CS244" s="5"/>
      <c r="CT244" s="5"/>
      <c r="CU244" s="5"/>
      <c r="CV244" s="5"/>
      <c r="CW244" s="5"/>
      <c r="CX244" s="59"/>
      <c r="CY244" s="5"/>
      <c r="CZ244" s="5"/>
      <c r="DA244" s="5"/>
      <c r="DB244" s="5"/>
      <c r="DC244" s="5"/>
      <c r="DD244" s="5"/>
      <c r="DE244" s="5"/>
      <c r="DF244" s="5"/>
      <c r="DG244" s="5"/>
      <c r="DH244" s="5"/>
      <c r="DI244" s="5"/>
      <c r="DJ244" s="5"/>
      <c r="DK244" s="5"/>
      <c r="DL244" s="5"/>
      <c r="DM244" s="5"/>
      <c r="DN244" s="5"/>
      <c r="DO244" s="5"/>
      <c r="DP244" s="5"/>
      <c r="DQ244" s="5"/>
      <c r="DR244" s="5"/>
      <c r="DS244" s="5"/>
      <c r="DT244" s="5"/>
      <c r="DU244" s="5"/>
      <c r="DV244" s="5"/>
      <c r="DW244" s="5"/>
      <c r="DX244" s="5"/>
      <c r="DY244" s="5"/>
      <c r="DZ244" s="5"/>
      <c r="EA244" s="5"/>
      <c r="EB244" s="5"/>
      <c r="EC244" s="5"/>
      <c r="ED244" s="5"/>
      <c r="EE244" s="5"/>
      <c r="EF244" s="5"/>
      <c r="EG244" s="5"/>
      <c r="EH244" s="5"/>
      <c r="EI244" s="5"/>
      <c r="EJ244" s="5"/>
      <c r="EK244" s="5"/>
      <c r="EL244" s="5"/>
      <c r="EM244" s="5"/>
      <c r="EN244" s="5"/>
      <c r="EO244" s="5"/>
      <c r="EP244" s="5"/>
      <c r="EQ244" s="5"/>
      <c r="ER244" s="5"/>
      <c r="ES244" s="5"/>
      <c r="ET244" s="5"/>
      <c r="EU244" s="5"/>
      <c r="EV244" s="5"/>
      <c r="EW244" s="5"/>
      <c r="EX244" s="5"/>
      <c r="EY244" s="5"/>
      <c r="EZ244" s="5"/>
      <c r="FA244" s="5"/>
      <c r="FB244" s="5"/>
      <c r="FC244" s="5"/>
      <c r="FD244" s="5"/>
      <c r="FE244" s="5"/>
      <c r="FF244" s="5"/>
      <c r="FG244" s="5"/>
      <c r="FH244" s="5"/>
      <c r="FI244" s="5"/>
      <c r="FJ244" s="5"/>
      <c r="FK244" s="5"/>
      <c r="FL244" s="5"/>
      <c r="FM244" s="5"/>
      <c r="FN244" s="5"/>
      <c r="FO244" s="5"/>
      <c r="FP244" s="5"/>
      <c r="FQ244" s="5"/>
      <c r="FR244" s="5"/>
      <c r="FS244" s="5"/>
      <c r="FT244" s="5"/>
      <c r="FU244" s="5"/>
      <c r="FV244" s="5"/>
      <c r="FW244" s="5"/>
      <c r="FX244" s="5"/>
      <c r="FY244" s="5"/>
      <c r="FZ244" s="5"/>
      <c r="GA244" s="5"/>
      <c r="GB244" s="5"/>
      <c r="GC244" s="5"/>
      <c r="GD244" s="5"/>
      <c r="GE244" s="5"/>
      <c r="GF244" s="5"/>
      <c r="GG244" s="5"/>
      <c r="GH244" s="5"/>
      <c r="GI244" s="5"/>
      <c r="GJ244" s="5"/>
      <c r="GK244" s="5"/>
      <c r="GL244" s="5"/>
      <c r="GM244" s="5"/>
      <c r="GN244" s="5"/>
      <c r="GO244" s="5"/>
      <c r="GP244" s="5"/>
      <c r="GQ244" s="5"/>
      <c r="GR244" s="5"/>
      <c r="GS244" s="5"/>
      <c r="GT244" s="5"/>
    </row>
    <row r="245" spans="1:202" s="48" customFormat="1" ht="13.15" hidden="1" customHeight="1" x14ac:dyDescent="0.25">
      <c r="A245" s="3" t="s">
        <v>329</v>
      </c>
      <c r="B245" s="65" t="s">
        <v>1150</v>
      </c>
      <c r="C245" s="80">
        <v>2022</v>
      </c>
      <c r="D245" s="16">
        <v>115</v>
      </c>
      <c r="E245" s="16">
        <v>1</v>
      </c>
      <c r="F245" s="5" t="s">
        <v>1187</v>
      </c>
      <c r="G245" s="5" t="s">
        <v>1153</v>
      </c>
      <c r="H245" s="5" t="s">
        <v>93</v>
      </c>
      <c r="I245" s="5" t="s">
        <v>263</v>
      </c>
      <c r="J245" s="5" t="s">
        <v>1260</v>
      </c>
      <c r="K245" s="5" t="s">
        <v>1045</v>
      </c>
      <c r="L245" s="5" t="s">
        <v>52</v>
      </c>
      <c r="M245" s="5" t="s">
        <v>61</v>
      </c>
      <c r="N245" s="82">
        <f>0.0047/3</f>
        <v>1.5666666666666667E-3</v>
      </c>
      <c r="O245" s="8">
        <f>((12.01*27)/548.5)*(44/12)</f>
        <v>2.16771194165907</v>
      </c>
      <c r="P245" s="7" t="s">
        <v>1154</v>
      </c>
      <c r="Q245" s="5" t="s">
        <v>309</v>
      </c>
      <c r="R245" s="5" t="s">
        <v>27</v>
      </c>
      <c r="S245" s="5" t="s">
        <v>1155</v>
      </c>
      <c r="T245" s="5" t="s">
        <v>1335</v>
      </c>
      <c r="U245" s="9">
        <f>6.72+N245-0.2</f>
        <v>6.5215666666666658</v>
      </c>
      <c r="V245" s="9">
        <f t="shared" si="13"/>
        <v>-0.23239332828360179</v>
      </c>
      <c r="W245" s="9">
        <f>N245+6.66-0.2</f>
        <v>6.4615666666666662</v>
      </c>
      <c r="X245" s="9">
        <f>N245+6.95-0.2</f>
        <v>6.7515666666666663</v>
      </c>
      <c r="Y245" s="9">
        <f>6.26+O245-0.2</f>
        <v>8.22771194165907</v>
      </c>
      <c r="Z245" s="9"/>
      <c r="AA245" s="5" t="s">
        <v>12</v>
      </c>
      <c r="AB245" s="7" t="s">
        <v>1043</v>
      </c>
      <c r="AC245" s="5" t="s">
        <v>13</v>
      </c>
      <c r="AD245" s="5">
        <v>9</v>
      </c>
      <c r="AE245" s="5" t="s">
        <v>8</v>
      </c>
      <c r="AF245" s="5" t="s">
        <v>29</v>
      </c>
      <c r="AG245" s="5" t="s">
        <v>8</v>
      </c>
      <c r="AH245" s="5" t="s">
        <v>8</v>
      </c>
      <c r="AI245" s="5" t="s">
        <v>14</v>
      </c>
      <c r="AJ245" s="5" t="s">
        <v>8</v>
      </c>
      <c r="AK245" s="5" t="s">
        <v>196</v>
      </c>
      <c r="AL245" s="5" t="s">
        <v>8</v>
      </c>
      <c r="AM245" s="5" t="s">
        <v>1157</v>
      </c>
      <c r="AN245" s="5" t="s">
        <v>1156</v>
      </c>
      <c r="AO245" s="5" t="s">
        <v>44</v>
      </c>
      <c r="AP245" s="5" t="s">
        <v>1151</v>
      </c>
      <c r="AQ245" s="5" t="s">
        <v>1158</v>
      </c>
      <c r="AR245" s="5"/>
      <c r="AS245" s="5"/>
      <c r="AT245" s="5"/>
      <c r="AU245" s="5"/>
      <c r="AV245" s="5"/>
      <c r="AW245" s="5"/>
      <c r="AX245" s="5"/>
      <c r="AY245" s="5"/>
      <c r="AZ245" s="5"/>
      <c r="BA245" s="5"/>
      <c r="BB245" s="5"/>
      <c r="BC245" s="5"/>
      <c r="BD245" s="59"/>
      <c r="BE245" s="5"/>
      <c r="BF245" s="5"/>
      <c r="BG245" s="5"/>
      <c r="BH245" s="5"/>
      <c r="BI245" s="5"/>
      <c r="BJ245" s="5"/>
      <c r="BK245" s="5"/>
      <c r="BL245" s="5"/>
      <c r="BM245" s="59"/>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9"/>
      <c r="CY245" s="5"/>
      <c r="CZ245" s="5"/>
      <c r="DA245" s="5"/>
      <c r="DB245" s="5"/>
      <c r="DC245" s="5"/>
      <c r="DD245" s="5"/>
      <c r="DE245" s="5"/>
      <c r="DF245" s="5"/>
      <c r="DG245" s="5"/>
      <c r="DH245" s="5"/>
      <c r="DI245" s="5"/>
      <c r="DJ245" s="5"/>
      <c r="DK245" s="5"/>
      <c r="DL245" s="5"/>
      <c r="DM245" s="5"/>
      <c r="DN245" s="5"/>
      <c r="DO245" s="5"/>
      <c r="DP245" s="5"/>
      <c r="DQ245" s="5"/>
      <c r="DR245" s="5"/>
      <c r="DS245" s="5"/>
      <c r="DT245" s="5"/>
      <c r="DU245" s="5"/>
      <c r="DV245" s="5"/>
      <c r="DW245" s="5"/>
      <c r="DX245" s="5"/>
      <c r="DY245" s="5"/>
      <c r="DZ245" s="5"/>
      <c r="EA245" s="5"/>
      <c r="EB245" s="5"/>
      <c r="EC245" s="5"/>
      <c r="ED245" s="5"/>
      <c r="EE245" s="5"/>
      <c r="EF245" s="5"/>
      <c r="EG245" s="5"/>
      <c r="EH245" s="5"/>
      <c r="EI245" s="5"/>
      <c r="EJ245" s="5"/>
      <c r="EK245" s="5"/>
      <c r="EL245" s="5"/>
      <c r="EM245" s="5"/>
      <c r="EN245" s="5"/>
      <c r="EO245" s="5"/>
      <c r="EP245" s="5"/>
      <c r="EQ245" s="5"/>
      <c r="ER245" s="5"/>
      <c r="ES245" s="5"/>
      <c r="ET245" s="5"/>
      <c r="EU245" s="5"/>
      <c r="EV245" s="5"/>
      <c r="EW245" s="5"/>
      <c r="EX245" s="5"/>
      <c r="EY245" s="5"/>
      <c r="EZ245" s="5"/>
      <c r="FA245" s="5"/>
      <c r="FB245" s="5"/>
      <c r="FC245" s="5"/>
      <c r="FD245" s="5"/>
      <c r="FE245" s="5"/>
      <c r="FF245" s="5"/>
      <c r="FG245" s="5"/>
      <c r="FH245" s="5"/>
      <c r="FI245" s="5"/>
      <c r="FJ245" s="5"/>
      <c r="FK245" s="5"/>
      <c r="FL245" s="5"/>
      <c r="FM245" s="5"/>
      <c r="FN245" s="5"/>
      <c r="FO245" s="5"/>
      <c r="FP245" s="5"/>
      <c r="FQ245" s="5"/>
      <c r="FR245" s="5"/>
      <c r="FS245" s="5"/>
      <c r="FT245" s="5"/>
      <c r="FU245" s="5"/>
      <c r="FV245" s="5"/>
      <c r="FW245" s="5"/>
      <c r="FX245" s="5"/>
      <c r="FY245" s="5"/>
      <c r="FZ245" s="5"/>
      <c r="GA245" s="5"/>
      <c r="GB245" s="5"/>
      <c r="GC245" s="5"/>
      <c r="GD245" s="5"/>
      <c r="GE245" s="5"/>
      <c r="GF245" s="5"/>
      <c r="GG245" s="5"/>
      <c r="GH245" s="5"/>
      <c r="GI245" s="5"/>
      <c r="GJ245" s="5"/>
      <c r="GK245" s="5"/>
      <c r="GL245" s="5"/>
      <c r="GM245" s="5"/>
      <c r="GN245" s="5"/>
      <c r="GO245" s="5"/>
      <c r="GP245" s="5"/>
      <c r="GQ245" s="5"/>
      <c r="GR245" s="5"/>
      <c r="GS245" s="5"/>
      <c r="GT245" s="5"/>
    </row>
    <row r="246" spans="1:202" s="48" customFormat="1" ht="13.15" hidden="1" customHeight="1" x14ac:dyDescent="0.25">
      <c r="A246" s="3" t="s">
        <v>329</v>
      </c>
      <c r="B246" s="65" t="s">
        <v>1150</v>
      </c>
      <c r="C246" s="80">
        <v>2022</v>
      </c>
      <c r="D246" s="16">
        <v>115</v>
      </c>
      <c r="E246" s="16">
        <v>2</v>
      </c>
      <c r="F246" s="5" t="s">
        <v>1187</v>
      </c>
      <c r="G246" s="5" t="s">
        <v>1153</v>
      </c>
      <c r="H246" s="5" t="s">
        <v>93</v>
      </c>
      <c r="I246" s="5" t="s">
        <v>81</v>
      </c>
      <c r="J246" s="5" t="s">
        <v>1260</v>
      </c>
      <c r="K246" s="5" t="s">
        <v>1045</v>
      </c>
      <c r="L246" s="5" t="s">
        <v>52</v>
      </c>
      <c r="M246" s="5" t="s">
        <v>61</v>
      </c>
      <c r="N246" s="82">
        <f>0.00177/3</f>
        <v>5.9000000000000003E-4</v>
      </c>
      <c r="O246" s="8">
        <f>((12.01*27)/548.5)*(44/12)</f>
        <v>2.16771194165907</v>
      </c>
      <c r="P246" s="7" t="s">
        <v>1154</v>
      </c>
      <c r="Q246" s="5" t="s">
        <v>309</v>
      </c>
      <c r="R246" s="5" t="s">
        <v>27</v>
      </c>
      <c r="S246" s="5" t="s">
        <v>1155</v>
      </c>
      <c r="T246" s="5" t="s">
        <v>1335</v>
      </c>
      <c r="U246" s="9">
        <f>N246+5.5-0.2</f>
        <v>5.3005899999999997</v>
      </c>
      <c r="V246" s="9">
        <f t="shared" si="13"/>
        <v>-0.43968982653950506</v>
      </c>
      <c r="W246" s="9">
        <f>N246+5.34-0.2</f>
        <v>5.1405899999999995</v>
      </c>
      <c r="X246" s="9">
        <f>N246+5.88-0.2</f>
        <v>5.6805899999999996</v>
      </c>
      <c r="Y246" s="9">
        <f>6.26+O246-0.2</f>
        <v>8.22771194165907</v>
      </c>
      <c r="Z246" s="9"/>
      <c r="AA246" s="5" t="s">
        <v>12</v>
      </c>
      <c r="AB246" s="7" t="s">
        <v>1043</v>
      </c>
      <c r="AC246" s="5" t="s">
        <v>13</v>
      </c>
      <c r="AD246" s="5">
        <v>9</v>
      </c>
      <c r="AE246" s="5" t="s">
        <v>8</v>
      </c>
      <c r="AF246" s="5" t="s">
        <v>29</v>
      </c>
      <c r="AG246" s="5" t="s">
        <v>8</v>
      </c>
      <c r="AH246" s="5" t="s">
        <v>8</v>
      </c>
      <c r="AI246" s="5" t="s">
        <v>14</v>
      </c>
      <c r="AJ246" s="5" t="s">
        <v>8</v>
      </c>
      <c r="AK246" s="5" t="s">
        <v>196</v>
      </c>
      <c r="AL246" s="5" t="s">
        <v>8</v>
      </c>
      <c r="AM246" s="5" t="s">
        <v>1157</v>
      </c>
      <c r="AN246" s="5" t="s">
        <v>1156</v>
      </c>
      <c r="AO246" s="5" t="s">
        <v>67</v>
      </c>
      <c r="AP246" s="5" t="s">
        <v>1151</v>
      </c>
      <c r="AQ246" s="5" t="s">
        <v>1158</v>
      </c>
      <c r="AR246" s="5"/>
      <c r="AS246" s="5"/>
      <c r="AT246" s="5"/>
      <c r="AU246" s="5"/>
      <c r="AV246" s="5"/>
      <c r="AW246" s="5"/>
      <c r="AX246" s="5"/>
      <c r="AY246" s="5"/>
      <c r="AZ246" s="5"/>
      <c r="BA246" s="5"/>
      <c r="BB246" s="5"/>
      <c r="BC246" s="5"/>
      <c r="BD246" s="59"/>
      <c r="BE246" s="5"/>
      <c r="BF246" s="5"/>
      <c r="BG246" s="5"/>
      <c r="BH246" s="5"/>
      <c r="BI246" s="5"/>
      <c r="BJ246" s="5"/>
      <c r="BK246" s="5"/>
      <c r="BL246" s="5"/>
      <c r="BM246" s="59"/>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9"/>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5"/>
      <c r="DX246" s="5"/>
      <c r="DY246" s="5"/>
      <c r="DZ246" s="5"/>
      <c r="EA246" s="5"/>
      <c r="EB246" s="5"/>
      <c r="EC246" s="5"/>
      <c r="ED246" s="5"/>
      <c r="EE246" s="5"/>
      <c r="EF246" s="5"/>
      <c r="EG246" s="5"/>
      <c r="EH246" s="5"/>
      <c r="EI246" s="5"/>
      <c r="EJ246" s="5"/>
      <c r="EK246" s="5"/>
      <c r="EL246" s="5"/>
      <c r="EM246" s="5"/>
      <c r="EN246" s="5"/>
      <c r="EO246" s="5"/>
      <c r="EP246" s="5"/>
      <c r="EQ246" s="5"/>
      <c r="ER246" s="5"/>
      <c r="ES246" s="5"/>
      <c r="ET246" s="5"/>
      <c r="EU246" s="5"/>
      <c r="EV246" s="5"/>
      <c r="EW246" s="5"/>
      <c r="EX246" s="5"/>
      <c r="EY246" s="5"/>
      <c r="EZ246" s="5"/>
      <c r="FA246" s="5"/>
      <c r="FB246" s="5"/>
      <c r="FC246" s="5"/>
      <c r="FD246" s="5"/>
      <c r="FE246" s="5"/>
      <c r="FF246" s="5"/>
      <c r="FG246" s="5"/>
      <c r="FH246" s="5"/>
      <c r="FI246" s="5"/>
      <c r="FJ246" s="5"/>
      <c r="FK246" s="5"/>
      <c r="FL246" s="5"/>
      <c r="FM246" s="5"/>
      <c r="FN246" s="5"/>
      <c r="FO246" s="5"/>
      <c r="FP246" s="5"/>
      <c r="FQ246" s="5"/>
      <c r="FR246" s="5"/>
      <c r="FS246" s="5"/>
      <c r="FT246" s="5"/>
      <c r="FU246" s="5"/>
      <c r="FV246" s="5"/>
      <c r="FW246" s="5"/>
      <c r="FX246" s="5"/>
      <c r="FY246" s="5"/>
      <c r="FZ246" s="5"/>
      <c r="GA246" s="5"/>
      <c r="GB246" s="5"/>
      <c r="GC246" s="5"/>
      <c r="GD246" s="5"/>
      <c r="GE246" s="5"/>
      <c r="GF246" s="5"/>
      <c r="GG246" s="5"/>
      <c r="GH246" s="5"/>
      <c r="GI246" s="5"/>
      <c r="GJ246" s="5"/>
      <c r="GK246" s="5"/>
      <c r="GL246" s="5"/>
      <c r="GM246" s="5"/>
      <c r="GN246" s="5"/>
      <c r="GO246" s="5"/>
      <c r="GP246" s="5"/>
      <c r="GQ246" s="5"/>
      <c r="GR246" s="5"/>
      <c r="GS246" s="5"/>
      <c r="GT246" s="5"/>
    </row>
    <row r="247" spans="1:202" s="48" customFormat="1" ht="13.15" hidden="1" customHeight="1" x14ac:dyDescent="0.2">
      <c r="A247" s="3" t="s">
        <v>329</v>
      </c>
      <c r="B247" s="4" t="s">
        <v>393</v>
      </c>
      <c r="C247" s="28">
        <v>2017</v>
      </c>
      <c r="D247" s="16">
        <v>47</v>
      </c>
      <c r="E247" s="16">
        <v>1</v>
      </c>
      <c r="F247" s="5" t="s">
        <v>1115</v>
      </c>
      <c r="G247" s="19" t="s">
        <v>395</v>
      </c>
      <c r="H247" s="5" t="s">
        <v>93</v>
      </c>
      <c r="I247" s="5" t="s">
        <v>6</v>
      </c>
      <c r="J247" s="5" t="s">
        <v>7</v>
      </c>
      <c r="K247" s="48" t="s">
        <v>1046</v>
      </c>
      <c r="L247" s="5" t="s">
        <v>1049</v>
      </c>
      <c r="M247" s="5" t="s">
        <v>9</v>
      </c>
      <c r="N247" s="7">
        <v>0</v>
      </c>
      <c r="O247" s="7">
        <v>2.46</v>
      </c>
      <c r="P247" s="7" t="s">
        <v>396</v>
      </c>
      <c r="Q247" s="5" t="s">
        <v>309</v>
      </c>
      <c r="R247" s="5" t="s">
        <v>27</v>
      </c>
      <c r="S247" s="5" t="s">
        <v>397</v>
      </c>
      <c r="T247" s="5" t="s">
        <v>1335</v>
      </c>
      <c r="U247" s="9">
        <v>3.1</v>
      </c>
      <c r="V247" s="9">
        <f t="shared" si="13"/>
        <v>-1.2256711667870148</v>
      </c>
      <c r="W247" s="9"/>
      <c r="X247" s="9"/>
      <c r="Y247" s="9">
        <f>8.1+O247</f>
        <v>10.559999999999999</v>
      </c>
      <c r="Z247" s="9"/>
      <c r="AA247" s="5" t="s">
        <v>12</v>
      </c>
      <c r="AB247" s="7" t="s">
        <v>1044</v>
      </c>
      <c r="AC247" s="5" t="s">
        <v>74</v>
      </c>
      <c r="AD247" s="3">
        <v>9</v>
      </c>
      <c r="AE247" s="5" t="s">
        <v>8</v>
      </c>
      <c r="AF247" s="5" t="s">
        <v>1292</v>
      </c>
      <c r="AG247" s="19" t="s">
        <v>1028</v>
      </c>
      <c r="AH247" s="19" t="s">
        <v>1028</v>
      </c>
      <c r="AI247" s="19" t="s">
        <v>1028</v>
      </c>
      <c r="AJ247" s="19" t="s">
        <v>1028</v>
      </c>
      <c r="AK247" s="5" t="s">
        <v>84</v>
      </c>
      <c r="AL247" s="5" t="s">
        <v>8</v>
      </c>
      <c r="AM247" s="5" t="s">
        <v>243</v>
      </c>
      <c r="AN247" s="5" t="s">
        <v>67</v>
      </c>
      <c r="AO247" s="5" t="s">
        <v>18</v>
      </c>
      <c r="AP247" s="19" t="s">
        <v>394</v>
      </c>
      <c r="AQ247" s="5" t="s">
        <v>398</v>
      </c>
      <c r="AR247" s="5"/>
      <c r="AS247" s="5"/>
      <c r="AT247" s="5"/>
      <c r="AU247" s="5"/>
      <c r="AV247" s="5"/>
      <c r="AW247" s="5"/>
      <c r="AX247" s="5"/>
      <c r="AY247" s="5"/>
      <c r="AZ247" s="5"/>
      <c r="BA247" s="5"/>
      <c r="BB247" s="5"/>
      <c r="BC247" s="5"/>
      <c r="BD247" s="58"/>
      <c r="BE247" s="5"/>
      <c r="BF247" s="5"/>
      <c r="BG247" s="5"/>
      <c r="BH247" s="5"/>
      <c r="BI247" s="5"/>
      <c r="BJ247" s="5"/>
      <c r="BK247" s="5"/>
      <c r="BL247" s="5"/>
      <c r="BM247" s="58"/>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9"/>
      <c r="CY247" s="5"/>
      <c r="CZ247" s="5"/>
      <c r="DA247" s="5"/>
      <c r="DB247" s="5"/>
      <c r="DC247" s="5"/>
      <c r="DD247" s="5"/>
      <c r="DE247" s="5"/>
      <c r="DF247" s="5"/>
      <c r="DG247" s="5"/>
      <c r="DH247" s="5"/>
      <c r="DI247" s="5"/>
      <c r="DJ247" s="5"/>
      <c r="DK247" s="5"/>
      <c r="DL247" s="5"/>
      <c r="DM247" s="5"/>
      <c r="DN247" s="5"/>
      <c r="DO247" s="5"/>
      <c r="DP247" s="5"/>
      <c r="DQ247" s="5"/>
      <c r="DR247" s="5"/>
      <c r="DS247" s="5"/>
      <c r="DT247" s="5"/>
      <c r="DU247" s="5"/>
      <c r="DV247" s="5"/>
      <c r="DW247" s="5"/>
      <c r="DX247" s="5"/>
      <c r="DY247" s="5"/>
      <c r="DZ247" s="5"/>
      <c r="EA247" s="5"/>
      <c r="EB247" s="5"/>
      <c r="EC247" s="5"/>
      <c r="ED247" s="5"/>
      <c r="EE247" s="5"/>
      <c r="EF247" s="5"/>
      <c r="EG247" s="5"/>
      <c r="EH247" s="5"/>
      <c r="EI247" s="5"/>
      <c r="EJ247" s="5"/>
      <c r="EK247" s="5"/>
      <c r="EL247" s="5"/>
      <c r="EM247" s="5"/>
      <c r="EN247" s="5"/>
      <c r="EO247" s="5"/>
      <c r="EP247" s="5"/>
      <c r="EQ247" s="5"/>
      <c r="ER247" s="5"/>
      <c r="ES247" s="5"/>
      <c r="ET247" s="5"/>
      <c r="EU247" s="5"/>
      <c r="EV247" s="5"/>
      <c r="EW247" s="5"/>
      <c r="EX247" s="5"/>
      <c r="EY247" s="5"/>
      <c r="EZ247" s="5"/>
      <c r="FA247" s="5"/>
      <c r="FB247" s="5"/>
      <c r="FC247" s="5"/>
      <c r="FD247" s="5"/>
      <c r="FE247" s="5"/>
      <c r="FF247" s="5"/>
      <c r="FG247" s="5"/>
      <c r="FH247" s="5"/>
      <c r="FI247" s="5"/>
      <c r="FJ247" s="5"/>
      <c r="FK247" s="5"/>
      <c r="FL247" s="5"/>
      <c r="FM247" s="5"/>
      <c r="FN247" s="5"/>
      <c r="FO247" s="5"/>
      <c r="FP247" s="5"/>
      <c r="FQ247" s="5"/>
      <c r="FR247" s="5"/>
      <c r="FS247" s="5"/>
      <c r="FT247" s="5"/>
      <c r="FU247" s="5"/>
      <c r="FV247" s="5"/>
      <c r="FW247" s="5"/>
      <c r="FX247" s="5"/>
      <c r="FY247" s="5"/>
      <c r="FZ247" s="5"/>
      <c r="GA247" s="5"/>
      <c r="GB247" s="5"/>
      <c r="GC247" s="5"/>
      <c r="GD247" s="5"/>
      <c r="GE247" s="5"/>
      <c r="GF247" s="5"/>
      <c r="GG247" s="5"/>
      <c r="GH247" s="5"/>
      <c r="GI247" s="5"/>
      <c r="GJ247" s="5"/>
      <c r="GK247" s="5"/>
      <c r="GL247" s="5"/>
      <c r="GM247" s="5"/>
      <c r="GN247" s="5"/>
      <c r="GO247" s="5"/>
      <c r="GP247" s="5"/>
      <c r="GQ247" s="5"/>
      <c r="GR247" s="5"/>
      <c r="GS247" s="5"/>
      <c r="GT247" s="5"/>
    </row>
    <row r="248" spans="1:202" s="48" customFormat="1" ht="13.15" hidden="1" customHeight="1" x14ac:dyDescent="0.2">
      <c r="A248" s="3" t="s">
        <v>329</v>
      </c>
      <c r="B248" s="4" t="s">
        <v>431</v>
      </c>
      <c r="C248" s="28">
        <v>2018</v>
      </c>
      <c r="D248" s="16">
        <v>52</v>
      </c>
      <c r="E248" s="16">
        <v>1</v>
      </c>
      <c r="F248" s="5" t="s">
        <v>1115</v>
      </c>
      <c r="G248" s="19" t="s">
        <v>433</v>
      </c>
      <c r="H248" s="5" t="s">
        <v>93</v>
      </c>
      <c r="I248" s="5" t="s">
        <v>434</v>
      </c>
      <c r="J248" s="5" t="s">
        <v>7</v>
      </c>
      <c r="K248" s="48" t="s">
        <v>1046</v>
      </c>
      <c r="L248" s="5" t="s">
        <v>52</v>
      </c>
      <c r="M248" s="5" t="s">
        <v>9</v>
      </c>
      <c r="N248" s="7">
        <v>2.46</v>
      </c>
      <c r="O248" s="7">
        <v>2.46</v>
      </c>
      <c r="P248" s="7" t="s">
        <v>396</v>
      </c>
      <c r="Q248" s="5" t="s">
        <v>309</v>
      </c>
      <c r="R248" s="5" t="s">
        <v>27</v>
      </c>
      <c r="S248" s="5" t="s">
        <v>435</v>
      </c>
      <c r="T248" s="5" t="s">
        <v>1335</v>
      </c>
      <c r="U248" s="9">
        <f>1.75+N248</f>
        <v>4.21</v>
      </c>
      <c r="V248" s="9">
        <f t="shared" si="13"/>
        <v>-0.94762366681149934</v>
      </c>
      <c r="W248" s="9"/>
      <c r="X248" s="9"/>
      <c r="Y248" s="9">
        <f>8.4+O248</f>
        <v>10.86</v>
      </c>
      <c r="Z248" s="9"/>
      <c r="AA248" s="5" t="s">
        <v>12</v>
      </c>
      <c r="AB248" s="62" t="s">
        <v>1043</v>
      </c>
      <c r="AC248" s="5" t="s">
        <v>13</v>
      </c>
      <c r="AD248" s="3">
        <v>9</v>
      </c>
      <c r="AE248" s="5" t="s">
        <v>8</v>
      </c>
      <c r="AF248" s="5" t="s">
        <v>1295</v>
      </c>
      <c r="AG248" s="5" t="s">
        <v>8</v>
      </c>
      <c r="AH248" s="5" t="s">
        <v>8</v>
      </c>
      <c r="AI248" s="5" t="s">
        <v>8</v>
      </c>
      <c r="AJ248" s="5" t="s">
        <v>8</v>
      </c>
      <c r="AK248" s="5" t="s">
        <v>84</v>
      </c>
      <c r="AL248" s="5" t="s">
        <v>8</v>
      </c>
      <c r="AM248" s="5" t="s">
        <v>436</v>
      </c>
      <c r="AN248" s="5" t="s">
        <v>67</v>
      </c>
      <c r="AO248" s="5" t="s">
        <v>67</v>
      </c>
      <c r="AP248" s="19" t="s">
        <v>432</v>
      </c>
      <c r="AQ248" s="5" t="s">
        <v>437</v>
      </c>
      <c r="AR248" s="5"/>
      <c r="AS248" s="5"/>
      <c r="AT248" s="5"/>
      <c r="AU248" s="5"/>
      <c r="AV248" s="5"/>
      <c r="AW248" s="5"/>
      <c r="AX248" s="5"/>
      <c r="AY248" s="5"/>
      <c r="AZ248" s="5"/>
      <c r="BA248" s="5"/>
      <c r="BB248" s="5"/>
      <c r="BC248" s="5"/>
      <c r="BD248" s="58"/>
      <c r="BE248" s="5"/>
      <c r="BF248" s="5"/>
      <c r="BG248" s="5"/>
      <c r="BH248" s="5"/>
      <c r="BI248" s="5"/>
      <c r="BJ248" s="5"/>
      <c r="BK248" s="5"/>
      <c r="BL248" s="5"/>
      <c r="BM248" s="58"/>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v>39</v>
      </c>
      <c r="CU248" s="5"/>
      <c r="CV248" s="5"/>
      <c r="CW248" s="5">
        <v>96</v>
      </c>
      <c r="CX248" s="59">
        <f>LN(CT248/CW248)</f>
        <v>-0.9007865453381898</v>
      </c>
      <c r="CY248" s="5"/>
      <c r="CZ248" s="5"/>
      <c r="DA248" s="5"/>
      <c r="DB248" s="5"/>
      <c r="DC248" s="5"/>
      <c r="DD248" s="5"/>
      <c r="DE248" s="5"/>
      <c r="DF248" s="5"/>
      <c r="DG248" s="5"/>
      <c r="DH248" s="5"/>
      <c r="DI248" s="5"/>
      <c r="DJ248" s="5"/>
      <c r="DK248" s="5"/>
      <c r="DL248" s="5"/>
      <c r="DM248" s="5"/>
      <c r="DN248" s="5"/>
      <c r="DO248" s="5"/>
      <c r="DP248" s="5"/>
      <c r="DQ248" s="5"/>
      <c r="DR248" s="5"/>
      <c r="DS248" s="5"/>
      <c r="DT248" s="5"/>
      <c r="DU248" s="5"/>
      <c r="DV248" s="5"/>
      <c r="DW248" s="5"/>
      <c r="DX248" s="5"/>
      <c r="DY248" s="5"/>
      <c r="DZ248" s="5"/>
      <c r="EA248" s="5"/>
      <c r="EB248" s="5"/>
      <c r="EC248" s="5"/>
      <c r="ED248" s="5"/>
      <c r="EE248" s="5"/>
      <c r="EF248" s="5"/>
      <c r="EG248" s="5"/>
      <c r="EH248" s="5"/>
      <c r="EI248" s="5"/>
      <c r="EJ248" s="5"/>
      <c r="EK248" s="5"/>
      <c r="EL248" s="5"/>
      <c r="EM248" s="5"/>
      <c r="EN248" s="5"/>
      <c r="EO248" s="5"/>
      <c r="EP248" s="5"/>
      <c r="EQ248" s="5"/>
      <c r="ER248" s="5"/>
      <c r="ES248" s="5"/>
      <c r="ET248" s="5"/>
      <c r="EU248" s="5"/>
      <c r="EV248" s="5"/>
      <c r="EW248" s="5"/>
      <c r="EX248" s="5"/>
      <c r="EY248" s="5"/>
      <c r="EZ248" s="5"/>
      <c r="FA248" s="5"/>
      <c r="FB248" s="5"/>
      <c r="FC248" s="5"/>
      <c r="FD248" s="5"/>
      <c r="FE248" s="5"/>
      <c r="FF248" s="5"/>
      <c r="FG248" s="5"/>
      <c r="FH248" s="5"/>
      <c r="FI248" s="5"/>
      <c r="FJ248" s="5"/>
      <c r="FK248" s="5"/>
      <c r="FL248" s="5"/>
      <c r="FM248" s="5"/>
      <c r="FN248" s="5"/>
      <c r="FO248" s="5"/>
      <c r="FP248" s="5"/>
      <c r="FQ248" s="5"/>
      <c r="FR248" s="5"/>
      <c r="FS248" s="5"/>
      <c r="FT248" s="5"/>
      <c r="FU248" s="5"/>
      <c r="FV248" s="5"/>
      <c r="FW248" s="5"/>
      <c r="FX248" s="5"/>
      <c r="FY248" s="5"/>
      <c r="FZ248" s="5"/>
      <c r="GA248" s="5"/>
      <c r="GB248" s="5"/>
      <c r="GC248" s="5"/>
      <c r="GD248" s="5"/>
      <c r="GE248" s="5"/>
      <c r="GF248" s="5"/>
      <c r="GG248" s="5"/>
      <c r="GH248" s="5"/>
      <c r="GI248" s="5"/>
      <c r="GJ248" s="5"/>
      <c r="GK248" s="5"/>
      <c r="GL248" s="5"/>
      <c r="GM248" s="5"/>
      <c r="GN248" s="5"/>
      <c r="GO248" s="5"/>
      <c r="GP248" s="5"/>
      <c r="GQ248" s="5"/>
      <c r="GR248" s="5"/>
      <c r="GS248" s="5"/>
      <c r="GT248" s="5"/>
    </row>
    <row r="249" spans="1:202" ht="13.15" hidden="1" customHeight="1" x14ac:dyDescent="0.2">
      <c r="A249" s="3" t="s">
        <v>329</v>
      </c>
      <c r="B249" s="4" t="s">
        <v>759</v>
      </c>
      <c r="C249" s="28">
        <v>2013</v>
      </c>
      <c r="D249" s="16">
        <v>99</v>
      </c>
      <c r="E249" s="16">
        <v>2</v>
      </c>
      <c r="F249" s="5" t="s">
        <v>1071</v>
      </c>
      <c r="G249" s="5" t="s">
        <v>16</v>
      </c>
      <c r="H249" s="5" t="s">
        <v>5</v>
      </c>
      <c r="I249" s="5" t="s">
        <v>6</v>
      </c>
      <c r="J249" s="5" t="s">
        <v>7</v>
      </c>
      <c r="K249" s="61" t="s">
        <v>1046</v>
      </c>
      <c r="L249" s="5" t="s">
        <v>1049</v>
      </c>
      <c r="M249" s="5" t="s">
        <v>9</v>
      </c>
      <c r="N249" s="85">
        <v>0</v>
      </c>
      <c r="O249" s="85">
        <f>1.32--0.13</f>
        <v>1.4500000000000002</v>
      </c>
      <c r="P249" s="7" t="s">
        <v>761</v>
      </c>
      <c r="Q249" s="5" t="s">
        <v>39</v>
      </c>
      <c r="R249" s="7" t="s">
        <v>18</v>
      </c>
      <c r="S249" s="5" t="s">
        <v>762</v>
      </c>
      <c r="T249" s="5" t="s">
        <v>1335</v>
      </c>
      <c r="U249" s="9">
        <f>N249+2.19</f>
        <v>2.19</v>
      </c>
      <c r="V249" s="9">
        <f t="shared" si="13"/>
        <v>-0.64879919010563691</v>
      </c>
      <c r="W249" s="9"/>
      <c r="X249" s="9"/>
      <c r="Y249" s="9">
        <f>O249+2.74</f>
        <v>4.1900000000000004</v>
      </c>
      <c r="Z249" s="9"/>
      <c r="AA249" s="5" t="s">
        <v>12</v>
      </c>
      <c r="AB249" s="7" t="s">
        <v>1123</v>
      </c>
      <c r="AC249" s="5" t="s">
        <v>1194</v>
      </c>
      <c r="AD249" s="3">
        <v>9</v>
      </c>
      <c r="AE249" s="5" t="s">
        <v>8</v>
      </c>
      <c r="AF249" s="5" t="s">
        <v>1321</v>
      </c>
      <c r="AG249" s="5" t="s">
        <v>8</v>
      </c>
      <c r="AH249" s="5" t="s">
        <v>8</v>
      </c>
      <c r="AI249" s="5" t="s">
        <v>8</v>
      </c>
      <c r="AJ249" s="5" t="s">
        <v>8</v>
      </c>
      <c r="AK249" s="5" t="s">
        <v>363</v>
      </c>
      <c r="AL249" s="5" t="s">
        <v>8</v>
      </c>
      <c r="AM249" s="5" t="s">
        <v>1028</v>
      </c>
      <c r="AN249" s="5" t="s">
        <v>18</v>
      </c>
      <c r="AO249" s="5" t="s">
        <v>18</v>
      </c>
      <c r="AP249" s="5" t="s">
        <v>760</v>
      </c>
      <c r="AQ249" s="5" t="s">
        <v>763</v>
      </c>
      <c r="BD249" s="58"/>
      <c r="BE249" s="5">
        <v>0.72599999999999998</v>
      </c>
      <c r="BH249" s="5">
        <v>0.45300000000000001</v>
      </c>
      <c r="BM249" s="58"/>
      <c r="BN249" s="5">
        <v>1.6420000000000001E-2</v>
      </c>
      <c r="BQ249" s="5">
        <v>4.2499999999999998E-4</v>
      </c>
      <c r="DC249" s="5">
        <v>24.8</v>
      </c>
      <c r="DF249" s="5">
        <v>70.58</v>
      </c>
      <c r="DG249" s="5">
        <v>2.4569999999999999</v>
      </c>
      <c r="DJ249" s="5">
        <v>2.4E-2</v>
      </c>
      <c r="DW249" s="5">
        <v>1.2290000000000001E-2</v>
      </c>
      <c r="DZ249" s="5">
        <v>4.7840000000000001E-3</v>
      </c>
    </row>
    <row r="250" spans="1:202" ht="13.15" hidden="1" customHeight="1" x14ac:dyDescent="0.25">
      <c r="A250" s="3" t="s">
        <v>329</v>
      </c>
      <c r="B250" s="65" t="s">
        <v>1150</v>
      </c>
      <c r="C250" s="80">
        <v>2022</v>
      </c>
      <c r="D250" s="16">
        <v>115</v>
      </c>
      <c r="E250" s="16">
        <v>3</v>
      </c>
      <c r="F250" s="5" t="s">
        <v>1187</v>
      </c>
      <c r="G250" s="5" t="s">
        <v>1153</v>
      </c>
      <c r="H250" s="5" t="s">
        <v>93</v>
      </c>
      <c r="I250" s="5" t="s">
        <v>714</v>
      </c>
      <c r="J250" s="5" t="s">
        <v>1260</v>
      </c>
      <c r="K250" s="61" t="s">
        <v>1045</v>
      </c>
      <c r="L250" s="5" t="s">
        <v>52</v>
      </c>
      <c r="M250" s="5" t="s">
        <v>61</v>
      </c>
      <c r="N250" s="83">
        <f>0.00526/3</f>
        <v>1.7533333333333333E-3</v>
      </c>
      <c r="O250" s="8">
        <f>((12.01*27)/548.5)*(44/12)</f>
        <v>2.16771194165907</v>
      </c>
      <c r="P250" s="7" t="s">
        <v>1154</v>
      </c>
      <c r="Q250" s="5" t="s">
        <v>309</v>
      </c>
      <c r="R250" s="5" t="s">
        <v>27</v>
      </c>
      <c r="S250" s="5" t="s">
        <v>1155</v>
      </c>
      <c r="T250" s="5" t="s">
        <v>1335</v>
      </c>
      <c r="U250" s="9">
        <f>N250+5.68-0.2</f>
        <v>5.4817533333333328</v>
      </c>
      <c r="V250" s="9">
        <f t="shared" si="13"/>
        <v>-0.40608296053199355</v>
      </c>
      <c r="W250" s="9">
        <f>N250+5.53-0.2</f>
        <v>5.3317533333333333</v>
      </c>
      <c r="X250" s="9">
        <f>N250+6.04-0.2</f>
        <v>5.8417533333333331</v>
      </c>
      <c r="Y250" s="9">
        <f>6.26+O250-0.2</f>
        <v>8.22771194165907</v>
      </c>
      <c r="Z250" s="9"/>
      <c r="AA250" s="5" t="s">
        <v>12</v>
      </c>
      <c r="AB250" s="7" t="s">
        <v>1043</v>
      </c>
      <c r="AC250" s="5" t="s">
        <v>13</v>
      </c>
      <c r="AD250" s="5">
        <v>9</v>
      </c>
      <c r="AE250" s="5" t="s">
        <v>8</v>
      </c>
      <c r="AF250" s="5" t="s">
        <v>29</v>
      </c>
      <c r="AG250" s="5" t="s">
        <v>8</v>
      </c>
      <c r="AH250" s="5" t="s">
        <v>8</v>
      </c>
      <c r="AI250" s="5" t="s">
        <v>14</v>
      </c>
      <c r="AJ250" s="5" t="s">
        <v>8</v>
      </c>
      <c r="AK250" s="5" t="s">
        <v>196</v>
      </c>
      <c r="AL250" s="5" t="s">
        <v>8</v>
      </c>
      <c r="AM250" s="5" t="s">
        <v>1157</v>
      </c>
      <c r="AN250" s="5" t="s">
        <v>1156</v>
      </c>
      <c r="AO250" s="5" t="s">
        <v>609</v>
      </c>
      <c r="AP250" s="5" t="s">
        <v>1151</v>
      </c>
      <c r="AQ250" s="5" t="s">
        <v>1158</v>
      </c>
      <c r="BM250" s="59"/>
    </row>
    <row r="251" spans="1:202" ht="13.5" hidden="1" customHeight="1" thickBot="1" x14ac:dyDescent="0.3">
      <c r="A251" s="3" t="s">
        <v>329</v>
      </c>
      <c r="B251" s="65" t="s">
        <v>1150</v>
      </c>
      <c r="C251" s="80">
        <v>2022</v>
      </c>
      <c r="D251" s="16">
        <v>115</v>
      </c>
      <c r="E251" s="16">
        <v>4</v>
      </c>
      <c r="F251" s="5" t="s">
        <v>1187</v>
      </c>
      <c r="G251" s="5" t="s">
        <v>1153</v>
      </c>
      <c r="H251" s="5" t="s">
        <v>93</v>
      </c>
      <c r="I251" s="5" t="s">
        <v>1152</v>
      </c>
      <c r="J251" s="5" t="s">
        <v>1260</v>
      </c>
      <c r="K251" s="61" t="s">
        <v>726</v>
      </c>
      <c r="L251" s="5" t="s">
        <v>52</v>
      </c>
      <c r="M251" s="5" t="s">
        <v>61</v>
      </c>
      <c r="N251" s="7">
        <v>0</v>
      </c>
      <c r="O251" s="8">
        <f>((12.01*27)/548.5)*(44/12)</f>
        <v>2.16771194165907</v>
      </c>
      <c r="P251" s="7" t="s">
        <v>1154</v>
      </c>
      <c r="Q251" s="5" t="s">
        <v>309</v>
      </c>
      <c r="R251" s="5" t="s">
        <v>27</v>
      </c>
      <c r="S251" s="5" t="s">
        <v>1155</v>
      </c>
      <c r="T251" s="5" t="s">
        <v>1335</v>
      </c>
      <c r="U251" s="9">
        <f>N251+4.9-0.2</f>
        <v>4.7</v>
      </c>
      <c r="V251" s="9">
        <f t="shared" si="13"/>
        <v>-0.55994545294058995</v>
      </c>
      <c r="W251" s="9">
        <f>4.68-0.2</f>
        <v>4.4799999999999995</v>
      </c>
      <c r="X251" s="9">
        <f>5.35-0.2</f>
        <v>5.1499999999999995</v>
      </c>
      <c r="Y251" s="9">
        <f>6.26+O251-0.2</f>
        <v>8.22771194165907</v>
      </c>
      <c r="Z251" s="9"/>
      <c r="AA251" s="5" t="s">
        <v>12</v>
      </c>
      <c r="AB251" s="7" t="s">
        <v>1043</v>
      </c>
      <c r="AC251" s="5" t="s">
        <v>13</v>
      </c>
      <c r="AD251" s="5">
        <v>9</v>
      </c>
      <c r="AE251" s="5" t="s">
        <v>8</v>
      </c>
      <c r="AF251" s="5" t="s">
        <v>29</v>
      </c>
      <c r="AG251" s="5" t="s">
        <v>8</v>
      </c>
      <c r="AH251" s="5" t="s">
        <v>8</v>
      </c>
      <c r="AI251" s="5" t="s">
        <v>14</v>
      </c>
      <c r="AJ251" s="5" t="s">
        <v>8</v>
      </c>
      <c r="AK251" s="5" t="s">
        <v>196</v>
      </c>
      <c r="AL251" s="5" t="s">
        <v>8</v>
      </c>
      <c r="AM251" s="5" t="s">
        <v>1157</v>
      </c>
      <c r="AN251" s="5" t="s">
        <v>1156</v>
      </c>
      <c r="AO251" s="5" t="s">
        <v>1156</v>
      </c>
      <c r="AP251" s="5" t="s">
        <v>1151</v>
      </c>
      <c r="AQ251" s="5" t="s">
        <v>1158</v>
      </c>
      <c r="BM251" s="144"/>
    </row>
    <row r="252" spans="1:202" s="114" customFormat="1" ht="13.15" customHeight="1" x14ac:dyDescent="0.25">
      <c r="A252" s="114" t="s">
        <v>329</v>
      </c>
      <c r="B252" s="155" t="s">
        <v>1244</v>
      </c>
      <c r="C252" s="116">
        <v>2023</v>
      </c>
      <c r="D252" s="117">
        <v>127</v>
      </c>
      <c r="E252" s="117">
        <v>1</v>
      </c>
      <c r="F252" s="114" t="s">
        <v>861</v>
      </c>
      <c r="G252" s="5" t="s">
        <v>16</v>
      </c>
      <c r="H252" s="5" t="s">
        <v>5</v>
      </c>
      <c r="I252" s="5" t="s">
        <v>1245</v>
      </c>
      <c r="J252" s="5" t="s">
        <v>1260</v>
      </c>
      <c r="K252" s="61" t="s">
        <v>726</v>
      </c>
      <c r="L252" s="5" t="s">
        <v>8</v>
      </c>
      <c r="M252" s="5" t="s">
        <v>9</v>
      </c>
      <c r="N252" s="7">
        <v>0</v>
      </c>
      <c r="O252" s="7">
        <v>2.0499999999999998</v>
      </c>
      <c r="P252" s="118" t="s">
        <v>333</v>
      </c>
      <c r="Q252" s="114" t="s">
        <v>309</v>
      </c>
      <c r="R252" s="114" t="s">
        <v>67</v>
      </c>
      <c r="S252" s="114" t="s">
        <v>1251</v>
      </c>
      <c r="T252" s="114" t="s">
        <v>1335</v>
      </c>
      <c r="U252" s="119">
        <v>3</v>
      </c>
      <c r="V252" s="119">
        <f t="shared" si="13"/>
        <v>-0.2851789422336623</v>
      </c>
      <c r="Y252" s="119">
        <f>1.94+O252</f>
        <v>3.9899999999999998</v>
      </c>
      <c r="AA252" s="114" t="s">
        <v>12</v>
      </c>
      <c r="AB252" s="118" t="s">
        <v>1044</v>
      </c>
      <c r="AC252" s="114" t="s">
        <v>74</v>
      </c>
      <c r="AD252" s="114">
        <v>9</v>
      </c>
      <c r="AE252" s="114" t="s">
        <v>14</v>
      </c>
      <c r="AF252" s="114" t="s">
        <v>1246</v>
      </c>
      <c r="AG252" s="114" t="s">
        <v>8</v>
      </c>
      <c r="AH252" s="114" t="s">
        <v>8</v>
      </c>
      <c r="AI252" s="114" t="s">
        <v>14</v>
      </c>
      <c r="AJ252" s="114" t="s">
        <v>14</v>
      </c>
      <c r="AK252" s="114" t="s">
        <v>196</v>
      </c>
      <c r="AL252" s="114" t="s">
        <v>8</v>
      </c>
      <c r="AM252" s="114" t="s">
        <v>1247</v>
      </c>
      <c r="AN252" s="114" t="s">
        <v>67</v>
      </c>
      <c r="AO252" s="114" t="s">
        <v>67</v>
      </c>
      <c r="AP252" s="114" t="s">
        <v>1248</v>
      </c>
      <c r="AQ252" s="114" t="s">
        <v>1249</v>
      </c>
      <c r="AZ252" s="140">
        <v>4.4999999999999997E-3</v>
      </c>
      <c r="BC252" s="114">
        <v>4.5500000000000002E-3</v>
      </c>
      <c r="BD252" s="125">
        <f>LN(AZ252/BC252)</f>
        <v>-1.1049836186585046E-2</v>
      </c>
      <c r="BI252" s="140">
        <v>5.5000000000000003E-4</v>
      </c>
      <c r="BL252" s="140">
        <v>6.0099999999999997E-5</v>
      </c>
      <c r="BM252" s="156">
        <f>LN(BI252/BL252)</f>
        <v>2.213908436685355</v>
      </c>
      <c r="CX252" s="125"/>
      <c r="DK252" s="114">
        <v>0.45</v>
      </c>
      <c r="DN252" s="114">
        <v>9.5000000000000001E-2</v>
      </c>
      <c r="DO252" s="114">
        <v>5.8000000000000003E-2</v>
      </c>
      <c r="DR252" s="114">
        <v>6.4999999999999997E-4</v>
      </c>
      <c r="GA252" s="114">
        <v>1.28</v>
      </c>
      <c r="GD252" s="114">
        <v>1.56</v>
      </c>
    </row>
    <row r="253" spans="1:202" ht="13.15" customHeight="1" x14ac:dyDescent="0.25">
      <c r="A253" s="3" t="s">
        <v>329</v>
      </c>
      <c r="B253" s="65" t="s">
        <v>788</v>
      </c>
      <c r="C253" s="28">
        <v>2015</v>
      </c>
      <c r="D253" s="16">
        <v>105</v>
      </c>
      <c r="E253" s="16">
        <v>1</v>
      </c>
      <c r="F253" s="5" t="s">
        <v>1102</v>
      </c>
      <c r="G253" s="5" t="s">
        <v>16</v>
      </c>
      <c r="H253" s="5" t="s">
        <v>5</v>
      </c>
      <c r="I253" s="5" t="s">
        <v>790</v>
      </c>
      <c r="J253" s="5" t="s">
        <v>90</v>
      </c>
      <c r="K253" s="48" t="s">
        <v>1046</v>
      </c>
      <c r="L253" s="5" t="s">
        <v>1049</v>
      </c>
      <c r="M253" s="5" t="s">
        <v>9</v>
      </c>
      <c r="N253" s="85">
        <v>2.4</v>
      </c>
      <c r="O253" s="85">
        <v>2.4</v>
      </c>
      <c r="P253" s="7" t="s">
        <v>1026</v>
      </c>
      <c r="Q253" s="5" t="s">
        <v>39</v>
      </c>
      <c r="R253" s="5" t="s">
        <v>336</v>
      </c>
      <c r="S253" s="5" t="s">
        <v>1028</v>
      </c>
      <c r="T253" s="5" t="s">
        <v>1335</v>
      </c>
      <c r="U253" s="9">
        <f>N253+6.2</f>
        <v>8.6</v>
      </c>
      <c r="V253" s="9">
        <f t="shared" ref="V253:V287" si="18">LN(U253/Y253)</f>
        <v>0.16388785510511644</v>
      </c>
      <c r="W253" s="9"/>
      <c r="X253" s="9"/>
      <c r="Y253" s="9">
        <f>O253+4.9</f>
        <v>7.3000000000000007</v>
      </c>
      <c r="Z253" s="9"/>
      <c r="AA253" s="5" t="s">
        <v>12</v>
      </c>
      <c r="AB253" s="7" t="s">
        <v>1123</v>
      </c>
      <c r="AC253" s="5" t="s">
        <v>13</v>
      </c>
      <c r="AD253" s="3">
        <v>9</v>
      </c>
      <c r="AE253" s="5" t="s">
        <v>14</v>
      </c>
      <c r="AF253" s="5" t="s">
        <v>1333</v>
      </c>
      <c r="AG253" s="5" t="s">
        <v>8</v>
      </c>
      <c r="AH253" s="5" t="s">
        <v>8</v>
      </c>
      <c r="AI253" s="5" t="s">
        <v>8</v>
      </c>
      <c r="AJ253" s="5" t="s">
        <v>8</v>
      </c>
      <c r="AK253" s="5" t="s">
        <v>84</v>
      </c>
      <c r="AL253" s="5" t="s">
        <v>14</v>
      </c>
      <c r="AM253" s="5" t="s">
        <v>1028</v>
      </c>
      <c r="AN253" s="5" t="s">
        <v>336</v>
      </c>
      <c r="AO253" s="5" t="s">
        <v>336</v>
      </c>
      <c r="AP253" s="5" t="s">
        <v>789</v>
      </c>
      <c r="AQ253" s="5" t="s">
        <v>791</v>
      </c>
      <c r="BD253" s="58"/>
      <c r="BM253" s="73"/>
      <c r="DC253" s="5">
        <v>136.69999999999999</v>
      </c>
      <c r="DF253" s="5">
        <v>105.4</v>
      </c>
    </row>
    <row r="254" spans="1:202" ht="14.65" hidden="1" customHeight="1" x14ac:dyDescent="0.2">
      <c r="A254" s="130" t="s">
        <v>329</v>
      </c>
      <c r="B254" s="131" t="s">
        <v>360</v>
      </c>
      <c r="C254" s="132">
        <v>2018</v>
      </c>
      <c r="D254" s="133">
        <v>42</v>
      </c>
      <c r="E254" s="133">
        <v>3</v>
      </c>
      <c r="F254" s="130" t="s">
        <v>1107</v>
      </c>
      <c r="G254" s="19" t="s">
        <v>361</v>
      </c>
      <c r="H254" s="5" t="s">
        <v>93</v>
      </c>
      <c r="I254" s="5" t="s">
        <v>362</v>
      </c>
      <c r="J254" s="5" t="s">
        <v>1260</v>
      </c>
      <c r="K254" s="5" t="s">
        <v>1045</v>
      </c>
      <c r="L254" s="5" t="s">
        <v>8</v>
      </c>
      <c r="M254" s="5" t="s">
        <v>9</v>
      </c>
      <c r="N254" s="7">
        <v>1.49</v>
      </c>
      <c r="O254" s="7">
        <v>3.66</v>
      </c>
      <c r="P254" s="134" t="s">
        <v>358</v>
      </c>
      <c r="Q254" s="130" t="s">
        <v>309</v>
      </c>
      <c r="R254" s="130" t="s">
        <v>27</v>
      </c>
      <c r="S254" s="130" t="s">
        <v>194</v>
      </c>
      <c r="T254" s="130" t="s">
        <v>1335</v>
      </c>
      <c r="U254" s="135">
        <f>20.5+N254</f>
        <v>21.99</v>
      </c>
      <c r="V254" s="135">
        <f t="shared" si="18"/>
        <v>1.0506670210491171</v>
      </c>
      <c r="W254" s="135"/>
      <c r="X254" s="135"/>
      <c r="Y254" s="135">
        <f>4.03+O254</f>
        <v>7.69</v>
      </c>
      <c r="Z254" s="135"/>
      <c r="AA254" s="130" t="s">
        <v>12</v>
      </c>
      <c r="AB254" s="134" t="s">
        <v>1044</v>
      </c>
      <c r="AC254" s="130" t="s">
        <v>74</v>
      </c>
      <c r="AD254" s="130">
        <v>9</v>
      </c>
      <c r="AE254" s="130" t="s">
        <v>8</v>
      </c>
      <c r="AF254" s="130" t="s">
        <v>1291</v>
      </c>
      <c r="AG254" s="130" t="s">
        <v>14</v>
      </c>
      <c r="AH254" s="130" t="s">
        <v>14</v>
      </c>
      <c r="AI254" s="130" t="s">
        <v>14</v>
      </c>
      <c r="AJ254" s="130" t="s">
        <v>8</v>
      </c>
      <c r="AK254" s="130" t="s">
        <v>363</v>
      </c>
      <c r="AL254" s="130" t="s">
        <v>8</v>
      </c>
      <c r="AM254" s="130" t="s">
        <v>364</v>
      </c>
      <c r="AN254" s="130" t="s">
        <v>67</v>
      </c>
      <c r="AO254" s="130" t="s">
        <v>67</v>
      </c>
      <c r="AP254" s="130" t="s">
        <v>1149</v>
      </c>
      <c r="AQ254" s="136" t="s">
        <v>365</v>
      </c>
      <c r="AR254" s="130"/>
      <c r="AS254" s="130"/>
      <c r="AT254" s="130"/>
      <c r="AU254" s="130"/>
      <c r="AV254" s="130"/>
      <c r="AW254" s="130"/>
      <c r="AX254" s="130"/>
      <c r="AY254" s="130"/>
      <c r="AZ254" s="130"/>
      <c r="BA254" s="130"/>
      <c r="BB254" s="130"/>
      <c r="BC254" s="130"/>
      <c r="BD254" s="137"/>
      <c r="BE254" s="130"/>
      <c r="BF254" s="130"/>
      <c r="BG254" s="130"/>
      <c r="BH254" s="130"/>
      <c r="BI254" s="130"/>
      <c r="BJ254" s="130"/>
      <c r="BK254" s="130"/>
      <c r="BL254" s="130"/>
      <c r="BM254" s="143"/>
      <c r="BN254" s="130"/>
      <c r="BO254" s="130"/>
      <c r="BP254" s="130"/>
      <c r="BQ254" s="130"/>
      <c r="BR254" s="130"/>
      <c r="BS254" s="130"/>
      <c r="BT254" s="130"/>
      <c r="BU254" s="130"/>
      <c r="BV254" s="130"/>
      <c r="BW254" s="130"/>
      <c r="BX254" s="130"/>
      <c r="BY254" s="130"/>
      <c r="BZ254" s="130"/>
      <c r="CA254" s="130"/>
      <c r="CB254" s="130"/>
      <c r="CC254" s="130"/>
      <c r="CD254" s="130"/>
      <c r="CE254" s="130"/>
      <c r="CF254" s="130"/>
      <c r="CG254" s="130"/>
      <c r="CH254" s="130"/>
      <c r="CI254" s="130"/>
      <c r="CJ254" s="130"/>
      <c r="CK254" s="130"/>
      <c r="CL254" s="130"/>
      <c r="CM254" s="130"/>
      <c r="CN254" s="130"/>
      <c r="CO254" s="130"/>
      <c r="CP254" s="130"/>
      <c r="CQ254" s="130"/>
      <c r="CR254" s="130"/>
      <c r="CS254" s="130"/>
      <c r="CT254" s="130"/>
      <c r="CU254" s="130"/>
      <c r="CV254" s="130"/>
      <c r="CW254" s="130"/>
      <c r="CX254" s="138"/>
      <c r="CY254" s="130"/>
      <c r="CZ254" s="130"/>
      <c r="DA254" s="130"/>
      <c r="DB254" s="130"/>
      <c r="DC254" s="130"/>
      <c r="DD254" s="130"/>
      <c r="DE254" s="130"/>
      <c r="DF254" s="130"/>
      <c r="DG254" s="130"/>
      <c r="DH254" s="130"/>
      <c r="DI254" s="130"/>
      <c r="DJ254" s="130"/>
      <c r="DK254" s="130"/>
      <c r="DL254" s="130"/>
      <c r="DM254" s="130"/>
      <c r="DN254" s="130"/>
      <c r="DO254" s="130"/>
      <c r="DP254" s="130"/>
      <c r="DQ254" s="130"/>
      <c r="DR254" s="130"/>
      <c r="DS254" s="130"/>
      <c r="DT254" s="130"/>
      <c r="DU254" s="130"/>
      <c r="DV254" s="130"/>
      <c r="DW254" s="130"/>
      <c r="DX254" s="130"/>
      <c r="DY254" s="130"/>
      <c r="DZ254" s="130"/>
      <c r="EA254" s="130"/>
      <c r="EB254" s="130"/>
      <c r="EC254" s="130"/>
      <c r="ED254" s="130"/>
      <c r="EE254" s="130"/>
      <c r="EF254" s="130"/>
      <c r="EG254" s="130"/>
      <c r="EH254" s="130"/>
      <c r="EI254" s="130"/>
      <c r="EJ254" s="130"/>
      <c r="EK254" s="130"/>
      <c r="EL254" s="130"/>
      <c r="EM254" s="130"/>
      <c r="EN254" s="130"/>
      <c r="EO254" s="130"/>
      <c r="EP254" s="130"/>
      <c r="EQ254" s="130"/>
      <c r="ER254" s="130"/>
      <c r="ES254" s="130"/>
      <c r="ET254" s="130"/>
      <c r="EU254" s="130"/>
      <c r="EV254" s="130"/>
      <c r="EW254" s="130"/>
      <c r="EX254" s="130"/>
      <c r="EY254" s="130"/>
      <c r="EZ254" s="130"/>
      <c r="FA254" s="130"/>
      <c r="FB254" s="130"/>
      <c r="FC254" s="130"/>
      <c r="FD254" s="130"/>
      <c r="FE254" s="130"/>
      <c r="FF254" s="130"/>
      <c r="FG254" s="130"/>
      <c r="FH254" s="130"/>
      <c r="FI254" s="130"/>
      <c r="FJ254" s="130"/>
      <c r="FK254" s="130"/>
      <c r="FL254" s="130"/>
      <c r="FM254" s="130"/>
      <c r="FN254" s="130"/>
      <c r="FO254" s="130"/>
      <c r="FP254" s="130"/>
      <c r="FQ254" s="130"/>
      <c r="FR254" s="130"/>
      <c r="FS254" s="130"/>
      <c r="FT254" s="130"/>
      <c r="FU254" s="130"/>
      <c r="FV254" s="130"/>
      <c r="FW254" s="130"/>
      <c r="FX254" s="130"/>
      <c r="FY254" s="130"/>
      <c r="FZ254" s="130"/>
      <c r="GA254" s="130"/>
      <c r="GB254" s="130"/>
      <c r="GC254" s="130"/>
      <c r="GD254" s="130"/>
      <c r="GE254" s="130"/>
      <c r="GF254" s="130"/>
      <c r="GG254" s="130"/>
      <c r="GH254" s="130"/>
      <c r="GI254" s="130"/>
      <c r="GJ254" s="130"/>
      <c r="GK254" s="130"/>
      <c r="GL254" s="130"/>
      <c r="GM254" s="130"/>
      <c r="GN254" s="130"/>
      <c r="GO254" s="130"/>
      <c r="GP254" s="130"/>
      <c r="GQ254" s="130"/>
      <c r="GR254" s="130"/>
      <c r="GS254" s="130"/>
      <c r="GT254" s="130"/>
    </row>
    <row r="255" spans="1:202" ht="14.65" customHeight="1" x14ac:dyDescent="0.25">
      <c r="A255" s="103" t="s">
        <v>329</v>
      </c>
      <c r="B255" s="141" t="s">
        <v>792</v>
      </c>
      <c r="C255" s="105">
        <v>2016</v>
      </c>
      <c r="D255" s="106">
        <v>106</v>
      </c>
      <c r="E255" s="106">
        <v>1</v>
      </c>
      <c r="F255" s="103" t="s">
        <v>865</v>
      </c>
      <c r="G255" s="5" t="s">
        <v>16</v>
      </c>
      <c r="H255" s="5" t="s">
        <v>5</v>
      </c>
      <c r="I255" s="5" t="s">
        <v>794</v>
      </c>
      <c r="J255" s="5" t="s">
        <v>25</v>
      </c>
      <c r="K255" s="5" t="s">
        <v>1046</v>
      </c>
      <c r="L255" s="5" t="s">
        <v>1049</v>
      </c>
      <c r="M255" s="5" t="s">
        <v>9</v>
      </c>
      <c r="N255" s="85">
        <f>2.05</f>
        <v>2.0499999999999998</v>
      </c>
      <c r="O255" s="85">
        <v>2.29</v>
      </c>
      <c r="P255" s="107" t="s">
        <v>866</v>
      </c>
      <c r="Q255" s="103" t="s">
        <v>39</v>
      </c>
      <c r="R255" s="103" t="s">
        <v>795</v>
      </c>
      <c r="S255" s="103" t="s">
        <v>1028</v>
      </c>
      <c r="T255" s="103" t="s">
        <v>1335</v>
      </c>
      <c r="U255" s="108">
        <f>O255+6.35</f>
        <v>8.64</v>
      </c>
      <c r="V255" s="108">
        <f t="shared" si="18"/>
        <v>0.58987217139314041</v>
      </c>
      <c r="W255" s="108"/>
      <c r="X255" s="108"/>
      <c r="Y255" s="108">
        <f>O255+2.5</f>
        <v>4.79</v>
      </c>
      <c r="Z255" s="108"/>
      <c r="AA255" s="103" t="s">
        <v>12</v>
      </c>
      <c r="AB255" s="107" t="s">
        <v>1123</v>
      </c>
      <c r="AC255" s="103" t="s">
        <v>74</v>
      </c>
      <c r="AD255" s="103">
        <v>9</v>
      </c>
      <c r="AE255" s="103" t="s">
        <v>14</v>
      </c>
      <c r="AF255" s="103" t="s">
        <v>1326</v>
      </c>
      <c r="AG255" s="103" t="s">
        <v>8</v>
      </c>
      <c r="AH255" s="103" t="s">
        <v>8</v>
      </c>
      <c r="AI255" s="103" t="s">
        <v>8</v>
      </c>
      <c r="AJ255" s="103" t="s">
        <v>8</v>
      </c>
      <c r="AK255" s="103" t="s">
        <v>84</v>
      </c>
      <c r="AL255" s="103" t="s">
        <v>14</v>
      </c>
      <c r="AM255" s="103" t="s">
        <v>1028</v>
      </c>
      <c r="AN255" s="103" t="s">
        <v>1028</v>
      </c>
      <c r="AO255" s="103" t="s">
        <v>1028</v>
      </c>
      <c r="AP255" s="103" t="s">
        <v>793</v>
      </c>
      <c r="AQ255" s="103" t="s">
        <v>796</v>
      </c>
      <c r="AR255" s="103"/>
      <c r="AS255" s="103"/>
      <c r="AT255" s="103"/>
      <c r="AU255" s="103"/>
      <c r="AV255" s="103"/>
      <c r="AW255" s="103"/>
      <c r="AX255" s="103"/>
      <c r="AY255" s="103"/>
      <c r="AZ255" s="103"/>
      <c r="BA255" s="103"/>
      <c r="BB255" s="103"/>
      <c r="BC255" s="103"/>
      <c r="BD255" s="111"/>
      <c r="BE255" s="103"/>
      <c r="BF255" s="103"/>
      <c r="BG255" s="103"/>
      <c r="BH255" s="103"/>
      <c r="BI255" s="103"/>
      <c r="BJ255" s="103"/>
      <c r="BK255" s="103"/>
      <c r="BL255" s="103"/>
      <c r="BM255" s="142"/>
      <c r="BN255" s="103"/>
      <c r="BO255" s="103"/>
      <c r="BP255" s="103"/>
      <c r="BQ255" s="103"/>
      <c r="BR255" s="103"/>
      <c r="BS255" s="103"/>
      <c r="BT255" s="103"/>
      <c r="BU255" s="103"/>
      <c r="BV255" s="103"/>
      <c r="BW255" s="103"/>
      <c r="BX255" s="103"/>
      <c r="BY255" s="103"/>
      <c r="BZ255" s="103"/>
      <c r="CA255" s="103"/>
      <c r="CB255" s="103"/>
      <c r="CC255" s="103"/>
      <c r="CD255" s="103"/>
      <c r="CE255" s="103"/>
      <c r="CF255" s="103"/>
      <c r="CG255" s="103"/>
      <c r="CH255" s="103"/>
      <c r="CI255" s="103"/>
      <c r="CJ255" s="103"/>
      <c r="CK255" s="103"/>
      <c r="CL255" s="103"/>
      <c r="CM255" s="103"/>
      <c r="CN255" s="103"/>
      <c r="CO255" s="103"/>
      <c r="CP255" s="103"/>
      <c r="CQ255" s="103"/>
      <c r="CR255" s="103"/>
      <c r="CS255" s="103"/>
      <c r="CT255" s="103"/>
      <c r="CU255" s="103"/>
      <c r="CV255" s="103"/>
      <c r="CW255" s="103"/>
      <c r="CX255" s="113"/>
      <c r="CY255" s="103"/>
      <c r="CZ255" s="103"/>
      <c r="DA255" s="103"/>
      <c r="DB255" s="103"/>
      <c r="DC255" s="103">
        <v>138.85</v>
      </c>
      <c r="DD255" s="103"/>
      <c r="DE255" s="103"/>
      <c r="DF255" s="103">
        <v>75.709999999999994</v>
      </c>
      <c r="DG255" s="103"/>
      <c r="DH255" s="103"/>
      <c r="DI255" s="103"/>
      <c r="DJ255" s="103"/>
      <c r="DK255" s="103"/>
      <c r="DL255" s="103"/>
      <c r="DM255" s="103"/>
      <c r="DN255" s="103"/>
      <c r="DO255" s="103"/>
      <c r="DP255" s="103"/>
      <c r="DQ255" s="103"/>
      <c r="DR255" s="103"/>
      <c r="DS255" s="103"/>
      <c r="DT255" s="103"/>
      <c r="DU255" s="103"/>
      <c r="DV255" s="103"/>
      <c r="DW255" s="103"/>
      <c r="DX255" s="103"/>
      <c r="DY255" s="103"/>
      <c r="DZ255" s="103"/>
      <c r="EA255" s="103"/>
      <c r="EB255" s="103"/>
      <c r="EC255" s="103"/>
      <c r="ED255" s="103"/>
      <c r="EE255" s="103"/>
      <c r="EF255" s="103"/>
      <c r="EG255" s="103"/>
      <c r="EH255" s="103"/>
      <c r="EI255" s="103"/>
      <c r="EJ255" s="103"/>
      <c r="EK255" s="103"/>
      <c r="EL255" s="103"/>
      <c r="EM255" s="103"/>
      <c r="EN255" s="103"/>
      <c r="EO255" s="103"/>
      <c r="EP255" s="103"/>
      <c r="EQ255" s="103"/>
      <c r="ER255" s="103"/>
      <c r="ES255" s="103"/>
      <c r="ET255" s="103"/>
      <c r="EU255" s="103"/>
      <c r="EV255" s="103"/>
      <c r="EW255" s="103"/>
      <c r="EX255" s="103"/>
      <c r="EY255" s="103"/>
      <c r="EZ255" s="103"/>
      <c r="FA255" s="103"/>
      <c r="FB255" s="103"/>
      <c r="FC255" s="103"/>
      <c r="FD255" s="103"/>
      <c r="FE255" s="103"/>
      <c r="FF255" s="103"/>
      <c r="FG255" s="103"/>
      <c r="FH255" s="103"/>
      <c r="FI255" s="103"/>
      <c r="FJ255" s="103"/>
      <c r="FK255" s="103"/>
      <c r="FL255" s="103"/>
      <c r="FM255" s="103"/>
      <c r="FN255" s="103"/>
      <c r="FO255" s="103"/>
      <c r="FP255" s="103"/>
      <c r="FQ255" s="103"/>
      <c r="FR255" s="103"/>
      <c r="FS255" s="103"/>
      <c r="FT255" s="103"/>
      <c r="FU255" s="103"/>
      <c r="FV255" s="103"/>
      <c r="FW255" s="103"/>
      <c r="FX255" s="103"/>
      <c r="FY255" s="103"/>
      <c r="FZ255" s="103"/>
      <c r="GA255" s="103"/>
      <c r="GB255" s="103"/>
      <c r="GC255" s="103"/>
      <c r="GD255" s="103"/>
      <c r="GE255" s="103"/>
      <c r="GF255" s="103"/>
      <c r="GG255" s="103"/>
      <c r="GH255" s="103"/>
      <c r="GI255" s="103"/>
      <c r="GJ255" s="103"/>
      <c r="GK255" s="103"/>
      <c r="GL255" s="103"/>
      <c r="GM255" s="103"/>
      <c r="GN255" s="103"/>
      <c r="GO255" s="103"/>
      <c r="GP255" s="103"/>
      <c r="GQ255" s="103"/>
      <c r="GR255" s="103"/>
      <c r="GS255" s="103"/>
      <c r="GT255" s="103"/>
    </row>
    <row r="256" spans="1:202" ht="14.65" hidden="1" customHeight="1" x14ac:dyDescent="0.25">
      <c r="A256" s="3" t="s">
        <v>1</v>
      </c>
      <c r="B256" s="65" t="s">
        <v>1141</v>
      </c>
      <c r="C256" s="28">
        <v>2022</v>
      </c>
      <c r="D256" s="16">
        <v>114</v>
      </c>
      <c r="E256" s="16">
        <v>4</v>
      </c>
      <c r="F256" s="5" t="s">
        <v>1186</v>
      </c>
      <c r="G256" s="5" t="s">
        <v>120</v>
      </c>
      <c r="H256" s="5" t="s">
        <v>93</v>
      </c>
      <c r="I256" s="5" t="s">
        <v>37</v>
      </c>
      <c r="J256" s="5" t="s">
        <v>25</v>
      </c>
      <c r="K256" s="5" t="s">
        <v>726</v>
      </c>
      <c r="L256" s="5" t="s">
        <v>60</v>
      </c>
      <c r="M256" s="5" t="s">
        <v>9</v>
      </c>
      <c r="N256" s="7">
        <v>2.2999999999999998</v>
      </c>
      <c r="O256" s="7">
        <v>2.2999999999999998</v>
      </c>
      <c r="P256" s="7" t="s">
        <v>1142</v>
      </c>
      <c r="Q256" s="5" t="s">
        <v>309</v>
      </c>
      <c r="R256" s="5" t="s">
        <v>27</v>
      </c>
      <c r="S256" s="5" t="s">
        <v>1146</v>
      </c>
      <c r="T256" s="5" t="s">
        <v>1335</v>
      </c>
      <c r="U256" s="9">
        <f>N256+3.6</f>
        <v>5.9</v>
      </c>
      <c r="V256" s="9">
        <f t="shared" si="18"/>
        <v>-0.5175824062288702</v>
      </c>
      <c r="W256" s="9"/>
      <c r="X256" s="9"/>
      <c r="Y256" s="9">
        <f>7.6+O256</f>
        <v>9.8999999999999986</v>
      </c>
      <c r="Z256" s="9"/>
      <c r="AA256" s="5" t="s">
        <v>12</v>
      </c>
      <c r="AB256" s="7" t="s">
        <v>1123</v>
      </c>
      <c r="AC256" s="5" t="s">
        <v>1144</v>
      </c>
      <c r="AD256" s="5">
        <v>9</v>
      </c>
      <c r="AE256" s="5" t="s">
        <v>14</v>
      </c>
      <c r="AF256" s="5" t="s">
        <v>97</v>
      </c>
      <c r="AG256" s="5" t="s">
        <v>8</v>
      </c>
      <c r="AH256" s="5" t="s">
        <v>14</v>
      </c>
      <c r="AI256" s="5" t="s">
        <v>14</v>
      </c>
      <c r="AJ256" s="5" t="s">
        <v>14</v>
      </c>
      <c r="AK256" s="5" t="s">
        <v>1143</v>
      </c>
      <c r="AL256" s="5" t="s">
        <v>8</v>
      </c>
      <c r="AM256" s="5">
        <v>2021</v>
      </c>
      <c r="AN256" s="5" t="s">
        <v>67</v>
      </c>
      <c r="AO256" s="5" t="s">
        <v>18</v>
      </c>
      <c r="AP256" s="5" t="s">
        <v>1148</v>
      </c>
      <c r="AQ256" s="5" t="s">
        <v>1145</v>
      </c>
      <c r="AR256" s="44">
        <v>3.5600000000000001E-9</v>
      </c>
      <c r="AS256" s="44"/>
      <c r="AT256" s="44"/>
      <c r="AU256" s="44">
        <v>3.05E-9</v>
      </c>
      <c r="AZ256" s="9">
        <v>8.9399999999999993E-2</v>
      </c>
      <c r="BC256" s="12">
        <v>1.1900000000000001E-2</v>
      </c>
      <c r="BD256" s="59">
        <f>LN(AZ256/BC256)</f>
        <v>2.0165822820619845</v>
      </c>
      <c r="BI256" s="17">
        <v>2.8600000000000001E-3</v>
      </c>
      <c r="BJ256" s="17"/>
      <c r="BK256" s="17"/>
      <c r="BL256" s="17">
        <v>1.65E-3</v>
      </c>
      <c r="BM256" s="48">
        <f>LN(BI256/BL256)</f>
        <v>0.55004633691927196</v>
      </c>
      <c r="CD256" s="12">
        <v>0.34</v>
      </c>
      <c r="CE256" s="12"/>
      <c r="CF256" s="12"/>
      <c r="CG256" s="12">
        <v>5.6000000000000001E-2</v>
      </c>
      <c r="CP256" s="27">
        <v>3.9500000000000004E-3</v>
      </c>
      <c r="CS256" s="27">
        <v>7.1000000000000004E-3</v>
      </c>
      <c r="DK256" s="12">
        <v>0.26600000000000001</v>
      </c>
      <c r="DL256" s="12"/>
      <c r="DM256" s="12"/>
      <c r="DN256" s="12">
        <v>0.26300000000000001</v>
      </c>
    </row>
    <row r="257" spans="1:202" ht="14.65" hidden="1" customHeight="1" x14ac:dyDescent="0.25">
      <c r="A257" s="3" t="s">
        <v>1</v>
      </c>
      <c r="B257" s="65" t="s">
        <v>1141</v>
      </c>
      <c r="C257" s="28">
        <v>2022</v>
      </c>
      <c r="D257" s="16">
        <v>114</v>
      </c>
      <c r="E257" s="16">
        <v>1</v>
      </c>
      <c r="F257" s="5" t="s">
        <v>1186</v>
      </c>
      <c r="G257" s="5" t="s">
        <v>120</v>
      </c>
      <c r="H257" s="5" t="s">
        <v>93</v>
      </c>
      <c r="I257" s="5" t="s">
        <v>454</v>
      </c>
      <c r="J257" s="5" t="s">
        <v>7</v>
      </c>
      <c r="K257" s="48" t="s">
        <v>1046</v>
      </c>
      <c r="L257" s="5" t="s">
        <v>60</v>
      </c>
      <c r="M257" s="5" t="s">
        <v>9</v>
      </c>
      <c r="N257" s="7">
        <v>2.2999999999999998</v>
      </c>
      <c r="O257" s="7">
        <v>2.2999999999999998</v>
      </c>
      <c r="P257" s="7" t="s">
        <v>1142</v>
      </c>
      <c r="Q257" s="5" t="s">
        <v>309</v>
      </c>
      <c r="R257" s="5" t="s">
        <v>27</v>
      </c>
      <c r="S257" s="5" t="s">
        <v>1146</v>
      </c>
      <c r="T257" s="5" t="s">
        <v>1335</v>
      </c>
      <c r="U257" s="9">
        <f>N257+4.6</f>
        <v>6.8999999999999995</v>
      </c>
      <c r="V257" s="9">
        <f t="shared" si="18"/>
        <v>-0.3610133455373305</v>
      </c>
      <c r="W257" s="9"/>
      <c r="X257" s="9"/>
      <c r="Y257" s="9">
        <f>7.6+O257</f>
        <v>9.8999999999999986</v>
      </c>
      <c r="Z257" s="9"/>
      <c r="AA257" s="5" t="s">
        <v>12</v>
      </c>
      <c r="AB257" s="7" t="s">
        <v>1123</v>
      </c>
      <c r="AC257" s="5" t="s">
        <v>1144</v>
      </c>
      <c r="AD257" s="5">
        <v>9</v>
      </c>
      <c r="AE257" s="5" t="s">
        <v>14</v>
      </c>
      <c r="AF257" s="5" t="s">
        <v>97</v>
      </c>
      <c r="AG257" s="5" t="s">
        <v>8</v>
      </c>
      <c r="AH257" s="5" t="s">
        <v>14</v>
      </c>
      <c r="AI257" s="5" t="s">
        <v>14</v>
      </c>
      <c r="AJ257" s="5" t="s">
        <v>14</v>
      </c>
      <c r="AK257" s="5" t="s">
        <v>1143</v>
      </c>
      <c r="AL257" s="5" t="s">
        <v>8</v>
      </c>
      <c r="AM257" s="5">
        <v>2021</v>
      </c>
      <c r="AN257" s="5" t="s">
        <v>67</v>
      </c>
      <c r="AO257" s="5" t="s">
        <v>18</v>
      </c>
      <c r="AP257" s="5" t="s">
        <v>1148</v>
      </c>
      <c r="AQ257" s="5" t="s">
        <v>1145</v>
      </c>
      <c r="AR257" s="44">
        <v>3.5499999999999999E-9</v>
      </c>
      <c r="AS257" s="44"/>
      <c r="AT257" s="44"/>
      <c r="AU257" s="44">
        <v>3.05E-9</v>
      </c>
      <c r="AZ257" s="9">
        <v>9.4200000000000006E-2</v>
      </c>
      <c r="BC257" s="12">
        <v>1.1900000000000001E-2</v>
      </c>
      <c r="BD257" s="59">
        <f>LN(AZ257/BC257)</f>
        <v>2.0688817814648339</v>
      </c>
      <c r="BI257" s="17">
        <v>4.2900000000000004E-3</v>
      </c>
      <c r="BJ257" s="17"/>
      <c r="BK257" s="17"/>
      <c r="BL257" s="17">
        <v>1.65E-3</v>
      </c>
      <c r="BM257" s="48">
        <f>LN(BI257/BL257)</f>
        <v>0.95551144502743635</v>
      </c>
      <c r="CD257" s="12">
        <v>0.40200000000000002</v>
      </c>
      <c r="CE257" s="12"/>
      <c r="CF257" s="12"/>
      <c r="CG257" s="12">
        <v>5.6000000000000001E-2</v>
      </c>
      <c r="CP257" s="27">
        <v>4.2500000000000003E-3</v>
      </c>
      <c r="CS257" s="27">
        <v>7.1000000000000004E-3</v>
      </c>
      <c r="DK257" s="12">
        <v>0.48599999999999999</v>
      </c>
      <c r="DL257" s="12"/>
      <c r="DM257" s="12"/>
      <c r="DN257" s="12">
        <v>0.26300000000000001</v>
      </c>
    </row>
    <row r="258" spans="1:202" ht="14.65" hidden="1" customHeight="1" x14ac:dyDescent="0.25">
      <c r="A258" s="3" t="s">
        <v>1</v>
      </c>
      <c r="B258" s="65" t="s">
        <v>1141</v>
      </c>
      <c r="C258" s="28">
        <v>2022</v>
      </c>
      <c r="D258" s="16">
        <v>114</v>
      </c>
      <c r="E258" s="16">
        <v>2</v>
      </c>
      <c r="F258" s="5" t="s">
        <v>1186</v>
      </c>
      <c r="G258" s="5" t="s">
        <v>120</v>
      </c>
      <c r="H258" s="5" t="s">
        <v>93</v>
      </c>
      <c r="I258" s="5" t="s">
        <v>59</v>
      </c>
      <c r="J258" s="5" t="s">
        <v>7</v>
      </c>
      <c r="K258" s="48" t="s">
        <v>1046</v>
      </c>
      <c r="L258" s="5" t="s">
        <v>60</v>
      </c>
      <c r="M258" s="5" t="s">
        <v>9</v>
      </c>
      <c r="N258" s="7">
        <v>2.2999999999999998</v>
      </c>
      <c r="O258" s="7">
        <v>2.2999999999999998</v>
      </c>
      <c r="P258" s="7" t="s">
        <v>1142</v>
      </c>
      <c r="Q258" s="5" t="s">
        <v>309</v>
      </c>
      <c r="R258" s="5" t="s">
        <v>27</v>
      </c>
      <c r="S258" s="5" t="s">
        <v>1146</v>
      </c>
      <c r="T258" s="5" t="s">
        <v>1335</v>
      </c>
      <c r="U258" s="9">
        <f>N258+4</f>
        <v>6.3</v>
      </c>
      <c r="V258" s="9">
        <f t="shared" si="18"/>
        <v>-0.4519851237430571</v>
      </c>
      <c r="W258" s="9"/>
      <c r="X258" s="9"/>
      <c r="Y258" s="9">
        <f>7.6+O258</f>
        <v>9.8999999999999986</v>
      </c>
      <c r="Z258" s="9"/>
      <c r="AA258" s="5" t="s">
        <v>12</v>
      </c>
      <c r="AB258" s="7" t="s">
        <v>1123</v>
      </c>
      <c r="AC258" s="5" t="s">
        <v>1144</v>
      </c>
      <c r="AD258" s="5">
        <v>9</v>
      </c>
      <c r="AE258" s="5" t="s">
        <v>14</v>
      </c>
      <c r="AF258" s="5" t="s">
        <v>97</v>
      </c>
      <c r="AG258" s="5" t="s">
        <v>8</v>
      </c>
      <c r="AH258" s="5" t="s">
        <v>14</v>
      </c>
      <c r="AI258" s="5" t="s">
        <v>14</v>
      </c>
      <c r="AJ258" s="5" t="s">
        <v>14</v>
      </c>
      <c r="AK258" s="5" t="s">
        <v>1143</v>
      </c>
      <c r="AL258" s="5" t="s">
        <v>8</v>
      </c>
      <c r="AM258" s="5">
        <v>2021</v>
      </c>
      <c r="AN258" s="5" t="s">
        <v>67</v>
      </c>
      <c r="AO258" s="5" t="s">
        <v>1147</v>
      </c>
      <c r="AP258" s="5" t="s">
        <v>1148</v>
      </c>
      <c r="AQ258" s="5" t="s">
        <v>1145</v>
      </c>
      <c r="AR258" s="44">
        <v>3.6100000000000001E-9</v>
      </c>
      <c r="AS258" s="44"/>
      <c r="AT258" s="44"/>
      <c r="AU258" s="44">
        <v>3.05E-9</v>
      </c>
      <c r="AZ258" s="9">
        <v>9.1800000000000007E-2</v>
      </c>
      <c r="BC258" s="12">
        <v>1.1900000000000001E-2</v>
      </c>
      <c r="BD258" s="59">
        <f>LN(AZ258/BC258)</f>
        <v>2.0430738975089611</v>
      </c>
      <c r="BI258" s="17">
        <v>1.09E-2</v>
      </c>
      <c r="BJ258" s="17"/>
      <c r="BK258" s="17"/>
      <c r="BL258" s="17">
        <v>1.65E-3</v>
      </c>
      <c r="BM258" s="48">
        <f>LN(BI258/BL258)</f>
        <v>1.8879875013226088</v>
      </c>
      <c r="CD258" s="12">
        <v>0.39600000000000002</v>
      </c>
      <c r="CE258" s="12"/>
      <c r="CF258" s="12"/>
      <c r="CG258" s="12">
        <v>5.6000000000000001E-2</v>
      </c>
      <c r="CP258" s="27">
        <v>4.1700000000000001E-3</v>
      </c>
      <c r="CS258" s="27">
        <v>7.1000000000000004E-3</v>
      </c>
      <c r="DK258" s="12">
        <v>0.442</v>
      </c>
      <c r="DL258" s="12"/>
      <c r="DM258" s="12"/>
      <c r="DN258" s="12">
        <v>0.26300000000000001</v>
      </c>
    </row>
    <row r="259" spans="1:202" ht="14.65" hidden="1" customHeight="1" x14ac:dyDescent="0.25">
      <c r="A259" s="3" t="s">
        <v>1</v>
      </c>
      <c r="B259" s="65" t="s">
        <v>1141</v>
      </c>
      <c r="C259" s="28">
        <v>2022</v>
      </c>
      <c r="D259" s="16">
        <v>114</v>
      </c>
      <c r="E259" s="16">
        <v>3</v>
      </c>
      <c r="F259" s="5" t="s">
        <v>1186</v>
      </c>
      <c r="G259" s="5" t="s">
        <v>120</v>
      </c>
      <c r="H259" s="5" t="s">
        <v>93</v>
      </c>
      <c r="I259" s="5" t="s">
        <v>6</v>
      </c>
      <c r="J259" s="5" t="s">
        <v>7</v>
      </c>
      <c r="K259" s="48" t="s">
        <v>1046</v>
      </c>
      <c r="L259" s="5" t="s">
        <v>60</v>
      </c>
      <c r="M259" s="5" t="s">
        <v>9</v>
      </c>
      <c r="N259" s="7">
        <v>2.2999999999999998</v>
      </c>
      <c r="O259" s="7">
        <v>2.2999999999999998</v>
      </c>
      <c r="P259" s="7" t="s">
        <v>1142</v>
      </c>
      <c r="Q259" s="5" t="s">
        <v>309</v>
      </c>
      <c r="R259" s="5" t="s">
        <v>27</v>
      </c>
      <c r="S259" s="5" t="s">
        <v>1146</v>
      </c>
      <c r="T259" s="5" t="s">
        <v>1335</v>
      </c>
      <c r="U259" s="9">
        <f>N259+4.9</f>
        <v>7.2</v>
      </c>
      <c r="V259" s="9">
        <f t="shared" si="18"/>
        <v>-0.31845373111853442</v>
      </c>
      <c r="W259" s="9"/>
      <c r="X259" s="9"/>
      <c r="Y259" s="9">
        <f>7.6+O259</f>
        <v>9.8999999999999986</v>
      </c>
      <c r="Z259" s="9"/>
      <c r="AA259" s="5" t="s">
        <v>12</v>
      </c>
      <c r="AB259" s="7" t="s">
        <v>1123</v>
      </c>
      <c r="AC259" s="5" t="s">
        <v>1144</v>
      </c>
      <c r="AD259" s="5">
        <v>9</v>
      </c>
      <c r="AE259" s="5" t="s">
        <v>14</v>
      </c>
      <c r="AF259" s="5" t="s">
        <v>97</v>
      </c>
      <c r="AG259" s="5" t="s">
        <v>8</v>
      </c>
      <c r="AH259" s="5" t="s">
        <v>14</v>
      </c>
      <c r="AI259" s="5" t="s">
        <v>14</v>
      </c>
      <c r="AJ259" s="5" t="s">
        <v>14</v>
      </c>
      <c r="AK259" s="5" t="s">
        <v>1143</v>
      </c>
      <c r="AL259" s="5" t="s">
        <v>8</v>
      </c>
      <c r="AM259" s="5">
        <v>2021</v>
      </c>
      <c r="AN259" s="5" t="s">
        <v>67</v>
      </c>
      <c r="AO259" s="5" t="s">
        <v>18</v>
      </c>
      <c r="AP259" s="5" t="s">
        <v>1148</v>
      </c>
      <c r="AQ259" s="5" t="s">
        <v>1145</v>
      </c>
      <c r="AR259" s="44">
        <v>3.6E-9</v>
      </c>
      <c r="AS259" s="44"/>
      <c r="AT259" s="44"/>
      <c r="AU259" s="44">
        <v>3.05E-9</v>
      </c>
      <c r="AZ259" s="9">
        <v>9.4200000000000006E-2</v>
      </c>
      <c r="BC259" s="12">
        <v>1.1900000000000001E-2</v>
      </c>
      <c r="BD259" s="59">
        <f>LN(AZ259/BC259)</f>
        <v>2.0688817814648339</v>
      </c>
      <c r="BI259" s="17">
        <v>6.5900000000000004E-3</v>
      </c>
      <c r="BJ259" s="17"/>
      <c r="BK259" s="17"/>
      <c r="BL259" s="17">
        <v>1.65E-3</v>
      </c>
      <c r="BM259" s="48">
        <f>LN(BI259/BL259)</f>
        <v>1.3847780606019267</v>
      </c>
      <c r="CD259" s="12">
        <v>0.38100000000000001</v>
      </c>
      <c r="CE259" s="12"/>
      <c r="CF259" s="12"/>
      <c r="CG259" s="12">
        <v>5.6000000000000001E-2</v>
      </c>
      <c r="CP259" s="27">
        <v>4.3099999999999996E-3</v>
      </c>
      <c r="CS259" s="27">
        <v>7.1000000000000004E-3</v>
      </c>
      <c r="DK259" s="12">
        <v>0.42399999999999999</v>
      </c>
      <c r="DL259" s="12"/>
      <c r="DM259" s="12"/>
      <c r="DN259" s="12">
        <v>0.26300000000000001</v>
      </c>
    </row>
    <row r="260" spans="1:202" ht="14.65" customHeight="1" x14ac:dyDescent="0.2">
      <c r="A260" s="103" t="s">
        <v>329</v>
      </c>
      <c r="B260" s="104" t="s">
        <v>792</v>
      </c>
      <c r="C260" s="105">
        <v>2016</v>
      </c>
      <c r="D260" s="106">
        <v>106</v>
      </c>
      <c r="E260" s="106">
        <v>3</v>
      </c>
      <c r="F260" s="103" t="s">
        <v>865</v>
      </c>
      <c r="G260" s="5" t="s">
        <v>16</v>
      </c>
      <c r="H260" s="5" t="s">
        <v>5</v>
      </c>
      <c r="I260" s="5" t="s">
        <v>798</v>
      </c>
      <c r="J260" s="5" t="s">
        <v>90</v>
      </c>
      <c r="K260" s="48" t="s">
        <v>1046</v>
      </c>
      <c r="L260" s="5" t="s">
        <v>1049</v>
      </c>
      <c r="M260" s="5" t="s">
        <v>9</v>
      </c>
      <c r="N260" s="85">
        <f>2.05</f>
        <v>2.0499999999999998</v>
      </c>
      <c r="O260" s="85">
        <v>2.29</v>
      </c>
      <c r="P260" s="107" t="s">
        <v>866</v>
      </c>
      <c r="Q260" s="103" t="s">
        <v>39</v>
      </c>
      <c r="R260" s="103" t="s">
        <v>795</v>
      </c>
      <c r="S260" s="103" t="s">
        <v>1028</v>
      </c>
      <c r="T260" s="103" t="s">
        <v>1335</v>
      </c>
      <c r="U260" s="108">
        <f>N260+5.89</f>
        <v>7.9399999999999995</v>
      </c>
      <c r="V260" s="108">
        <f t="shared" si="18"/>
        <v>0.50538286383622044</v>
      </c>
      <c r="W260" s="108"/>
      <c r="X260" s="108"/>
      <c r="Y260" s="108">
        <f>O260+2.5</f>
        <v>4.79</v>
      </c>
      <c r="Z260" s="108"/>
      <c r="AA260" s="103" t="s">
        <v>12</v>
      </c>
      <c r="AB260" s="107" t="s">
        <v>1123</v>
      </c>
      <c r="AC260" s="103" t="s">
        <v>74</v>
      </c>
      <c r="AD260" s="103">
        <v>9</v>
      </c>
      <c r="AE260" s="103" t="s">
        <v>14</v>
      </c>
      <c r="AF260" s="103" t="s">
        <v>1326</v>
      </c>
      <c r="AG260" s="103" t="s">
        <v>8</v>
      </c>
      <c r="AH260" s="103" t="s">
        <v>8</v>
      </c>
      <c r="AI260" s="103" t="s">
        <v>8</v>
      </c>
      <c r="AJ260" s="103" t="s">
        <v>8</v>
      </c>
      <c r="AK260" s="103" t="s">
        <v>84</v>
      </c>
      <c r="AL260" s="103" t="s">
        <v>14</v>
      </c>
      <c r="AM260" s="103" t="s">
        <v>1028</v>
      </c>
      <c r="AN260" s="103" t="s">
        <v>1028</v>
      </c>
      <c r="AO260" s="103" t="s">
        <v>1028</v>
      </c>
      <c r="AP260" s="103" t="s">
        <v>793</v>
      </c>
      <c r="AQ260" s="103" t="s">
        <v>796</v>
      </c>
      <c r="AR260" s="103"/>
      <c r="AS260" s="103"/>
      <c r="AT260" s="103"/>
      <c r="AU260" s="103"/>
      <c r="AV260" s="103"/>
      <c r="AW260" s="103"/>
      <c r="AX260" s="103"/>
      <c r="AY260" s="103"/>
      <c r="AZ260" s="103"/>
      <c r="BA260" s="103"/>
      <c r="BB260" s="103"/>
      <c r="BC260" s="103"/>
      <c r="BD260" s="111"/>
      <c r="BE260" s="103"/>
      <c r="BF260" s="103"/>
      <c r="BG260" s="103"/>
      <c r="BH260" s="103"/>
      <c r="BI260" s="103"/>
      <c r="BJ260" s="103"/>
      <c r="BK260" s="103"/>
      <c r="BL260" s="103"/>
      <c r="BM260" s="142"/>
      <c r="BN260" s="103"/>
      <c r="BO260" s="103"/>
      <c r="BP260" s="103"/>
      <c r="BQ260" s="103"/>
      <c r="BR260" s="103"/>
      <c r="BS260" s="103"/>
      <c r="BT260" s="103"/>
      <c r="BU260" s="103"/>
      <c r="BV260" s="103"/>
      <c r="BW260" s="103"/>
      <c r="BX260" s="103"/>
      <c r="BY260" s="103"/>
      <c r="BZ260" s="103"/>
      <c r="CA260" s="103"/>
      <c r="CB260" s="103"/>
      <c r="CC260" s="103"/>
      <c r="CD260" s="103"/>
      <c r="CE260" s="103"/>
      <c r="CF260" s="103"/>
      <c r="CG260" s="103"/>
      <c r="CH260" s="103"/>
      <c r="CI260" s="103"/>
      <c r="CJ260" s="103"/>
      <c r="CK260" s="103"/>
      <c r="CL260" s="103"/>
      <c r="CM260" s="103"/>
      <c r="CN260" s="103"/>
      <c r="CO260" s="103"/>
      <c r="CP260" s="103"/>
      <c r="CQ260" s="103"/>
      <c r="CR260" s="103"/>
      <c r="CS260" s="103"/>
      <c r="CT260" s="103"/>
      <c r="CU260" s="103"/>
      <c r="CV260" s="103"/>
      <c r="CW260" s="103"/>
      <c r="CX260" s="113"/>
      <c r="CY260" s="103"/>
      <c r="CZ260" s="103"/>
      <c r="DA260" s="103"/>
      <c r="DB260" s="103"/>
      <c r="DC260" s="103">
        <v>138</v>
      </c>
      <c r="DD260" s="103"/>
      <c r="DE260" s="103"/>
      <c r="DF260" s="103">
        <v>75.709999999999994</v>
      </c>
      <c r="DG260" s="103"/>
      <c r="DH260" s="103"/>
      <c r="DI260" s="103"/>
      <c r="DJ260" s="103"/>
      <c r="DK260" s="103"/>
      <c r="DL260" s="103"/>
      <c r="DM260" s="103"/>
      <c r="DN260" s="103"/>
      <c r="DO260" s="103"/>
      <c r="DP260" s="103"/>
      <c r="DQ260" s="103"/>
      <c r="DR260" s="103"/>
      <c r="DS260" s="103"/>
      <c r="DT260" s="103"/>
      <c r="DU260" s="103"/>
      <c r="DV260" s="103"/>
      <c r="DW260" s="103"/>
      <c r="DX260" s="103"/>
      <c r="DY260" s="103"/>
      <c r="DZ260" s="103"/>
      <c r="EA260" s="103"/>
      <c r="EB260" s="103"/>
      <c r="EC260" s="103"/>
      <c r="ED260" s="103"/>
      <c r="EE260" s="103"/>
      <c r="EF260" s="103"/>
      <c r="EG260" s="103"/>
      <c r="EH260" s="103"/>
      <c r="EI260" s="103"/>
      <c r="EJ260" s="103"/>
      <c r="EK260" s="103"/>
      <c r="EL260" s="103"/>
      <c r="EM260" s="103"/>
      <c r="EN260" s="103"/>
      <c r="EO260" s="103"/>
      <c r="EP260" s="103"/>
      <c r="EQ260" s="103"/>
      <c r="ER260" s="103"/>
      <c r="ES260" s="103"/>
      <c r="ET260" s="103"/>
      <c r="EU260" s="103"/>
      <c r="EV260" s="103"/>
      <c r="EW260" s="103"/>
      <c r="EX260" s="103"/>
      <c r="EY260" s="103"/>
      <c r="EZ260" s="103"/>
      <c r="FA260" s="103"/>
      <c r="FB260" s="103"/>
      <c r="FC260" s="103"/>
      <c r="FD260" s="103"/>
      <c r="FE260" s="103"/>
      <c r="FF260" s="103"/>
      <c r="FG260" s="103"/>
      <c r="FH260" s="103"/>
      <c r="FI260" s="103"/>
      <c r="FJ260" s="103"/>
      <c r="FK260" s="103"/>
      <c r="FL260" s="103"/>
      <c r="FM260" s="103"/>
      <c r="FN260" s="103"/>
      <c r="FO260" s="103"/>
      <c r="FP260" s="103"/>
      <c r="FQ260" s="103"/>
      <c r="FR260" s="103"/>
      <c r="FS260" s="103"/>
      <c r="FT260" s="103"/>
      <c r="FU260" s="103"/>
      <c r="FV260" s="103"/>
      <c r="FW260" s="103"/>
      <c r="FX260" s="103"/>
      <c r="FY260" s="103"/>
      <c r="FZ260" s="103"/>
      <c r="GA260" s="103"/>
      <c r="GB260" s="103"/>
      <c r="GC260" s="103"/>
      <c r="GD260" s="103"/>
      <c r="GE260" s="103"/>
      <c r="GF260" s="103"/>
      <c r="GG260" s="103"/>
      <c r="GH260" s="103"/>
      <c r="GI260" s="103"/>
      <c r="GJ260" s="103"/>
      <c r="GK260" s="103"/>
      <c r="GL260" s="103"/>
      <c r="GM260" s="103"/>
      <c r="GN260" s="103"/>
      <c r="GO260" s="103"/>
      <c r="GP260" s="103"/>
      <c r="GQ260" s="103"/>
      <c r="GR260" s="103"/>
      <c r="GS260" s="103"/>
      <c r="GT260" s="103"/>
    </row>
    <row r="261" spans="1:202" ht="14.65" customHeight="1" x14ac:dyDescent="0.2">
      <c r="A261" s="3" t="s">
        <v>329</v>
      </c>
      <c r="B261" s="4" t="s">
        <v>513</v>
      </c>
      <c r="C261" s="28">
        <v>2004</v>
      </c>
      <c r="D261" s="16">
        <v>65</v>
      </c>
      <c r="E261" s="16">
        <v>1</v>
      </c>
      <c r="F261" s="5" t="s">
        <v>1066</v>
      </c>
      <c r="G261" s="5" t="s">
        <v>388</v>
      </c>
      <c r="H261" s="5" t="s">
        <v>5</v>
      </c>
      <c r="I261" s="5" t="s">
        <v>37</v>
      </c>
      <c r="J261" s="5" t="s">
        <v>25</v>
      </c>
      <c r="K261" s="48" t="s">
        <v>1045</v>
      </c>
      <c r="L261" s="5" t="s">
        <v>8</v>
      </c>
      <c r="M261" s="5" t="s">
        <v>9</v>
      </c>
      <c r="N261" s="85">
        <v>3.13</v>
      </c>
      <c r="O261" s="85">
        <v>3.13</v>
      </c>
      <c r="P261" s="7" t="s">
        <v>869</v>
      </c>
      <c r="Q261" s="5" t="s">
        <v>309</v>
      </c>
      <c r="R261" s="5" t="s">
        <v>27</v>
      </c>
      <c r="S261" s="5" t="s">
        <v>413</v>
      </c>
      <c r="T261" s="5" t="s">
        <v>1335</v>
      </c>
      <c r="U261" s="9">
        <f>-1.69+N261</f>
        <v>1.44</v>
      </c>
      <c r="V261" s="9">
        <f t="shared" si="18"/>
        <v>-1.2840155119994723</v>
      </c>
      <c r="W261" s="9"/>
      <c r="X261" s="9"/>
      <c r="Y261" s="9">
        <f>2.07+O261</f>
        <v>5.1999999999999993</v>
      </c>
      <c r="Z261" s="9">
        <v>2.0699999999999998</v>
      </c>
      <c r="AA261" s="5" t="s">
        <v>12</v>
      </c>
      <c r="AB261" s="62" t="s">
        <v>1043</v>
      </c>
      <c r="AC261" s="5" t="s">
        <v>13</v>
      </c>
      <c r="AD261" s="3">
        <v>9</v>
      </c>
      <c r="AE261" s="5" t="s">
        <v>8</v>
      </c>
      <c r="AF261" s="5" t="s">
        <v>1302</v>
      </c>
      <c r="AG261" s="19" t="s">
        <v>8</v>
      </c>
      <c r="AH261" s="19" t="s">
        <v>8</v>
      </c>
      <c r="AI261" s="19" t="s">
        <v>14</v>
      </c>
      <c r="AJ261" s="19" t="s">
        <v>8</v>
      </c>
      <c r="AK261" s="5" t="s">
        <v>76</v>
      </c>
      <c r="AL261" s="5" t="s">
        <v>8</v>
      </c>
      <c r="AM261" s="5" t="s">
        <v>515</v>
      </c>
      <c r="AN261" s="5" t="s">
        <v>18</v>
      </c>
      <c r="AO261" s="5" t="s">
        <v>18</v>
      </c>
      <c r="AP261" s="19" t="s">
        <v>514</v>
      </c>
      <c r="AQ261" s="19" t="s">
        <v>516</v>
      </c>
      <c r="BD261" s="58"/>
      <c r="BM261" s="73"/>
    </row>
    <row r="262" spans="1:202" s="114" customFormat="1" ht="14.65" customHeight="1" x14ac:dyDescent="0.2">
      <c r="A262" s="114" t="s">
        <v>329</v>
      </c>
      <c r="B262" s="115" t="s">
        <v>746</v>
      </c>
      <c r="C262" s="116">
        <v>2008</v>
      </c>
      <c r="D262" s="117">
        <v>95</v>
      </c>
      <c r="E262" s="117">
        <v>1</v>
      </c>
      <c r="F262" s="114" t="s">
        <v>861</v>
      </c>
      <c r="G262" s="5" t="s">
        <v>16</v>
      </c>
      <c r="H262" s="5" t="s">
        <v>5</v>
      </c>
      <c r="I262" s="5" t="s">
        <v>6</v>
      </c>
      <c r="J262" s="5" t="s">
        <v>25</v>
      </c>
      <c r="K262" s="5" t="s">
        <v>1045</v>
      </c>
      <c r="L262" s="5" t="s">
        <v>8</v>
      </c>
      <c r="M262" s="5" t="s">
        <v>9</v>
      </c>
      <c r="N262" s="7">
        <f>2-0.49</f>
        <v>1.51</v>
      </c>
      <c r="O262" s="7">
        <v>2.29</v>
      </c>
      <c r="P262" s="118" t="s">
        <v>866</v>
      </c>
      <c r="Q262" s="114" t="s">
        <v>39</v>
      </c>
      <c r="R262" s="114" t="s">
        <v>1028</v>
      </c>
      <c r="S262" s="114" t="s">
        <v>1028</v>
      </c>
      <c r="T262" s="114" t="s">
        <v>1335</v>
      </c>
      <c r="U262" s="119">
        <f>N262+0.49</f>
        <v>2</v>
      </c>
      <c r="V262" s="119">
        <f t="shared" si="18"/>
        <v>-1.0278321066070624</v>
      </c>
      <c r="W262" s="119"/>
      <c r="X262" s="119">
        <f>N262+0.58</f>
        <v>2.09</v>
      </c>
      <c r="Y262" s="119">
        <f>O262+3.3</f>
        <v>5.59</v>
      </c>
      <c r="Z262" s="119"/>
      <c r="AA262" s="114" t="s">
        <v>12</v>
      </c>
      <c r="AB262" s="118" t="s">
        <v>1123</v>
      </c>
      <c r="AC262" s="114" t="s">
        <v>13</v>
      </c>
      <c r="AD262" s="114">
        <v>9</v>
      </c>
      <c r="AE262" s="114" t="s">
        <v>14</v>
      </c>
      <c r="AF262" s="114" t="s">
        <v>748</v>
      </c>
      <c r="AG262" s="114" t="s">
        <v>8</v>
      </c>
      <c r="AH262" s="114" t="s">
        <v>8</v>
      </c>
      <c r="AI262" s="114" t="s">
        <v>8</v>
      </c>
      <c r="AJ262" s="114" t="s">
        <v>8</v>
      </c>
      <c r="AK262" s="114" t="s">
        <v>1028</v>
      </c>
      <c r="AL262" s="114" t="s">
        <v>8</v>
      </c>
      <c r="AM262" s="114" t="s">
        <v>1028</v>
      </c>
      <c r="AN262" s="114" t="s">
        <v>1028</v>
      </c>
      <c r="AO262" s="114" t="s">
        <v>1028</v>
      </c>
      <c r="AP262" s="162" t="s">
        <v>747</v>
      </c>
      <c r="AQ262" s="114" t="s">
        <v>749</v>
      </c>
      <c r="BD262" s="123"/>
      <c r="BM262" s="163"/>
      <c r="CL262" s="114">
        <v>44</v>
      </c>
      <c r="CO262" s="114">
        <v>85</v>
      </c>
      <c r="CX262" s="125"/>
    </row>
    <row r="263" spans="1:202" ht="14.65" hidden="1" customHeight="1" x14ac:dyDescent="0.2">
      <c r="A263" s="3" t="s">
        <v>329</v>
      </c>
      <c r="B263" s="4" t="s">
        <v>424</v>
      </c>
      <c r="C263" s="28">
        <v>2018</v>
      </c>
      <c r="D263" s="16">
        <v>51</v>
      </c>
      <c r="E263" s="16">
        <v>1</v>
      </c>
      <c r="F263" s="5" t="s">
        <v>1122</v>
      </c>
      <c r="G263" s="19" t="s">
        <v>426</v>
      </c>
      <c r="H263" s="5" t="s">
        <v>93</v>
      </c>
      <c r="I263" s="5" t="s">
        <v>419</v>
      </c>
      <c r="J263" s="5" t="s">
        <v>25</v>
      </c>
      <c r="K263" s="48" t="s">
        <v>1045</v>
      </c>
      <c r="L263" s="5" t="s">
        <v>8</v>
      </c>
      <c r="M263" s="5" t="s">
        <v>9</v>
      </c>
      <c r="N263" s="7">
        <v>0</v>
      </c>
      <c r="O263" s="7">
        <v>2.77</v>
      </c>
      <c r="P263" s="7" t="s">
        <v>427</v>
      </c>
      <c r="Q263" s="5" t="s">
        <v>309</v>
      </c>
      <c r="R263" s="5" t="s">
        <v>27</v>
      </c>
      <c r="S263" s="5" t="s">
        <v>428</v>
      </c>
      <c r="T263" s="5" t="s">
        <v>1335</v>
      </c>
      <c r="U263" s="9">
        <v>2.48</v>
      </c>
      <c r="V263" s="9">
        <f t="shared" si="18"/>
        <v>-1.5227197475855538</v>
      </c>
      <c r="W263" s="9"/>
      <c r="X263" s="9"/>
      <c r="Y263" s="9">
        <f>8.6+O263</f>
        <v>11.37</v>
      </c>
      <c r="Z263" s="9">
        <v>8.6</v>
      </c>
      <c r="AA263" s="5" t="s">
        <v>12</v>
      </c>
      <c r="AB263" s="7" t="s">
        <v>1123</v>
      </c>
      <c r="AC263" s="5" t="s">
        <v>13</v>
      </c>
      <c r="AD263" s="3">
        <v>9</v>
      </c>
      <c r="AE263" s="5" t="s">
        <v>14</v>
      </c>
      <c r="AF263" s="5" t="s">
        <v>97</v>
      </c>
      <c r="AG263" s="5" t="s">
        <v>14</v>
      </c>
      <c r="AH263" s="5" t="s">
        <v>14</v>
      </c>
      <c r="AI263" s="5" t="s">
        <v>8</v>
      </c>
      <c r="AJ263" s="5" t="s">
        <v>8</v>
      </c>
      <c r="AK263" s="5" t="s">
        <v>196</v>
      </c>
      <c r="AL263" s="5" t="s">
        <v>8</v>
      </c>
      <c r="AM263" s="5" t="s">
        <v>429</v>
      </c>
      <c r="AN263" s="5" t="s">
        <v>1028</v>
      </c>
      <c r="AO263" s="5" t="s">
        <v>1028</v>
      </c>
      <c r="AP263" s="19" t="s">
        <v>425</v>
      </c>
      <c r="AQ263" s="5" t="s">
        <v>430</v>
      </c>
      <c r="BD263" s="58"/>
      <c r="BM263" s="73"/>
    </row>
    <row r="264" spans="1:202" ht="14.65" hidden="1" customHeight="1" x14ac:dyDescent="0.25">
      <c r="A264" s="3" t="s">
        <v>1</v>
      </c>
      <c r="B264" s="65" t="s">
        <v>1159</v>
      </c>
      <c r="C264" s="28">
        <v>2022</v>
      </c>
      <c r="D264" s="16">
        <v>116</v>
      </c>
      <c r="E264" s="16">
        <v>1</v>
      </c>
      <c r="F264" s="5" t="s">
        <v>1188</v>
      </c>
      <c r="G264" s="5" t="s">
        <v>1163</v>
      </c>
      <c r="H264" s="5" t="s">
        <v>93</v>
      </c>
      <c r="I264" s="5" t="s">
        <v>1034</v>
      </c>
      <c r="J264" s="5" t="s">
        <v>25</v>
      </c>
      <c r="K264" s="5" t="s">
        <v>1045</v>
      </c>
      <c r="L264" s="5" t="s">
        <v>8</v>
      </c>
      <c r="M264" s="5" t="s">
        <v>9</v>
      </c>
      <c r="N264" s="7">
        <v>0</v>
      </c>
      <c r="O264" s="7">
        <v>3.3</v>
      </c>
      <c r="P264" s="7" t="s">
        <v>1161</v>
      </c>
      <c r="Q264" s="5" t="s">
        <v>309</v>
      </c>
      <c r="R264" s="5" t="s">
        <v>27</v>
      </c>
      <c r="S264" s="5" t="s">
        <v>1166</v>
      </c>
      <c r="T264" s="5" t="s">
        <v>1335</v>
      </c>
      <c r="U264" s="9">
        <v>4.3</v>
      </c>
      <c r="V264" s="9">
        <f t="shared" si="18"/>
        <v>-0.17062551703076334</v>
      </c>
      <c r="W264" s="9"/>
      <c r="X264" s="9"/>
      <c r="Y264" s="9">
        <f>1.8+O264</f>
        <v>5.0999999999999996</v>
      </c>
      <c r="Z264" s="9">
        <v>1.8</v>
      </c>
      <c r="AA264" s="5" t="s">
        <v>12</v>
      </c>
      <c r="AB264" s="7" t="s">
        <v>1043</v>
      </c>
      <c r="AC264" s="5" t="s">
        <v>13</v>
      </c>
      <c r="AD264" s="5">
        <v>9</v>
      </c>
      <c r="AE264" s="5" t="s">
        <v>14</v>
      </c>
      <c r="AF264" s="5" t="s">
        <v>1167</v>
      </c>
      <c r="AG264" s="5" t="s">
        <v>14</v>
      </c>
      <c r="AH264" s="5" t="s">
        <v>8</v>
      </c>
      <c r="AI264" s="5" t="s">
        <v>14</v>
      </c>
      <c r="AJ264" s="5" t="s">
        <v>8</v>
      </c>
      <c r="AK264" s="5" t="s">
        <v>1028</v>
      </c>
      <c r="AL264" s="5" t="s">
        <v>8</v>
      </c>
      <c r="AM264" s="5">
        <v>2014</v>
      </c>
      <c r="AN264" s="5" t="s">
        <v>137</v>
      </c>
      <c r="AO264" s="5" t="s">
        <v>27</v>
      </c>
      <c r="AP264" s="5" t="s">
        <v>1160</v>
      </c>
      <c r="AQ264" s="5" t="s">
        <v>1168</v>
      </c>
      <c r="BM264" s="48"/>
    </row>
    <row r="265" spans="1:202" ht="14.65" hidden="1" customHeight="1" x14ac:dyDescent="0.25">
      <c r="A265" s="3" t="s">
        <v>1</v>
      </c>
      <c r="B265" s="65" t="s">
        <v>1159</v>
      </c>
      <c r="C265" s="28">
        <v>2022</v>
      </c>
      <c r="D265" s="16">
        <v>116</v>
      </c>
      <c r="E265" s="16">
        <v>2</v>
      </c>
      <c r="F265" s="5" t="s">
        <v>1188</v>
      </c>
      <c r="G265" s="5" t="s">
        <v>1162</v>
      </c>
      <c r="H265" s="5" t="s">
        <v>93</v>
      </c>
      <c r="I265" s="5" t="s">
        <v>1034</v>
      </c>
      <c r="J265" s="5" t="s">
        <v>25</v>
      </c>
      <c r="K265" s="5" t="s">
        <v>1045</v>
      </c>
      <c r="L265" s="5" t="s">
        <v>8</v>
      </c>
      <c r="M265" s="5" t="s">
        <v>9</v>
      </c>
      <c r="N265" s="7">
        <v>0</v>
      </c>
      <c r="O265" s="7">
        <v>3.3</v>
      </c>
      <c r="P265" s="7" t="s">
        <v>1161</v>
      </c>
      <c r="Q265" s="5" t="s">
        <v>309</v>
      </c>
      <c r="R265" s="5" t="s">
        <v>27</v>
      </c>
      <c r="S265" s="5" t="s">
        <v>1166</v>
      </c>
      <c r="T265" s="5" t="s">
        <v>1335</v>
      </c>
      <c r="U265" s="9">
        <v>7.0000000000000007E-2</v>
      </c>
      <c r="V265" s="9">
        <f t="shared" si="18"/>
        <v>-4.2885005766630577</v>
      </c>
      <c r="W265" s="9"/>
      <c r="X265" s="9"/>
      <c r="Y265" s="9">
        <f>1.8+O265</f>
        <v>5.0999999999999996</v>
      </c>
      <c r="Z265" s="9">
        <v>1.8</v>
      </c>
      <c r="AA265" s="5" t="s">
        <v>12</v>
      </c>
      <c r="AB265" s="7" t="s">
        <v>1044</v>
      </c>
      <c r="AC265" s="5" t="s">
        <v>74</v>
      </c>
      <c r="AD265" s="5">
        <v>9</v>
      </c>
      <c r="AE265" s="5" t="s">
        <v>14</v>
      </c>
      <c r="AF265" s="5" t="s">
        <v>1167</v>
      </c>
      <c r="AG265" s="5" t="s">
        <v>14</v>
      </c>
      <c r="AH265" s="5" t="s">
        <v>8</v>
      </c>
      <c r="AI265" s="5" t="s">
        <v>14</v>
      </c>
      <c r="AJ265" s="5" t="s">
        <v>8</v>
      </c>
      <c r="AK265" s="5" t="s">
        <v>1028</v>
      </c>
      <c r="AL265" s="5" t="s">
        <v>8</v>
      </c>
      <c r="AM265" s="5">
        <v>2017</v>
      </c>
      <c r="AN265" s="5" t="s">
        <v>137</v>
      </c>
      <c r="AO265" s="5" t="s">
        <v>27</v>
      </c>
      <c r="AP265" s="5" t="s">
        <v>1160</v>
      </c>
      <c r="AQ265" s="5" t="s">
        <v>1168</v>
      </c>
      <c r="BM265" s="48"/>
    </row>
    <row r="266" spans="1:202" ht="14.65" hidden="1" customHeight="1" x14ac:dyDescent="0.25">
      <c r="A266" s="3" t="s">
        <v>1</v>
      </c>
      <c r="B266" s="65" t="s">
        <v>1159</v>
      </c>
      <c r="C266" s="28">
        <v>2022</v>
      </c>
      <c r="D266" s="16">
        <v>116</v>
      </c>
      <c r="E266" s="16">
        <v>3</v>
      </c>
      <c r="F266" s="5" t="s">
        <v>1188</v>
      </c>
      <c r="G266" s="5" t="s">
        <v>1164</v>
      </c>
      <c r="H266" s="5" t="s">
        <v>93</v>
      </c>
      <c r="I266" s="5" t="s">
        <v>1034</v>
      </c>
      <c r="J266" s="5" t="s">
        <v>25</v>
      </c>
      <c r="K266" s="5" t="s">
        <v>1045</v>
      </c>
      <c r="L266" s="5" t="s">
        <v>8</v>
      </c>
      <c r="M266" s="5" t="s">
        <v>9</v>
      </c>
      <c r="N266" s="7">
        <v>0</v>
      </c>
      <c r="O266" s="7">
        <v>3.3</v>
      </c>
      <c r="P266" s="7" t="s">
        <v>1161</v>
      </c>
      <c r="Q266" s="5" t="s">
        <v>309</v>
      </c>
      <c r="R266" s="5" t="s">
        <v>27</v>
      </c>
      <c r="S266" s="5" t="s">
        <v>1166</v>
      </c>
      <c r="T266" s="5" t="s">
        <v>1335</v>
      </c>
      <c r="U266" s="9">
        <v>3.39</v>
      </c>
      <c r="V266" s="9">
        <f t="shared" si="18"/>
        <v>-0.40841061833792108</v>
      </c>
      <c r="W266" s="9"/>
      <c r="X266" s="9"/>
      <c r="Y266" s="9">
        <f>1.8+O266</f>
        <v>5.0999999999999996</v>
      </c>
      <c r="Z266" s="9">
        <v>1.8</v>
      </c>
      <c r="AA266" s="5" t="s">
        <v>12</v>
      </c>
      <c r="AB266" s="7" t="s">
        <v>1043</v>
      </c>
      <c r="AC266" s="5" t="s">
        <v>13</v>
      </c>
      <c r="AD266" s="5">
        <v>9</v>
      </c>
      <c r="AE266" s="5" t="s">
        <v>14</v>
      </c>
      <c r="AF266" s="5" t="s">
        <v>1167</v>
      </c>
      <c r="AG266" s="5" t="s">
        <v>14</v>
      </c>
      <c r="AH266" s="5" t="s">
        <v>8</v>
      </c>
      <c r="AI266" s="5" t="s">
        <v>14</v>
      </c>
      <c r="AJ266" s="5" t="s">
        <v>8</v>
      </c>
      <c r="AK266" s="5" t="s">
        <v>1028</v>
      </c>
      <c r="AL266" s="5" t="s">
        <v>8</v>
      </c>
      <c r="AM266" s="5">
        <v>2019</v>
      </c>
      <c r="AN266" s="5" t="s">
        <v>137</v>
      </c>
      <c r="AO266" s="5" t="s">
        <v>27</v>
      </c>
      <c r="AP266" s="5" t="s">
        <v>1160</v>
      </c>
      <c r="AQ266" s="5" t="s">
        <v>1168</v>
      </c>
      <c r="BM266" s="48"/>
    </row>
    <row r="267" spans="1:202" ht="14.65" hidden="1" customHeight="1" x14ac:dyDescent="0.25">
      <c r="A267" s="3" t="s">
        <v>1</v>
      </c>
      <c r="B267" s="65" t="s">
        <v>1159</v>
      </c>
      <c r="C267" s="28">
        <v>2022</v>
      </c>
      <c r="D267" s="16">
        <v>116</v>
      </c>
      <c r="E267" s="16">
        <v>4</v>
      </c>
      <c r="F267" s="5" t="s">
        <v>1188</v>
      </c>
      <c r="G267" s="5" t="s">
        <v>655</v>
      </c>
      <c r="H267" s="5" t="s">
        <v>93</v>
      </c>
      <c r="I267" s="5" t="s">
        <v>1034</v>
      </c>
      <c r="J267" s="5" t="s">
        <v>25</v>
      </c>
      <c r="K267" s="5" t="s">
        <v>1045</v>
      </c>
      <c r="L267" s="5" t="s">
        <v>8</v>
      </c>
      <c r="M267" s="5" t="s">
        <v>9</v>
      </c>
      <c r="N267" s="7">
        <v>0</v>
      </c>
      <c r="O267" s="7">
        <v>3.3</v>
      </c>
      <c r="P267" s="7" t="s">
        <v>1161</v>
      </c>
      <c r="Q267" s="5" t="s">
        <v>309</v>
      </c>
      <c r="R267" s="5" t="s">
        <v>27</v>
      </c>
      <c r="S267" s="5" t="s">
        <v>1166</v>
      </c>
      <c r="T267" s="5" t="s">
        <v>1335</v>
      </c>
      <c r="U267" s="9">
        <v>4.01</v>
      </c>
      <c r="V267" s="9">
        <f t="shared" si="18"/>
        <v>-0.24044929841180229</v>
      </c>
      <c r="W267" s="9"/>
      <c r="X267" s="9"/>
      <c r="Y267" s="9">
        <f>1.8+O267</f>
        <v>5.0999999999999996</v>
      </c>
      <c r="Z267" s="9">
        <v>1.8</v>
      </c>
      <c r="AA267" s="5" t="s">
        <v>12</v>
      </c>
      <c r="AB267" s="7" t="s">
        <v>1043</v>
      </c>
      <c r="AC267" s="5" t="s">
        <v>13</v>
      </c>
      <c r="AD267" s="5">
        <v>9</v>
      </c>
      <c r="AE267" s="5" t="s">
        <v>14</v>
      </c>
      <c r="AF267" s="5" t="s">
        <v>1167</v>
      </c>
      <c r="AG267" s="5" t="s">
        <v>14</v>
      </c>
      <c r="AH267" s="5" t="s">
        <v>8</v>
      </c>
      <c r="AI267" s="5" t="s">
        <v>14</v>
      </c>
      <c r="AJ267" s="5" t="s">
        <v>8</v>
      </c>
      <c r="AK267" s="5" t="s">
        <v>1028</v>
      </c>
      <c r="AL267" s="5" t="s">
        <v>8</v>
      </c>
      <c r="AM267" s="5">
        <v>2020</v>
      </c>
      <c r="AN267" s="5" t="s">
        <v>137</v>
      </c>
      <c r="AO267" s="5" t="s">
        <v>27</v>
      </c>
      <c r="AP267" s="5" t="s">
        <v>1160</v>
      </c>
      <c r="AQ267" s="5" t="s">
        <v>1168</v>
      </c>
      <c r="BM267" s="48"/>
    </row>
    <row r="268" spans="1:202" ht="14.65" hidden="1" customHeight="1" x14ac:dyDescent="0.25">
      <c r="A268" s="3" t="s">
        <v>1</v>
      </c>
      <c r="B268" s="65" t="s">
        <v>1159</v>
      </c>
      <c r="C268" s="28">
        <v>2022</v>
      </c>
      <c r="D268" s="16">
        <v>116</v>
      </c>
      <c r="E268" s="16">
        <v>5</v>
      </c>
      <c r="F268" s="5" t="s">
        <v>1188</v>
      </c>
      <c r="G268" s="5" t="s">
        <v>1165</v>
      </c>
      <c r="H268" s="5" t="s">
        <v>93</v>
      </c>
      <c r="I268" s="5" t="s">
        <v>1034</v>
      </c>
      <c r="J268" s="5" t="s">
        <v>25</v>
      </c>
      <c r="K268" s="5" t="s">
        <v>1045</v>
      </c>
      <c r="L268" s="5" t="s">
        <v>8</v>
      </c>
      <c r="M268" s="5" t="s">
        <v>9</v>
      </c>
      <c r="N268" s="7">
        <v>0</v>
      </c>
      <c r="O268" s="7">
        <v>3.3</v>
      </c>
      <c r="P268" s="7" t="s">
        <v>1161</v>
      </c>
      <c r="Q268" s="5" t="s">
        <v>309</v>
      </c>
      <c r="R268" s="5" t="s">
        <v>27</v>
      </c>
      <c r="S268" s="5" t="s">
        <v>1166</v>
      </c>
      <c r="T268" s="5" t="s">
        <v>1335</v>
      </c>
      <c r="U268" s="9">
        <v>6.95</v>
      </c>
      <c r="V268" s="9">
        <f t="shared" si="18"/>
        <v>0.3095011198464207</v>
      </c>
      <c r="W268" s="9"/>
      <c r="X268" s="9"/>
      <c r="Y268" s="9">
        <f>1.8+O268</f>
        <v>5.0999999999999996</v>
      </c>
      <c r="Z268" s="9">
        <v>1.8</v>
      </c>
      <c r="AA268" s="5" t="s">
        <v>12</v>
      </c>
      <c r="AB268" s="7" t="s">
        <v>1043</v>
      </c>
      <c r="AC268" s="5" t="s">
        <v>13</v>
      </c>
      <c r="AD268" s="5">
        <v>9</v>
      </c>
      <c r="AE268" s="5" t="s">
        <v>14</v>
      </c>
      <c r="AF268" s="5" t="s">
        <v>1167</v>
      </c>
      <c r="AG268" s="5" t="s">
        <v>14</v>
      </c>
      <c r="AH268" s="5" t="s">
        <v>8</v>
      </c>
      <c r="AI268" s="5" t="s">
        <v>14</v>
      </c>
      <c r="AJ268" s="5" t="s">
        <v>8</v>
      </c>
      <c r="AK268" s="5" t="s">
        <v>1028</v>
      </c>
      <c r="AL268" s="5" t="s">
        <v>8</v>
      </c>
      <c r="AM268" s="5">
        <v>2014</v>
      </c>
      <c r="AN268" s="5" t="s">
        <v>137</v>
      </c>
      <c r="AO268" s="5" t="s">
        <v>27</v>
      </c>
      <c r="AP268" s="5" t="s">
        <v>1160</v>
      </c>
      <c r="AQ268" s="5" t="s">
        <v>1168</v>
      </c>
      <c r="BM268" s="48"/>
    </row>
    <row r="269" spans="1:202" ht="14.65" hidden="1" customHeight="1" x14ac:dyDescent="0.25">
      <c r="A269" s="3" t="s">
        <v>1</v>
      </c>
      <c r="B269" s="65" t="s">
        <v>1170</v>
      </c>
      <c r="C269" s="28">
        <v>2022</v>
      </c>
      <c r="D269" s="16">
        <v>117</v>
      </c>
      <c r="E269" s="16">
        <v>3</v>
      </c>
      <c r="F269" s="5" t="s">
        <v>1189</v>
      </c>
      <c r="G269" s="5" t="s">
        <v>16</v>
      </c>
      <c r="H269" s="5" t="s">
        <v>5</v>
      </c>
      <c r="I269" s="5" t="s">
        <v>1172</v>
      </c>
      <c r="J269" s="5" t="s">
        <v>25</v>
      </c>
      <c r="K269" s="5" t="s">
        <v>726</v>
      </c>
      <c r="L269" s="5" t="s">
        <v>8</v>
      </c>
      <c r="M269" s="5" t="s">
        <v>9</v>
      </c>
      <c r="N269" s="7">
        <v>3.14</v>
      </c>
      <c r="O269" s="8">
        <f>((4*12.01)/(56.106))*(44/12)</f>
        <v>3.1395335020615738</v>
      </c>
      <c r="P269" s="7" t="s">
        <v>1169</v>
      </c>
      <c r="Q269" s="5" t="s">
        <v>309</v>
      </c>
      <c r="R269" s="5" t="s">
        <v>27</v>
      </c>
      <c r="S269" s="5" t="s">
        <v>1173</v>
      </c>
      <c r="T269" s="5" t="s">
        <v>1335</v>
      </c>
      <c r="U269" s="9">
        <f>1.342+N269</f>
        <v>4.4820000000000002</v>
      </c>
      <c r="V269" s="9">
        <f t="shared" si="18"/>
        <v>-0.22973197430994277</v>
      </c>
      <c r="W269" s="9">
        <f>3.14+0.145</f>
        <v>3.2850000000000001</v>
      </c>
      <c r="X269" s="9">
        <f>5+3.14</f>
        <v>8.14</v>
      </c>
      <c r="Y269" s="9">
        <f>2.5+O269</f>
        <v>5.6395335020615738</v>
      </c>
      <c r="Z269" s="9"/>
      <c r="AA269" s="5" t="s">
        <v>12</v>
      </c>
      <c r="AB269" s="7" t="s">
        <v>1123</v>
      </c>
      <c r="AC269" s="5" t="s">
        <v>74</v>
      </c>
      <c r="AD269" s="5">
        <v>9</v>
      </c>
      <c r="AE269" s="5" t="s">
        <v>14</v>
      </c>
      <c r="AF269" s="5" t="s">
        <v>1174</v>
      </c>
      <c r="AG269" s="5" t="s">
        <v>8</v>
      </c>
      <c r="AH269" s="5" t="s">
        <v>8</v>
      </c>
      <c r="AI269" s="5" t="s">
        <v>14</v>
      </c>
      <c r="AJ269" s="5" t="s">
        <v>8</v>
      </c>
      <c r="AK269" s="5" t="s">
        <v>1143</v>
      </c>
      <c r="AL269" s="5" t="s">
        <v>8</v>
      </c>
      <c r="AM269" s="5" t="s">
        <v>1175</v>
      </c>
      <c r="AN269" s="5" t="s">
        <v>67</v>
      </c>
      <c r="AO269" s="5" t="s">
        <v>67</v>
      </c>
      <c r="AP269" s="5" t="s">
        <v>1171</v>
      </c>
      <c r="AQ269" s="5" t="s">
        <v>1176</v>
      </c>
      <c r="AZ269" s="5">
        <v>6.1999999999999998E-3</v>
      </c>
      <c r="BC269" s="5">
        <v>3.8999999999999998E-3</v>
      </c>
      <c r="BD269" s="59">
        <f>LN(AZ269/BC269)</f>
        <v>0.4635727389154452</v>
      </c>
      <c r="BM269" s="48"/>
      <c r="CP269" s="5">
        <v>5.9999999999999995E-4</v>
      </c>
      <c r="CS269" s="5">
        <v>2.0999999999999999E-3</v>
      </c>
      <c r="CT269" s="5">
        <v>10000</v>
      </c>
      <c r="CW269" s="5">
        <v>74000</v>
      </c>
      <c r="CX269" s="59">
        <f>LN(CT269/CW269)</f>
        <v>-2.0014800002101238</v>
      </c>
      <c r="EM269" s="5">
        <v>2400</v>
      </c>
      <c r="EP269" s="5">
        <v>100</v>
      </c>
      <c r="EQ269" s="5">
        <v>2.2999999999999998</v>
      </c>
      <c r="ER269" s="5">
        <v>2.2999999999999998</v>
      </c>
      <c r="ES269" s="5">
        <v>10</v>
      </c>
      <c r="ET269" s="5">
        <v>1.6</v>
      </c>
    </row>
    <row r="270" spans="1:202" ht="14.65" hidden="1" customHeight="1" x14ac:dyDescent="0.25">
      <c r="A270" s="3" t="s">
        <v>1</v>
      </c>
      <c r="B270" s="65" t="s">
        <v>1170</v>
      </c>
      <c r="C270" s="28">
        <v>2022</v>
      </c>
      <c r="D270" s="16">
        <v>117</v>
      </c>
      <c r="E270" s="16">
        <v>1</v>
      </c>
      <c r="F270" s="5" t="s">
        <v>1189</v>
      </c>
      <c r="G270" s="5" t="s">
        <v>16</v>
      </c>
      <c r="H270" s="5" t="s">
        <v>5</v>
      </c>
      <c r="I270" s="5" t="s">
        <v>454</v>
      </c>
      <c r="J270" s="5" t="s">
        <v>7</v>
      </c>
      <c r="K270" s="5" t="s">
        <v>1046</v>
      </c>
      <c r="L270" s="5" t="s">
        <v>1049</v>
      </c>
      <c r="M270" s="5" t="s">
        <v>9</v>
      </c>
      <c r="N270" s="7">
        <v>3.14</v>
      </c>
      <c r="O270" s="8">
        <f>((4*12.01)/(56.106))*(44/12)</f>
        <v>3.1395335020615738</v>
      </c>
      <c r="P270" s="7" t="s">
        <v>1169</v>
      </c>
      <c r="Q270" s="5" t="s">
        <v>309</v>
      </c>
      <c r="R270" s="5" t="s">
        <v>27</v>
      </c>
      <c r="S270" s="5" t="s">
        <v>1173</v>
      </c>
      <c r="T270" s="5" t="s">
        <v>1335</v>
      </c>
      <c r="U270" s="9">
        <f>1.693+N270</f>
        <v>4.8330000000000002</v>
      </c>
      <c r="V270" s="9">
        <f t="shared" si="18"/>
        <v>-0.15433395682573112</v>
      </c>
      <c r="W270" s="9">
        <f>O270+0.948</f>
        <v>4.0875335020615733</v>
      </c>
      <c r="X270" s="9">
        <f>O270+2.114</f>
        <v>5.2535335020615737</v>
      </c>
      <c r="Y270" s="9">
        <f>2.5+O270</f>
        <v>5.6395335020615738</v>
      </c>
      <c r="Z270" s="9"/>
      <c r="AA270" s="5" t="s">
        <v>12</v>
      </c>
      <c r="AB270" s="7" t="s">
        <v>1123</v>
      </c>
      <c r="AC270" s="5" t="s">
        <v>74</v>
      </c>
      <c r="AD270" s="5">
        <v>9</v>
      </c>
      <c r="AE270" s="5" t="s">
        <v>14</v>
      </c>
      <c r="AF270" s="5" t="s">
        <v>1174</v>
      </c>
      <c r="AG270" s="5" t="s">
        <v>8</v>
      </c>
      <c r="AH270" s="5" t="s">
        <v>8</v>
      </c>
      <c r="AI270" s="5" t="s">
        <v>8</v>
      </c>
      <c r="AJ270" s="5" t="s">
        <v>8</v>
      </c>
      <c r="AK270" s="5" t="s">
        <v>1143</v>
      </c>
      <c r="AL270" s="5" t="s">
        <v>8</v>
      </c>
      <c r="AM270" s="5" t="s">
        <v>1175</v>
      </c>
      <c r="AN270" s="5" t="s">
        <v>67</v>
      </c>
      <c r="AO270" s="5" t="s">
        <v>67</v>
      </c>
      <c r="AP270" s="5" t="s">
        <v>1171</v>
      </c>
      <c r="AQ270" s="5" t="s">
        <v>1176</v>
      </c>
      <c r="AZ270" s="5">
        <v>6.4999999999999997E-3</v>
      </c>
      <c r="BC270" s="5">
        <v>3.8999999999999998E-3</v>
      </c>
      <c r="BD270" s="59">
        <f>LN(AZ270/BC270)</f>
        <v>0.51082562376599072</v>
      </c>
      <c r="BM270" s="48"/>
      <c r="CP270" s="5">
        <v>4.0000000000000002E-4</v>
      </c>
      <c r="CS270" s="5">
        <v>2.0999999999999999E-3</v>
      </c>
      <c r="CT270" s="5">
        <v>23000</v>
      </c>
      <c r="CU270" s="5">
        <v>14000</v>
      </c>
      <c r="CV270" s="5">
        <v>30000</v>
      </c>
      <c r="CW270" s="5">
        <v>74000</v>
      </c>
      <c r="CX270" s="59">
        <f>LN(CT270/CW270)</f>
        <v>-1.1685708772750201</v>
      </c>
      <c r="EM270" s="5">
        <v>800</v>
      </c>
      <c r="EP270" s="5">
        <v>100</v>
      </c>
      <c r="EQ270" s="5">
        <v>3.2</v>
      </c>
      <c r="ET270" s="5">
        <v>1.6</v>
      </c>
    </row>
    <row r="271" spans="1:202" ht="14.65" hidden="1" customHeight="1" x14ac:dyDescent="0.25">
      <c r="A271" s="3" t="s">
        <v>1</v>
      </c>
      <c r="B271" s="65" t="s">
        <v>1170</v>
      </c>
      <c r="C271" s="28">
        <v>2022</v>
      </c>
      <c r="D271" s="16">
        <v>117</v>
      </c>
      <c r="E271" s="16">
        <v>2</v>
      </c>
      <c r="F271" s="5" t="s">
        <v>1189</v>
      </c>
      <c r="G271" s="5" t="s">
        <v>16</v>
      </c>
      <c r="H271" s="5" t="s">
        <v>5</v>
      </c>
      <c r="I271" s="5" t="s">
        <v>6</v>
      </c>
      <c r="J271" s="5" t="s">
        <v>7</v>
      </c>
      <c r="K271" s="5" t="s">
        <v>1046</v>
      </c>
      <c r="L271" s="5" t="s">
        <v>1049</v>
      </c>
      <c r="M271" s="5" t="s">
        <v>9</v>
      </c>
      <c r="N271" s="7">
        <v>3.14</v>
      </c>
      <c r="O271" s="8">
        <f>((4*12.01)/(56.106))*(44/12)</f>
        <v>3.1395335020615738</v>
      </c>
      <c r="P271" s="7" t="s">
        <v>1169</v>
      </c>
      <c r="Q271" s="5" t="s">
        <v>309</v>
      </c>
      <c r="R271" s="5" t="s">
        <v>27</v>
      </c>
      <c r="S271" s="5" t="s">
        <v>1173</v>
      </c>
      <c r="T271" s="5" t="s">
        <v>1335</v>
      </c>
      <c r="U271" s="9">
        <f>4.586+N271</f>
        <v>7.7260000000000009</v>
      </c>
      <c r="V271" s="9">
        <f t="shared" si="18"/>
        <v>0.31478991455541161</v>
      </c>
      <c r="W271" s="9"/>
      <c r="X271" s="9"/>
      <c r="Y271" s="9">
        <f>2.5+O271</f>
        <v>5.6395335020615738</v>
      </c>
      <c r="Z271" s="9"/>
      <c r="AA271" s="5" t="s">
        <v>12</v>
      </c>
      <c r="AB271" s="7" t="s">
        <v>1123</v>
      </c>
      <c r="AC271" s="5" t="s">
        <v>74</v>
      </c>
      <c r="AD271" s="5">
        <v>9</v>
      </c>
      <c r="AE271" s="5" t="s">
        <v>14</v>
      </c>
      <c r="AF271" s="5" t="s">
        <v>1174</v>
      </c>
      <c r="AG271" s="5" t="s">
        <v>8</v>
      </c>
      <c r="AH271" s="5" t="s">
        <v>8</v>
      </c>
      <c r="AI271" s="5" t="s">
        <v>8</v>
      </c>
      <c r="AJ271" s="5" t="s">
        <v>8</v>
      </c>
      <c r="AK271" s="5" t="s">
        <v>1143</v>
      </c>
      <c r="AL271" s="5" t="s">
        <v>8</v>
      </c>
      <c r="AM271" s="5" t="s">
        <v>1175</v>
      </c>
      <c r="AN271" s="5" t="s">
        <v>67</v>
      </c>
      <c r="AO271" s="5" t="s">
        <v>67</v>
      </c>
      <c r="AP271" s="5" t="s">
        <v>1171</v>
      </c>
      <c r="AQ271" s="5" t="s">
        <v>1176</v>
      </c>
      <c r="AZ271" s="5">
        <v>4.4999999999999997E-3</v>
      </c>
      <c r="BC271" s="5">
        <v>3.8999999999999998E-3</v>
      </c>
      <c r="BD271" s="59">
        <f>LN(AZ271/BC271)</f>
        <v>0.14310084364067324</v>
      </c>
      <c r="BM271" s="48"/>
      <c r="CP271" s="5">
        <v>4.0000000000000002E-4</v>
      </c>
      <c r="CS271" s="5">
        <v>2.0999999999999999E-3</v>
      </c>
      <c r="CT271" s="5">
        <v>59000</v>
      </c>
      <c r="CW271" s="5">
        <v>74000</v>
      </c>
      <c r="CX271" s="59">
        <f>LN(CT271/CW271)</f>
        <v>-0.22652764929845035</v>
      </c>
      <c r="EM271" s="5">
        <v>200</v>
      </c>
      <c r="EP271" s="5">
        <v>100</v>
      </c>
      <c r="EQ271" s="5">
        <v>5.75</v>
      </c>
      <c r="ET271" s="5">
        <v>1.6</v>
      </c>
    </row>
    <row r="272" spans="1:202" ht="14.65" hidden="1" customHeight="1" x14ac:dyDescent="0.25">
      <c r="A272" s="3" t="s">
        <v>259</v>
      </c>
      <c r="B272" s="65" t="s">
        <v>1180</v>
      </c>
      <c r="C272" s="28">
        <v>2021</v>
      </c>
      <c r="D272" s="16">
        <v>118</v>
      </c>
      <c r="E272" s="16">
        <v>1</v>
      </c>
      <c r="F272" s="5" t="s">
        <v>1190</v>
      </c>
      <c r="G272" s="5" t="s">
        <v>1179</v>
      </c>
      <c r="H272" s="5" t="s">
        <v>93</v>
      </c>
      <c r="I272" s="5" t="s">
        <v>1178</v>
      </c>
      <c r="J272" s="5" t="s">
        <v>1260</v>
      </c>
      <c r="K272" s="5" t="s">
        <v>1045</v>
      </c>
      <c r="L272" s="5" t="s">
        <v>14</v>
      </c>
      <c r="M272" s="5" t="s">
        <v>61</v>
      </c>
      <c r="N272" s="7">
        <v>0</v>
      </c>
      <c r="O272" s="7">
        <v>0</v>
      </c>
      <c r="P272" s="7" t="s">
        <v>586</v>
      </c>
      <c r="Q272" s="5" t="s">
        <v>309</v>
      </c>
      <c r="R272" s="5" t="s">
        <v>67</v>
      </c>
      <c r="S272" s="5" t="s">
        <v>1177</v>
      </c>
      <c r="T272" s="5" t="s">
        <v>1335</v>
      </c>
      <c r="U272" s="9">
        <v>2.94</v>
      </c>
      <c r="V272" s="9">
        <f t="shared" si="18"/>
        <v>3.8132869695444035E-2</v>
      </c>
      <c r="W272" s="9"/>
      <c r="X272" s="9"/>
      <c r="Y272" s="9">
        <v>2.83</v>
      </c>
      <c r="Z272" s="9"/>
      <c r="AA272" s="5" t="s">
        <v>12</v>
      </c>
      <c r="AB272" s="7" t="s">
        <v>1043</v>
      </c>
      <c r="AC272" s="5" t="s">
        <v>13</v>
      </c>
      <c r="AD272" s="5">
        <v>9</v>
      </c>
      <c r="AE272" s="5" t="s">
        <v>8</v>
      </c>
      <c r="AF272" s="5" t="s">
        <v>0</v>
      </c>
      <c r="AG272" s="5" t="s">
        <v>14</v>
      </c>
      <c r="AH272" s="5" t="s">
        <v>8</v>
      </c>
      <c r="AI272" s="5" t="s">
        <v>8</v>
      </c>
      <c r="AJ272" s="5" t="s">
        <v>14</v>
      </c>
      <c r="AK272" s="5" t="s">
        <v>196</v>
      </c>
      <c r="AL272" s="5" t="s">
        <v>8</v>
      </c>
      <c r="AM272" s="5">
        <v>2021</v>
      </c>
      <c r="AN272" s="5" t="s">
        <v>67</v>
      </c>
      <c r="AO272" s="5" t="s">
        <v>609</v>
      </c>
      <c r="AP272" s="5" t="s">
        <v>1181</v>
      </c>
      <c r="AQ272" s="5" t="s">
        <v>1182</v>
      </c>
      <c r="AZ272" s="27">
        <v>7.9299999999999995E-3</v>
      </c>
      <c r="BC272" s="27">
        <v>1.1299999999999999E-3</v>
      </c>
      <c r="BD272" s="59">
        <f>LN(AZ272/BC272)</f>
        <v>1.9484354029225075</v>
      </c>
      <c r="BI272" s="27">
        <v>5.7200000000000001E-5</v>
      </c>
      <c r="BL272" s="27">
        <v>1.04E-6</v>
      </c>
      <c r="BM272" s="48">
        <f>LN(BI272/BL272)</f>
        <v>4.0073331852324712</v>
      </c>
      <c r="DK272" s="5">
        <v>0.88</v>
      </c>
      <c r="DN272" s="5">
        <v>0.24</v>
      </c>
      <c r="EA272" s="5">
        <v>6.7000000000000004E-2</v>
      </c>
      <c r="ED272" s="5">
        <v>1.4E-3</v>
      </c>
      <c r="EQ272" s="5">
        <v>2.19</v>
      </c>
      <c r="ET272" s="5">
        <v>0.26</v>
      </c>
      <c r="EY272" s="5">
        <v>10.029999999999999</v>
      </c>
      <c r="FB272" s="5">
        <v>9.32</v>
      </c>
    </row>
    <row r="273" spans="1:194" hidden="1" x14ac:dyDescent="0.2">
      <c r="A273" s="3" t="s">
        <v>329</v>
      </c>
      <c r="B273" s="4" t="s">
        <v>785</v>
      </c>
      <c r="C273" s="28">
        <v>2015</v>
      </c>
      <c r="D273" s="16">
        <v>104</v>
      </c>
      <c r="E273" s="16">
        <v>1</v>
      </c>
      <c r="F273" s="5" t="s">
        <v>1114</v>
      </c>
      <c r="G273" s="5" t="s">
        <v>16</v>
      </c>
      <c r="H273" s="5" t="s">
        <v>5</v>
      </c>
      <c r="I273" s="5" t="s">
        <v>787</v>
      </c>
      <c r="J273" s="5" t="s">
        <v>90</v>
      </c>
      <c r="K273" s="48" t="s">
        <v>1046</v>
      </c>
      <c r="L273" s="5" t="s">
        <v>1049</v>
      </c>
      <c r="M273" s="5" t="s">
        <v>9</v>
      </c>
      <c r="N273" s="85">
        <v>0</v>
      </c>
      <c r="O273" s="85">
        <v>1.45</v>
      </c>
      <c r="P273" s="7" t="s">
        <v>868</v>
      </c>
      <c r="Q273" s="5" t="s">
        <v>39</v>
      </c>
      <c r="R273" s="5" t="s">
        <v>609</v>
      </c>
      <c r="S273" s="5" t="s">
        <v>96</v>
      </c>
      <c r="T273" s="5" t="s">
        <v>1335</v>
      </c>
      <c r="U273" s="9">
        <f>N273+1.308</f>
        <v>1.3080000000000001</v>
      </c>
      <c r="V273" s="9">
        <f t="shared" si="18"/>
        <v>-1.3308883235455919</v>
      </c>
      <c r="W273" s="9"/>
      <c r="X273" s="9"/>
      <c r="Y273" s="9">
        <f>O273+3.5</f>
        <v>4.95</v>
      </c>
      <c r="Z273" s="9"/>
      <c r="AA273" s="5" t="s">
        <v>12</v>
      </c>
      <c r="AB273" s="7" t="s">
        <v>1044</v>
      </c>
      <c r="AC273" s="5" t="s">
        <v>74</v>
      </c>
      <c r="AD273" s="3">
        <v>9</v>
      </c>
      <c r="AE273" s="5" t="s">
        <v>8</v>
      </c>
      <c r="AF273" s="5" t="s">
        <v>1325</v>
      </c>
      <c r="AG273" s="5" t="s">
        <v>8</v>
      </c>
      <c r="AH273" s="5" t="s">
        <v>8</v>
      </c>
      <c r="AI273" s="5" t="s">
        <v>8</v>
      </c>
      <c r="AJ273" s="5" t="s">
        <v>8</v>
      </c>
      <c r="AK273" s="5" t="s">
        <v>421</v>
      </c>
      <c r="AL273" s="5" t="s">
        <v>8</v>
      </c>
      <c r="AM273" s="5" t="s">
        <v>1028</v>
      </c>
      <c r="AN273" s="5" t="s">
        <v>680</v>
      </c>
      <c r="AO273" s="5" t="s">
        <v>680</v>
      </c>
      <c r="AP273" s="5" t="s">
        <v>786</v>
      </c>
      <c r="AQ273" s="5" t="s">
        <v>1028</v>
      </c>
      <c r="BD273" s="58"/>
      <c r="BM273" s="73"/>
    </row>
    <row r="274" spans="1:194" ht="14.65" hidden="1" customHeight="1" x14ac:dyDescent="0.25">
      <c r="A274" s="3" t="s">
        <v>1</v>
      </c>
      <c r="B274" s="65" t="s">
        <v>1198</v>
      </c>
      <c r="C274" s="28">
        <v>2022</v>
      </c>
      <c r="D274" s="16">
        <v>120</v>
      </c>
      <c r="E274" s="16">
        <v>1</v>
      </c>
      <c r="F274" s="5" t="s">
        <v>1199</v>
      </c>
      <c r="G274" s="5" t="s">
        <v>1202</v>
      </c>
      <c r="H274" s="5" t="s">
        <v>5</v>
      </c>
      <c r="I274" s="5" t="s">
        <v>1201</v>
      </c>
      <c r="J274" s="5" t="s">
        <v>90</v>
      </c>
      <c r="K274" s="5" t="s">
        <v>1046</v>
      </c>
      <c r="L274" s="5" t="s">
        <v>1049</v>
      </c>
      <c r="M274" s="5" t="s">
        <v>9</v>
      </c>
      <c r="N274" s="82">
        <f>0.00001345*35.842</f>
        <v>4.8207489999999996E-4</v>
      </c>
      <c r="O274" s="8">
        <f>((8*12.01)/(166.13))*(44/12)</f>
        <v>2.1205882943076704</v>
      </c>
      <c r="P274" s="7" t="s">
        <v>1205</v>
      </c>
      <c r="Q274" s="5" t="s">
        <v>309</v>
      </c>
      <c r="R274" s="5" t="s">
        <v>67</v>
      </c>
      <c r="S274" s="5" t="s">
        <v>1206</v>
      </c>
      <c r="T274" s="5" t="s">
        <v>1335</v>
      </c>
      <c r="U274" s="9">
        <f>2.495+N274</f>
        <v>2.4954820749</v>
      </c>
      <c r="V274" s="9">
        <f t="shared" si="18"/>
        <v>-0.43166424758365746</v>
      </c>
      <c r="W274" s="9"/>
      <c r="X274" s="9"/>
      <c r="Y274" s="9">
        <f>1.722+O274</f>
        <v>3.8425882943076703</v>
      </c>
      <c r="Z274" s="9"/>
      <c r="AA274" s="5" t="s">
        <v>12</v>
      </c>
      <c r="AB274" s="7" t="s">
        <v>1123</v>
      </c>
      <c r="AC274" s="5" t="s">
        <v>1194</v>
      </c>
      <c r="AD274" s="5">
        <v>9</v>
      </c>
      <c r="AE274" s="5" t="s">
        <v>14</v>
      </c>
      <c r="AF274" s="5" t="s">
        <v>1167</v>
      </c>
      <c r="AG274" s="5" t="s">
        <v>14</v>
      </c>
      <c r="AH274" s="5" t="s">
        <v>14</v>
      </c>
      <c r="AI274" s="5" t="s">
        <v>8</v>
      </c>
      <c r="AJ274" s="5" t="s">
        <v>8</v>
      </c>
      <c r="AK274" s="5" t="s">
        <v>196</v>
      </c>
      <c r="AL274" s="5" t="s">
        <v>14</v>
      </c>
      <c r="AM274" s="5" t="s">
        <v>1203</v>
      </c>
      <c r="AN274" s="5" t="s">
        <v>1139</v>
      </c>
      <c r="AO274" s="5" t="s">
        <v>1139</v>
      </c>
      <c r="AP274" s="5" t="s">
        <v>1200</v>
      </c>
      <c r="AQ274" s="5" t="s">
        <v>1207</v>
      </c>
      <c r="BM274" s="48"/>
      <c r="CL274" s="5">
        <v>1.282</v>
      </c>
      <c r="CO274" s="5">
        <v>1.319</v>
      </c>
      <c r="DK274" s="5">
        <v>0.64200000000000002</v>
      </c>
      <c r="DN274" s="5">
        <v>0.372</v>
      </c>
      <c r="DO274" s="5">
        <v>0.1</v>
      </c>
      <c r="DR274" s="5">
        <v>3.2000000000000001E-2</v>
      </c>
      <c r="EA274" s="5">
        <v>5.8999999999999997E-2</v>
      </c>
      <c r="ED274" s="5">
        <v>2.8000000000000001E-2</v>
      </c>
      <c r="GI274" s="5">
        <v>0.84699999999999998</v>
      </c>
      <c r="GL274" s="5">
        <v>3.5999999999999997E-2</v>
      </c>
    </row>
    <row r="275" spans="1:194" ht="14.65" hidden="1" customHeight="1" x14ac:dyDescent="0.25">
      <c r="A275" s="3" t="s">
        <v>1</v>
      </c>
      <c r="B275" s="65" t="s">
        <v>1198</v>
      </c>
      <c r="C275" s="28">
        <v>2022</v>
      </c>
      <c r="D275" s="16">
        <v>120</v>
      </c>
      <c r="E275" s="16">
        <v>2</v>
      </c>
      <c r="F275" s="5" t="s">
        <v>1199</v>
      </c>
      <c r="G275" s="5" t="s">
        <v>98</v>
      </c>
      <c r="H275" s="5" t="s">
        <v>93</v>
      </c>
      <c r="I275" s="5" t="s">
        <v>1201</v>
      </c>
      <c r="J275" s="5" t="s">
        <v>90</v>
      </c>
      <c r="K275" s="5" t="s">
        <v>1046</v>
      </c>
      <c r="L275" s="5" t="s">
        <v>1049</v>
      </c>
      <c r="M275" s="5" t="s">
        <v>9</v>
      </c>
      <c r="N275" s="82">
        <f>0.00001345*14.584</f>
        <v>1.9615480000000001E-4</v>
      </c>
      <c r="O275" s="8">
        <f>((8*12.01)/(166.13))*(44/12)</f>
        <v>2.1205882943076704</v>
      </c>
      <c r="P275" s="7" t="s">
        <v>1205</v>
      </c>
      <c r="Q275" s="5" t="s">
        <v>309</v>
      </c>
      <c r="R275" s="5" t="s">
        <v>67</v>
      </c>
      <c r="S275" s="5" t="s">
        <v>1206</v>
      </c>
      <c r="T275" s="5" t="s">
        <v>1335</v>
      </c>
      <c r="U275" s="9">
        <f>N275+1.041</f>
        <v>1.0411961547999999</v>
      </c>
      <c r="V275" s="9">
        <f t="shared" si="18"/>
        <v>-1.3057759734310728</v>
      </c>
      <c r="W275" s="9"/>
      <c r="X275" s="9"/>
      <c r="Y275" s="9">
        <f>1.722+O275</f>
        <v>3.8425882943076703</v>
      </c>
      <c r="Z275" s="9"/>
      <c r="AA275" s="5" t="s">
        <v>12</v>
      </c>
      <c r="AB275" s="7" t="s">
        <v>1123</v>
      </c>
      <c r="AC275" s="5" t="s">
        <v>1194</v>
      </c>
      <c r="AD275" s="5">
        <v>9</v>
      </c>
      <c r="AE275" s="5" t="s">
        <v>14</v>
      </c>
      <c r="AF275" s="5" t="s">
        <v>1167</v>
      </c>
      <c r="AG275" s="5" t="s">
        <v>14</v>
      </c>
      <c r="AH275" s="5" t="s">
        <v>14</v>
      </c>
      <c r="AI275" s="5" t="s">
        <v>14</v>
      </c>
      <c r="AJ275" s="5" t="s">
        <v>14</v>
      </c>
      <c r="AK275" s="5" t="s">
        <v>196</v>
      </c>
      <c r="AL275" s="5" t="s">
        <v>14</v>
      </c>
      <c r="AM275" s="5" t="s">
        <v>1204</v>
      </c>
      <c r="AN275" s="5" t="s">
        <v>1139</v>
      </c>
      <c r="AO275" s="5" t="s">
        <v>1139</v>
      </c>
      <c r="AP275" s="5" t="s">
        <v>1200</v>
      </c>
      <c r="AQ275" s="86" t="s">
        <v>1207</v>
      </c>
      <c r="BM275" s="48"/>
      <c r="CL275" s="5">
        <v>0.39600000000000002</v>
      </c>
      <c r="CO275" s="5">
        <v>1.319</v>
      </c>
      <c r="DK275" s="5">
        <v>0.34899999999999998</v>
      </c>
      <c r="DN275" s="5">
        <v>0.372</v>
      </c>
      <c r="DO275" s="5">
        <v>5.2999999999999999E-2</v>
      </c>
      <c r="DR275" s="5">
        <v>3.2000000000000001E-2</v>
      </c>
      <c r="EA275" s="5">
        <v>7.0000000000000001E-3</v>
      </c>
      <c r="ED275" s="5">
        <v>2.8000000000000001E-2</v>
      </c>
      <c r="GI275" s="5">
        <v>0.20100000000000001</v>
      </c>
      <c r="GL275" s="5">
        <v>3.5999999999999997E-2</v>
      </c>
    </row>
    <row r="276" spans="1:194" hidden="1" x14ac:dyDescent="0.2">
      <c r="A276" s="3" t="s">
        <v>259</v>
      </c>
      <c r="B276" s="4" t="s">
        <v>1210</v>
      </c>
      <c r="C276" s="28">
        <v>2022</v>
      </c>
      <c r="D276" s="16">
        <v>121</v>
      </c>
      <c r="E276" s="16">
        <v>1</v>
      </c>
      <c r="F276" s="5" t="s">
        <v>1209</v>
      </c>
      <c r="G276" s="5" t="s">
        <v>1214</v>
      </c>
      <c r="H276" s="5" t="s">
        <v>5</v>
      </c>
      <c r="I276" s="5" t="s">
        <v>1213</v>
      </c>
      <c r="J276" s="5" t="s">
        <v>631</v>
      </c>
      <c r="K276" s="68" t="s">
        <v>1046</v>
      </c>
      <c r="L276" s="5" t="s">
        <v>8</v>
      </c>
      <c r="M276" s="5" t="s">
        <v>9</v>
      </c>
      <c r="N276" s="7">
        <v>0</v>
      </c>
      <c r="O276" s="8">
        <f>((12.01*16)/(452.363))*(44/12)</f>
        <v>1.5575691793242741</v>
      </c>
      <c r="P276" s="7" t="s">
        <v>1212</v>
      </c>
      <c r="Q276" s="5" t="s">
        <v>309</v>
      </c>
      <c r="R276" s="5" t="s">
        <v>27</v>
      </c>
      <c r="S276" s="5" t="s">
        <v>455</v>
      </c>
      <c r="T276" s="5" t="s">
        <v>1335</v>
      </c>
      <c r="U276" s="9">
        <f>(W276+X276)/2</f>
        <v>60.5</v>
      </c>
      <c r="V276" s="9">
        <f t="shared" si="18"/>
        <v>2.5017278292444276</v>
      </c>
      <c r="W276" s="9">
        <v>46</v>
      </c>
      <c r="X276" s="9">
        <v>75</v>
      </c>
      <c r="Y276" s="9">
        <f>O276+3.4</f>
        <v>4.957569179324274</v>
      </c>
      <c r="Z276" s="9"/>
      <c r="AA276" s="5" t="s">
        <v>12</v>
      </c>
      <c r="AB276" s="7" t="s">
        <v>1043</v>
      </c>
      <c r="AC276" s="5" t="s">
        <v>13</v>
      </c>
      <c r="AD276" s="5">
        <v>9</v>
      </c>
      <c r="AE276" s="5" t="s">
        <v>14</v>
      </c>
      <c r="AF276" s="5" t="s">
        <v>29</v>
      </c>
      <c r="AG276" s="5" t="s">
        <v>8</v>
      </c>
      <c r="AH276" s="5" t="s">
        <v>8</v>
      </c>
      <c r="AI276" s="5" t="s">
        <v>8</v>
      </c>
      <c r="AJ276" s="5" t="s">
        <v>8</v>
      </c>
      <c r="AK276" s="5" t="s">
        <v>1215</v>
      </c>
      <c r="AL276" s="5" t="s">
        <v>14</v>
      </c>
      <c r="AM276" s="5" t="s">
        <v>1216</v>
      </c>
      <c r="AN276" s="5" t="s">
        <v>211</v>
      </c>
      <c r="AO276" s="5" t="s">
        <v>211</v>
      </c>
      <c r="AP276" s="5" t="s">
        <v>1211</v>
      </c>
      <c r="AQ276" s="5" t="s">
        <v>1218</v>
      </c>
      <c r="BA276" s="27">
        <v>0.37</v>
      </c>
      <c r="BC276" s="27">
        <v>2.8000000000000001E-2</v>
      </c>
      <c r="BD276" s="87">
        <f>LN(BA276/BC276)</f>
        <v>2.581298495463066</v>
      </c>
      <c r="BI276" s="27">
        <v>1.6E-2</v>
      </c>
      <c r="BL276" s="27">
        <v>5.5999999999999995E-4</v>
      </c>
      <c r="BM276" s="15">
        <f>LN(BI276/BL276)</f>
        <v>3.3524072174927233</v>
      </c>
      <c r="CH276" s="5">
        <v>970</v>
      </c>
      <c r="CK276" s="27">
        <v>180</v>
      </c>
      <c r="DK276" s="27">
        <v>4.9999999999999998E-7</v>
      </c>
      <c r="DN276" s="27">
        <v>2.9000000000000002E-8</v>
      </c>
      <c r="EA276" s="27">
        <v>48</v>
      </c>
      <c r="ED276" s="5">
        <v>5.5</v>
      </c>
      <c r="GI276" s="27">
        <v>2.1000000000000001E-2</v>
      </c>
      <c r="GL276" s="5">
        <v>6.1</v>
      </c>
    </row>
    <row r="277" spans="1:194" hidden="1" x14ac:dyDescent="0.2">
      <c r="A277" s="3" t="s">
        <v>259</v>
      </c>
      <c r="B277" s="4" t="s">
        <v>1210</v>
      </c>
      <c r="C277" s="28">
        <v>2022</v>
      </c>
      <c r="D277" s="16">
        <v>121</v>
      </c>
      <c r="E277" s="16">
        <v>2</v>
      </c>
      <c r="F277" s="5" t="s">
        <v>1209</v>
      </c>
      <c r="G277" s="5" t="s">
        <v>1217</v>
      </c>
      <c r="H277" s="5" t="s">
        <v>539</v>
      </c>
      <c r="I277" s="5" t="s">
        <v>369</v>
      </c>
      <c r="J277" s="5" t="s">
        <v>7</v>
      </c>
      <c r="K277" s="68" t="s">
        <v>1046</v>
      </c>
      <c r="L277" s="5" t="s">
        <v>8</v>
      </c>
      <c r="M277" s="5" t="s">
        <v>9</v>
      </c>
      <c r="N277" s="7">
        <v>0</v>
      </c>
      <c r="O277" s="8">
        <f>((12.01*16)/(452.363))*(44/12)</f>
        <v>1.5575691793242741</v>
      </c>
      <c r="P277" s="7" t="s">
        <v>1212</v>
      </c>
      <c r="Q277" s="5" t="s">
        <v>309</v>
      </c>
      <c r="R277" s="5" t="s">
        <v>27</v>
      </c>
      <c r="S277" s="5" t="s">
        <v>455</v>
      </c>
      <c r="T277" s="5" t="s">
        <v>1335</v>
      </c>
      <c r="U277" s="9">
        <v>3.1</v>
      </c>
      <c r="V277" s="9">
        <f t="shared" si="18"/>
        <v>-0.46951342430126758</v>
      </c>
      <c r="Y277" s="9">
        <f>O277+3.4</f>
        <v>4.957569179324274</v>
      </c>
      <c r="AA277" s="5" t="s">
        <v>12</v>
      </c>
      <c r="AB277" s="7" t="s">
        <v>1043</v>
      </c>
      <c r="AC277" s="5" t="s">
        <v>13</v>
      </c>
      <c r="AD277" s="5">
        <v>9</v>
      </c>
      <c r="AE277" s="5" t="s">
        <v>14</v>
      </c>
      <c r="AF277" s="5" t="s">
        <v>29</v>
      </c>
      <c r="AG277" s="5" t="s">
        <v>8</v>
      </c>
      <c r="AH277" s="5" t="s">
        <v>8</v>
      </c>
      <c r="AI277" s="5" t="s">
        <v>8</v>
      </c>
      <c r="AJ277" s="5" t="s">
        <v>8</v>
      </c>
      <c r="AK277" s="5" t="s">
        <v>1215</v>
      </c>
      <c r="AL277" s="5" t="s">
        <v>14</v>
      </c>
      <c r="AM277" s="5" t="s">
        <v>1216</v>
      </c>
      <c r="AN277" s="5" t="s">
        <v>211</v>
      </c>
      <c r="AO277" s="5" t="s">
        <v>67</v>
      </c>
      <c r="AP277" s="5" t="s">
        <v>1211</v>
      </c>
      <c r="AQ277" s="5" t="s">
        <v>1218</v>
      </c>
      <c r="BA277" s="27">
        <v>7.3999999999999996E-2</v>
      </c>
      <c r="BC277" s="27">
        <v>2.8000000000000001E-2</v>
      </c>
      <c r="BD277" s="87">
        <f>LN(BA277/BC277)</f>
        <v>0.97186058302896583</v>
      </c>
      <c r="BI277" s="27">
        <v>7.6000000000000004E-4</v>
      </c>
      <c r="BL277" s="27">
        <v>5.5999999999999995E-4</v>
      </c>
      <c r="BM277" s="15">
        <f>LN(BI277/BL277)</f>
        <v>0.30538164955118208</v>
      </c>
      <c r="CH277" s="5">
        <v>22</v>
      </c>
      <c r="CK277" s="27">
        <v>180</v>
      </c>
      <c r="DK277" s="27">
        <v>9.2000000000000003E-8</v>
      </c>
      <c r="DN277" s="27">
        <v>2.9000000000000002E-8</v>
      </c>
      <c r="EA277" s="5">
        <v>8.6999999999999993</v>
      </c>
      <c r="ED277" s="5">
        <v>5.5</v>
      </c>
      <c r="GI277" s="27">
        <v>650</v>
      </c>
      <c r="GL277" s="5">
        <v>6.1</v>
      </c>
    </row>
    <row r="278" spans="1:194" ht="14.65" hidden="1" customHeight="1" x14ac:dyDescent="0.25">
      <c r="A278" s="3" t="s">
        <v>1</v>
      </c>
      <c r="B278" s="65" t="s">
        <v>1219</v>
      </c>
      <c r="C278" s="28">
        <v>2021</v>
      </c>
      <c r="D278" s="16">
        <v>122</v>
      </c>
      <c r="E278" s="16">
        <v>1</v>
      </c>
      <c r="F278" s="5" t="s">
        <v>1054</v>
      </c>
      <c r="G278" s="5" t="s">
        <v>16</v>
      </c>
      <c r="H278" s="5" t="s">
        <v>5</v>
      </c>
      <c r="I278" s="5" t="s">
        <v>1221</v>
      </c>
      <c r="J278" s="5" t="s">
        <v>1260</v>
      </c>
      <c r="K278" s="68" t="s">
        <v>726</v>
      </c>
      <c r="L278" s="5" t="s">
        <v>8</v>
      </c>
      <c r="M278" s="5" t="s">
        <v>9</v>
      </c>
      <c r="N278" s="85">
        <v>0.36123</v>
      </c>
      <c r="O278" s="8">
        <f>((12.01*4)/(118.09))*(44/12)</f>
        <v>1.4916306771671324</v>
      </c>
      <c r="P278" s="7" t="s">
        <v>115</v>
      </c>
      <c r="Q278" s="5" t="s">
        <v>309</v>
      </c>
      <c r="R278" s="5" t="s">
        <v>27</v>
      </c>
      <c r="S278" s="5" t="s">
        <v>96</v>
      </c>
      <c r="T278" s="5" t="s">
        <v>1335</v>
      </c>
      <c r="U278" s="9">
        <f>N278+1.3</f>
        <v>1.66123</v>
      </c>
      <c r="V278" s="9">
        <f t="shared" si="18"/>
        <v>-0.87824309425548497</v>
      </c>
      <c r="Y278" s="9">
        <f>O279+1.94</f>
        <v>3.9980285858939908</v>
      </c>
      <c r="AA278" s="5" t="s">
        <v>12</v>
      </c>
      <c r="AB278" s="7" t="s">
        <v>1123</v>
      </c>
      <c r="AC278" s="5" t="s">
        <v>74</v>
      </c>
      <c r="AD278" s="5">
        <v>9</v>
      </c>
      <c r="AE278" s="5" t="s">
        <v>14</v>
      </c>
      <c r="AF278" s="5" t="s">
        <v>1167</v>
      </c>
      <c r="AG278" s="5" t="s">
        <v>8</v>
      </c>
      <c r="AH278" s="5" t="s">
        <v>8</v>
      </c>
      <c r="AI278" s="5" t="s">
        <v>8</v>
      </c>
      <c r="AJ278" s="5" t="s">
        <v>14</v>
      </c>
      <c r="AK278" s="5" t="s">
        <v>84</v>
      </c>
      <c r="AL278" s="5" t="s">
        <v>8</v>
      </c>
      <c r="AM278" s="5" t="s">
        <v>1223</v>
      </c>
      <c r="AN278" s="5" t="s">
        <v>1222</v>
      </c>
      <c r="AO278" s="5" t="s">
        <v>1222</v>
      </c>
      <c r="AP278" s="5" t="s">
        <v>1220</v>
      </c>
      <c r="AQ278" s="5" t="s">
        <v>1227</v>
      </c>
      <c r="BM278" s="48"/>
      <c r="CT278" s="5">
        <v>31.55</v>
      </c>
      <c r="CW278" s="5">
        <v>59.2</v>
      </c>
      <c r="CX278" s="59">
        <f>LN(CT278/CW278)</f>
        <v>-0.62934795290273793</v>
      </c>
    </row>
    <row r="279" spans="1:194" ht="14.65" hidden="1" customHeight="1" x14ac:dyDescent="0.25">
      <c r="A279" s="3" t="s">
        <v>1</v>
      </c>
      <c r="B279" s="65" t="s">
        <v>1225</v>
      </c>
      <c r="C279" s="28">
        <v>2023</v>
      </c>
      <c r="D279" s="16">
        <v>123</v>
      </c>
      <c r="E279" s="16">
        <v>1</v>
      </c>
      <c r="F279" s="5" t="s">
        <v>865</v>
      </c>
      <c r="G279" s="5" t="s">
        <v>16</v>
      </c>
      <c r="H279" s="5" t="s">
        <v>5</v>
      </c>
      <c r="I279" s="5" t="s">
        <v>218</v>
      </c>
      <c r="J279" s="5" t="s">
        <v>1260</v>
      </c>
      <c r="K279" s="5" t="s">
        <v>726</v>
      </c>
      <c r="L279" s="5" t="s">
        <v>8</v>
      </c>
      <c r="M279" s="5" t="s">
        <v>9</v>
      </c>
      <c r="N279" s="7">
        <v>0</v>
      </c>
      <c r="O279" s="8">
        <f>((12.01*8)/(171.18))*(44/12)</f>
        <v>2.0580285858939908</v>
      </c>
      <c r="P279" s="7" t="s">
        <v>1226</v>
      </c>
      <c r="Q279" s="5" t="s">
        <v>39</v>
      </c>
      <c r="R279" s="5" t="s">
        <v>1028</v>
      </c>
      <c r="S279" s="5" t="s">
        <v>96</v>
      </c>
      <c r="T279" s="5" t="s">
        <v>1335</v>
      </c>
      <c r="U279" s="9">
        <v>5.88</v>
      </c>
      <c r="V279" s="9">
        <f t="shared" si="18"/>
        <v>-0.3869302887778604</v>
      </c>
      <c r="Y279" s="9">
        <f>6.6+O279</f>
        <v>8.6580285858939909</v>
      </c>
      <c r="AA279" s="5" t="s">
        <v>12</v>
      </c>
      <c r="AB279" s="7" t="s">
        <v>1123</v>
      </c>
      <c r="AC279" s="5" t="s">
        <v>13</v>
      </c>
      <c r="AD279" s="5">
        <v>9</v>
      </c>
      <c r="AE279" s="5" t="s">
        <v>14</v>
      </c>
      <c r="AF279" s="5" t="s">
        <v>1138</v>
      </c>
      <c r="AG279" s="5" t="s">
        <v>8</v>
      </c>
      <c r="AH279" s="5" t="s">
        <v>8</v>
      </c>
      <c r="AI279" s="5" t="s">
        <v>8</v>
      </c>
      <c r="AJ279" s="5" t="s">
        <v>8</v>
      </c>
      <c r="AK279" s="5" t="s">
        <v>196</v>
      </c>
      <c r="AL279" s="5" t="s">
        <v>8</v>
      </c>
      <c r="AM279" s="5">
        <v>2016</v>
      </c>
      <c r="AN279" s="5" t="s">
        <v>18</v>
      </c>
      <c r="AO279" s="5" t="s">
        <v>18</v>
      </c>
      <c r="AP279" s="5" t="s">
        <v>1224</v>
      </c>
      <c r="AQ279" s="5" t="s">
        <v>1228</v>
      </c>
      <c r="BM279" s="48"/>
    </row>
    <row r="280" spans="1:194" ht="14.65" hidden="1" customHeight="1" x14ac:dyDescent="0.25">
      <c r="A280" s="3" t="s">
        <v>1</v>
      </c>
      <c r="B280" s="65" t="s">
        <v>1229</v>
      </c>
      <c r="C280" s="28">
        <v>2023</v>
      </c>
      <c r="D280" s="16">
        <v>124</v>
      </c>
      <c r="E280" s="16">
        <v>1</v>
      </c>
      <c r="F280" s="5" t="s">
        <v>1199</v>
      </c>
      <c r="G280" s="5" t="s">
        <v>1232</v>
      </c>
      <c r="H280" s="5" t="s">
        <v>5</v>
      </c>
      <c r="I280" s="5" t="s">
        <v>245</v>
      </c>
      <c r="J280" s="5" t="s">
        <v>1260</v>
      </c>
      <c r="K280" s="5" t="s">
        <v>1045</v>
      </c>
      <c r="L280" s="5" t="s">
        <v>14</v>
      </c>
      <c r="M280" s="5" t="s">
        <v>9</v>
      </c>
      <c r="N280" s="85">
        <v>2.12</v>
      </c>
      <c r="O280" s="8">
        <f>((8*12.01)/(166.13))*(44/12)</f>
        <v>2.1205882943076704</v>
      </c>
      <c r="P280" s="7" t="s">
        <v>1205</v>
      </c>
      <c r="Q280" s="5" t="s">
        <v>309</v>
      </c>
      <c r="R280" s="5" t="s">
        <v>67</v>
      </c>
      <c r="S280" s="5" t="s">
        <v>1206</v>
      </c>
      <c r="T280" s="5" t="s">
        <v>1335</v>
      </c>
      <c r="U280" s="9">
        <f>N280+1.8</f>
        <v>3.92</v>
      </c>
      <c r="V280" s="9">
        <f t="shared" si="18"/>
        <v>3.88606182809429E-2</v>
      </c>
      <c r="Y280" s="9">
        <f>1.65+O280</f>
        <v>3.7705882943076703</v>
      </c>
      <c r="AA280" s="5" t="s">
        <v>12</v>
      </c>
      <c r="AB280" s="7" t="s">
        <v>1123</v>
      </c>
      <c r="AC280" s="5" t="s">
        <v>13</v>
      </c>
      <c r="AD280" s="5">
        <v>9</v>
      </c>
      <c r="AE280" s="5" t="s">
        <v>14</v>
      </c>
      <c r="AF280" s="5" t="s">
        <v>1138</v>
      </c>
      <c r="AG280" s="5" t="s">
        <v>8</v>
      </c>
      <c r="AH280" s="5" t="s">
        <v>14</v>
      </c>
      <c r="AI280" s="5" t="s">
        <v>14</v>
      </c>
      <c r="AJ280" s="5" t="s">
        <v>8</v>
      </c>
      <c r="AK280" s="5" t="s">
        <v>196</v>
      </c>
      <c r="AL280" s="5" t="s">
        <v>14</v>
      </c>
      <c r="AM280" s="5" t="s">
        <v>1231</v>
      </c>
      <c r="AN280" s="5" t="s">
        <v>1139</v>
      </c>
      <c r="AO280" s="5" t="s">
        <v>1139</v>
      </c>
      <c r="AP280" s="5" t="s">
        <v>1230</v>
      </c>
      <c r="AQ280" s="5" t="s">
        <v>1233</v>
      </c>
      <c r="AZ280" s="5">
        <v>5.7000000000000002E-3</v>
      </c>
      <c r="BC280" s="5">
        <v>4.1999999999999997E-3</v>
      </c>
      <c r="BD280" s="59">
        <f>LN(AZ280/BC280)</f>
        <v>0.30538164955118191</v>
      </c>
      <c r="BM280" s="48"/>
      <c r="DK280" s="5">
        <v>0.46410000000000001</v>
      </c>
      <c r="DN280" s="5">
        <v>0.3155</v>
      </c>
      <c r="EA280" s="5">
        <v>2.1299999999999999E-2</v>
      </c>
      <c r="ED280" s="5">
        <v>2.6700000000000002E-2</v>
      </c>
      <c r="FG280" s="5">
        <v>2E-3</v>
      </c>
      <c r="FJ280" s="5">
        <v>1.6000000000000001E-3</v>
      </c>
      <c r="GA280" s="5">
        <v>0.80669999999999997</v>
      </c>
      <c r="GD280" s="5">
        <v>1.3029999999999999</v>
      </c>
      <c r="GI280" s="5">
        <v>0.12189999999999999</v>
      </c>
      <c r="GL280" s="5">
        <v>3.8600000000000002E-2</v>
      </c>
    </row>
    <row r="281" spans="1:194" ht="13.15" hidden="1" customHeight="1" x14ac:dyDescent="0.2">
      <c r="A281" s="3" t="s">
        <v>1</v>
      </c>
      <c r="B281" s="88" t="s">
        <v>1235</v>
      </c>
      <c r="C281" s="28">
        <v>2022</v>
      </c>
      <c r="D281" s="16">
        <v>125</v>
      </c>
      <c r="E281" s="16">
        <v>1</v>
      </c>
      <c r="F281" s="5" t="s">
        <v>1135</v>
      </c>
      <c r="G281" s="5" t="s">
        <v>1237</v>
      </c>
      <c r="H281" s="5" t="s">
        <v>5</v>
      </c>
      <c r="I281" s="5" t="s">
        <v>375</v>
      </c>
      <c r="J281" s="5" t="s">
        <v>25</v>
      </c>
      <c r="K281" s="5" t="s">
        <v>1045</v>
      </c>
      <c r="L281" s="5" t="s">
        <v>1238</v>
      </c>
      <c r="M281" s="5" t="s">
        <v>9</v>
      </c>
      <c r="N281" s="7">
        <v>1.9</v>
      </c>
      <c r="O281" s="7">
        <v>2.29</v>
      </c>
      <c r="P281" s="7" t="s">
        <v>866</v>
      </c>
      <c r="Q281" s="5" t="s">
        <v>309</v>
      </c>
      <c r="R281" s="5" t="s">
        <v>18</v>
      </c>
      <c r="S281" s="5" t="s">
        <v>1239</v>
      </c>
      <c r="T281" s="5" t="s">
        <v>1335</v>
      </c>
      <c r="U281" s="9">
        <f>N281+-0.8</f>
        <v>1.0999999999999999</v>
      </c>
      <c r="V281" s="9">
        <f t="shared" si="18"/>
        <v>-1.417616832248932</v>
      </c>
      <c r="Y281" s="9">
        <f>O281+2.25</f>
        <v>4.54</v>
      </c>
      <c r="AA281" s="5" t="s">
        <v>12</v>
      </c>
      <c r="AB281" s="7" t="s">
        <v>1123</v>
      </c>
      <c r="AC281" s="5" t="s">
        <v>1194</v>
      </c>
      <c r="AD281" s="5">
        <v>9</v>
      </c>
      <c r="AE281" s="5" t="s">
        <v>14</v>
      </c>
      <c r="AF281" s="5" t="s">
        <v>1167</v>
      </c>
      <c r="AG281" s="5" t="s">
        <v>8</v>
      </c>
      <c r="AH281" s="5" t="s">
        <v>14</v>
      </c>
      <c r="AI281" s="5" t="s">
        <v>14</v>
      </c>
      <c r="AJ281" s="5" t="s">
        <v>14</v>
      </c>
      <c r="AK281" s="5" t="s">
        <v>84</v>
      </c>
      <c r="AL281" s="5" t="s">
        <v>8</v>
      </c>
      <c r="AM281" s="5">
        <v>2013</v>
      </c>
      <c r="AN281" s="5" t="s">
        <v>18</v>
      </c>
      <c r="AO281" s="5" t="s">
        <v>18</v>
      </c>
      <c r="AP281" s="5" t="s">
        <v>1236</v>
      </c>
      <c r="AQ281" s="5" t="s">
        <v>1240</v>
      </c>
      <c r="BM281" s="48"/>
      <c r="CT281" s="5">
        <v>20</v>
      </c>
      <c r="CW281" s="5">
        <v>60.2</v>
      </c>
      <c r="CX281" s="59">
        <f>LN(CT281/CW281)</f>
        <v>-1.1019400787607843</v>
      </c>
      <c r="EA281" s="5">
        <v>19.2</v>
      </c>
      <c r="ED281" s="5">
        <v>6</v>
      </c>
    </row>
    <row r="282" spans="1:194" ht="13.15" hidden="1" customHeight="1" x14ac:dyDescent="0.2">
      <c r="A282" s="3" t="s">
        <v>1</v>
      </c>
      <c r="B282" s="88" t="s">
        <v>1235</v>
      </c>
      <c r="C282" s="28">
        <v>2022</v>
      </c>
      <c r="D282" s="16">
        <v>125</v>
      </c>
      <c r="E282" s="16">
        <v>2</v>
      </c>
      <c r="F282" s="5" t="s">
        <v>1135</v>
      </c>
      <c r="G282" s="5" t="s">
        <v>1234</v>
      </c>
      <c r="H282" s="5" t="s">
        <v>93</v>
      </c>
      <c r="I282" s="5" t="s">
        <v>375</v>
      </c>
      <c r="J282" s="5" t="s">
        <v>25</v>
      </c>
      <c r="K282" s="5" t="s">
        <v>1045</v>
      </c>
      <c r="L282" s="5" t="s">
        <v>52</v>
      </c>
      <c r="M282" s="5" t="s">
        <v>9</v>
      </c>
      <c r="N282" s="7">
        <v>1.9</v>
      </c>
      <c r="O282" s="7">
        <v>2.29</v>
      </c>
      <c r="P282" s="7" t="s">
        <v>866</v>
      </c>
      <c r="Q282" s="5" t="s">
        <v>309</v>
      </c>
      <c r="R282" s="5" t="s">
        <v>18</v>
      </c>
      <c r="S282" s="5" t="s">
        <v>1239</v>
      </c>
      <c r="T282" s="5" t="s">
        <v>1335</v>
      </c>
      <c r="U282" s="9">
        <f>N282+-0.9</f>
        <v>0.99999999999999989</v>
      </c>
      <c r="V282" s="9">
        <f t="shared" si="18"/>
        <v>-1.5129270120532567</v>
      </c>
      <c r="Y282" s="9">
        <f>O282+2.25</f>
        <v>4.54</v>
      </c>
      <c r="AA282" s="5" t="s">
        <v>12</v>
      </c>
      <c r="AB282" s="7" t="s">
        <v>1123</v>
      </c>
      <c r="AC282" s="5" t="s">
        <v>1194</v>
      </c>
      <c r="AD282" s="5">
        <v>9</v>
      </c>
      <c r="AE282" s="5" t="s">
        <v>14</v>
      </c>
      <c r="AF282" s="5" t="s">
        <v>1167</v>
      </c>
      <c r="AG282" s="5" t="s">
        <v>8</v>
      </c>
      <c r="AH282" s="5" t="s">
        <v>14</v>
      </c>
      <c r="AI282" s="5" t="s">
        <v>14</v>
      </c>
      <c r="AJ282" s="5" t="s">
        <v>14</v>
      </c>
      <c r="AK282" s="5" t="s">
        <v>84</v>
      </c>
      <c r="AL282" s="5" t="s">
        <v>8</v>
      </c>
      <c r="AM282" s="5">
        <v>2013</v>
      </c>
      <c r="AN282" s="5" t="s">
        <v>18</v>
      </c>
      <c r="AO282" s="5" t="s">
        <v>18</v>
      </c>
      <c r="AP282" s="5" t="s">
        <v>1236</v>
      </c>
      <c r="AQ282" s="5" t="s">
        <v>1240</v>
      </c>
      <c r="BM282" s="48"/>
      <c r="CT282" s="5">
        <v>33</v>
      </c>
      <c r="CW282" s="5">
        <v>60.2</v>
      </c>
      <c r="CX282" s="59">
        <f>LN(CT282/CW282)</f>
        <v>-0.60116479084829522</v>
      </c>
      <c r="EA282" s="5">
        <v>14</v>
      </c>
      <c r="ED282" s="5">
        <v>6</v>
      </c>
    </row>
    <row r="283" spans="1:194" ht="14.65" customHeight="1" x14ac:dyDescent="0.25">
      <c r="A283" s="3" t="s">
        <v>329</v>
      </c>
      <c r="B283" s="65" t="s">
        <v>1133</v>
      </c>
      <c r="C283" s="28">
        <v>2021</v>
      </c>
      <c r="D283" s="16">
        <v>113</v>
      </c>
      <c r="E283" s="16">
        <v>1</v>
      </c>
      <c r="F283" s="5" t="s">
        <v>1135</v>
      </c>
      <c r="G283" s="5" t="s">
        <v>1136</v>
      </c>
      <c r="H283" s="5" t="s">
        <v>93</v>
      </c>
      <c r="I283" s="5" t="s">
        <v>1137</v>
      </c>
      <c r="J283" s="5" t="s">
        <v>1260</v>
      </c>
      <c r="K283" s="5" t="s">
        <v>726</v>
      </c>
      <c r="L283" s="5" t="s">
        <v>8</v>
      </c>
      <c r="M283" s="5" t="s">
        <v>9</v>
      </c>
      <c r="N283" s="7">
        <v>1.9</v>
      </c>
      <c r="O283" s="7">
        <v>2.29</v>
      </c>
      <c r="P283" s="7" t="s">
        <v>866</v>
      </c>
      <c r="Q283" s="5" t="s">
        <v>309</v>
      </c>
      <c r="R283" s="5" t="s">
        <v>27</v>
      </c>
      <c r="S283" s="5" t="s">
        <v>807</v>
      </c>
      <c r="T283" s="5" t="s">
        <v>1335</v>
      </c>
      <c r="U283" s="9">
        <f>N283+4.2</f>
        <v>6.1</v>
      </c>
      <c r="V283" s="9">
        <f t="shared" si="18"/>
        <v>0.16155507400146832</v>
      </c>
      <c r="W283" s="9"/>
      <c r="X283" s="9"/>
      <c r="Y283" s="9">
        <f>O283+2.9</f>
        <v>5.1899999999999995</v>
      </c>
      <c r="Z283" s="9">
        <v>2.9</v>
      </c>
      <c r="AA283" s="5" t="s">
        <v>12</v>
      </c>
      <c r="AB283" s="7" t="s">
        <v>1043</v>
      </c>
      <c r="AC283" s="5" t="s">
        <v>13</v>
      </c>
      <c r="AD283" s="5">
        <v>9</v>
      </c>
      <c r="AE283" s="5" t="s">
        <v>14</v>
      </c>
      <c r="AF283" s="5" t="s">
        <v>1138</v>
      </c>
      <c r="AG283" s="5" t="s">
        <v>14</v>
      </c>
      <c r="AH283" s="5" t="s">
        <v>8</v>
      </c>
      <c r="AI283" s="5" t="s">
        <v>14</v>
      </c>
      <c r="AJ283" s="5" t="s">
        <v>8</v>
      </c>
      <c r="AK283" s="5" t="s">
        <v>196</v>
      </c>
      <c r="AL283" s="5" t="s">
        <v>8</v>
      </c>
      <c r="AM283" s="5">
        <v>2020</v>
      </c>
      <c r="AN283" s="5" t="s">
        <v>1139</v>
      </c>
      <c r="AO283" s="5" t="s">
        <v>27</v>
      </c>
      <c r="AP283" s="5" t="s">
        <v>1134</v>
      </c>
      <c r="AQ283" s="5" t="s">
        <v>1140</v>
      </c>
      <c r="AZ283" s="5">
        <v>3.9800000000000002E-2</v>
      </c>
      <c r="BC283" s="5">
        <v>7.8399999999999997E-3</v>
      </c>
      <c r="BD283" s="59">
        <f>LN(AZ283/BC283)</f>
        <v>1.6246280779280755</v>
      </c>
      <c r="BI283" s="5">
        <v>7.4999999999999997E-3</v>
      </c>
      <c r="BL283" s="5">
        <v>1.5100000000000001E-4</v>
      </c>
      <c r="BM283" s="48">
        <f>LN(BI283/BL283)</f>
        <v>3.9053784627094772</v>
      </c>
      <c r="CT283" s="5">
        <v>98</v>
      </c>
      <c r="CW283" s="5">
        <v>74</v>
      </c>
      <c r="CX283" s="59">
        <f>LN(CT283/CW283)</f>
        <v>0.28090238546640217</v>
      </c>
    </row>
    <row r="284" spans="1:194" ht="14.65" hidden="1" customHeight="1" x14ac:dyDescent="0.2">
      <c r="A284" s="3" t="s">
        <v>329</v>
      </c>
      <c r="B284" s="4" t="s">
        <v>472</v>
      </c>
      <c r="C284" s="28">
        <v>2019</v>
      </c>
      <c r="D284" s="16">
        <v>58</v>
      </c>
      <c r="E284" s="16">
        <v>1</v>
      </c>
      <c r="F284" s="5" t="s">
        <v>1061</v>
      </c>
      <c r="G284" s="19" t="s">
        <v>474</v>
      </c>
      <c r="H284" s="5" t="s">
        <v>93</v>
      </c>
      <c r="I284" s="5" t="s">
        <v>475</v>
      </c>
      <c r="J284" s="5" t="s">
        <v>7</v>
      </c>
      <c r="K284" s="5" t="s">
        <v>1046</v>
      </c>
      <c r="L284" s="5" t="s">
        <v>1049</v>
      </c>
      <c r="M284" s="5" t="s">
        <v>9</v>
      </c>
      <c r="N284" s="7">
        <v>0</v>
      </c>
      <c r="O284" s="7">
        <v>2.89</v>
      </c>
      <c r="P284" s="7" t="s">
        <v>476</v>
      </c>
      <c r="Q284" s="5" t="s">
        <v>309</v>
      </c>
      <c r="R284" s="5" t="s">
        <v>67</v>
      </c>
      <c r="S284" s="5" t="s">
        <v>470</v>
      </c>
      <c r="T284" s="5" t="s">
        <v>1335</v>
      </c>
      <c r="U284" s="9">
        <v>1.08</v>
      </c>
      <c r="V284" s="9">
        <f t="shared" si="18"/>
        <v>-1.8703766599103704</v>
      </c>
      <c r="W284" s="9"/>
      <c r="X284" s="9"/>
      <c r="Y284" s="9">
        <f>4.12+O284</f>
        <v>7.01</v>
      </c>
      <c r="Z284" s="9"/>
      <c r="AA284" s="5" t="s">
        <v>12</v>
      </c>
      <c r="AB284" s="62" t="s">
        <v>1043</v>
      </c>
      <c r="AC284" s="5" t="s">
        <v>13</v>
      </c>
      <c r="AD284" s="66">
        <v>2</v>
      </c>
      <c r="AE284" s="5" t="s">
        <v>8</v>
      </c>
      <c r="AF284" s="5" t="s">
        <v>1279</v>
      </c>
      <c r="AG284" s="5" t="s">
        <v>8</v>
      </c>
      <c r="AH284" s="5" t="s">
        <v>8</v>
      </c>
      <c r="AI284" s="5" t="s">
        <v>8</v>
      </c>
      <c r="AJ284" s="5" t="s">
        <v>8</v>
      </c>
      <c r="AK284" s="5" t="s">
        <v>84</v>
      </c>
      <c r="AL284" s="5" t="s">
        <v>8</v>
      </c>
      <c r="AM284" s="5">
        <v>2019</v>
      </c>
      <c r="AN284" s="5" t="s">
        <v>67</v>
      </c>
      <c r="AO284" s="5" t="s">
        <v>1028</v>
      </c>
      <c r="AP284" s="5" t="s">
        <v>473</v>
      </c>
      <c r="AQ284" s="5" t="s">
        <v>477</v>
      </c>
      <c r="BD284" s="58"/>
      <c r="BM284" s="73"/>
    </row>
    <row r="285" spans="1:194" ht="14.65" hidden="1" customHeight="1" x14ac:dyDescent="0.2">
      <c r="A285" s="3" t="s">
        <v>329</v>
      </c>
      <c r="B285" s="4" t="s">
        <v>451</v>
      </c>
      <c r="C285" s="28">
        <v>2019</v>
      </c>
      <c r="D285" s="16">
        <v>55</v>
      </c>
      <c r="E285" s="16">
        <v>1</v>
      </c>
      <c r="F285" s="5" t="s">
        <v>1078</v>
      </c>
      <c r="G285" s="19" t="s">
        <v>453</v>
      </c>
      <c r="H285" s="5" t="s">
        <v>93</v>
      </c>
      <c r="I285" s="5" t="s">
        <v>454</v>
      </c>
      <c r="J285" s="5" t="s">
        <v>7</v>
      </c>
      <c r="K285" s="5" t="s">
        <v>1046</v>
      </c>
      <c r="L285" s="5" t="s">
        <v>1049</v>
      </c>
      <c r="M285" s="5" t="s">
        <v>9</v>
      </c>
      <c r="N285" s="7">
        <v>1.49</v>
      </c>
      <c r="O285" s="7">
        <v>1.49</v>
      </c>
      <c r="P285" s="7" t="s">
        <v>4</v>
      </c>
      <c r="Q285" s="5" t="s">
        <v>309</v>
      </c>
      <c r="R285" s="5" t="s">
        <v>1028</v>
      </c>
      <c r="S285" s="5" t="s">
        <v>455</v>
      </c>
      <c r="T285" s="5" t="s">
        <v>1335</v>
      </c>
      <c r="U285" s="9">
        <f>1.18+N285</f>
        <v>2.67</v>
      </c>
      <c r="V285" s="9">
        <f t="shared" si="18"/>
        <v>-0.88818405830384051</v>
      </c>
      <c r="W285" s="9"/>
      <c r="X285" s="9"/>
      <c r="Y285" s="9">
        <f>5+O285</f>
        <v>6.49</v>
      </c>
      <c r="Z285" s="9"/>
      <c r="AA285" s="5" t="s">
        <v>12</v>
      </c>
      <c r="AB285" s="62" t="s">
        <v>1043</v>
      </c>
      <c r="AC285" s="5" t="s">
        <v>13</v>
      </c>
      <c r="AD285" s="3">
        <v>9</v>
      </c>
      <c r="AE285" s="5" t="s">
        <v>8</v>
      </c>
      <c r="AF285" s="5" t="s">
        <v>1296</v>
      </c>
      <c r="AG285" s="5" t="s">
        <v>8</v>
      </c>
      <c r="AH285" s="5" t="s">
        <v>8</v>
      </c>
      <c r="AI285" s="5" t="s">
        <v>8</v>
      </c>
      <c r="AJ285" s="5" t="s">
        <v>8</v>
      </c>
      <c r="AK285" s="5" t="s">
        <v>84</v>
      </c>
      <c r="AL285" s="5" t="s">
        <v>8</v>
      </c>
      <c r="AM285" s="5" t="s">
        <v>456</v>
      </c>
      <c r="AN285" s="5" t="s">
        <v>67</v>
      </c>
      <c r="AO285" s="5" t="s">
        <v>67</v>
      </c>
      <c r="AP285" s="5" t="s">
        <v>452</v>
      </c>
      <c r="AQ285" s="5" t="s">
        <v>457</v>
      </c>
      <c r="BD285" s="58"/>
      <c r="BM285" s="73"/>
    </row>
    <row r="286" spans="1:194" ht="14.65" hidden="1" customHeight="1" x14ac:dyDescent="0.25">
      <c r="A286" s="3" t="s">
        <v>287</v>
      </c>
      <c r="B286" s="65" t="s">
        <v>1262</v>
      </c>
      <c r="C286" s="28">
        <v>2022</v>
      </c>
      <c r="D286" s="16">
        <v>129</v>
      </c>
      <c r="E286" s="16">
        <v>1</v>
      </c>
      <c r="F286" s="5" t="s">
        <v>1261</v>
      </c>
      <c r="G286" s="5" t="s">
        <v>1266</v>
      </c>
      <c r="H286" s="5" t="s">
        <v>93</v>
      </c>
      <c r="I286" s="5" t="s">
        <v>1265</v>
      </c>
      <c r="J286" s="5" t="s">
        <v>90</v>
      </c>
      <c r="K286" s="5" t="s">
        <v>1046</v>
      </c>
      <c r="L286" s="5" t="s">
        <v>52</v>
      </c>
      <c r="M286" s="5" t="s">
        <v>61</v>
      </c>
      <c r="N286" s="7">
        <v>5.3999999999999999E-2</v>
      </c>
      <c r="O286" s="7">
        <v>3.38</v>
      </c>
      <c r="P286" s="7" t="s">
        <v>1264</v>
      </c>
      <c r="Q286" s="5" t="s">
        <v>309</v>
      </c>
      <c r="R286" s="5" t="s">
        <v>67</v>
      </c>
      <c r="S286" s="5" t="s">
        <v>325</v>
      </c>
      <c r="T286" s="5" t="s">
        <v>1337</v>
      </c>
      <c r="U286" s="9">
        <f>0.03+N286</f>
        <v>8.3999999999999991E-2</v>
      </c>
      <c r="V286" s="9">
        <f t="shared" si="18"/>
        <v>0.74193734472937711</v>
      </c>
      <c r="Y286" s="9">
        <v>0.04</v>
      </c>
      <c r="AA286" s="5" t="s">
        <v>12</v>
      </c>
      <c r="AB286" s="7" t="s">
        <v>1043</v>
      </c>
      <c r="AC286" s="5" t="s">
        <v>13</v>
      </c>
      <c r="AD286" s="5">
        <v>3</v>
      </c>
      <c r="AE286" s="5" t="s">
        <v>8</v>
      </c>
      <c r="AF286" s="5" t="s">
        <v>29</v>
      </c>
      <c r="AG286" s="5" t="s">
        <v>8</v>
      </c>
      <c r="AH286" s="5" t="s">
        <v>8</v>
      </c>
      <c r="AI286" s="5" t="s">
        <v>8</v>
      </c>
      <c r="AJ286" s="5" t="s">
        <v>8</v>
      </c>
      <c r="AK286" s="5" t="s">
        <v>84</v>
      </c>
      <c r="AL286" s="5" t="s">
        <v>8</v>
      </c>
      <c r="AM286" s="5">
        <v>2021</v>
      </c>
      <c r="AN286" s="5" t="s">
        <v>67</v>
      </c>
      <c r="AO286" s="5" t="s">
        <v>67</v>
      </c>
      <c r="AP286" s="5" t="s">
        <v>1263</v>
      </c>
      <c r="AQ286" s="5" t="s">
        <v>1267</v>
      </c>
      <c r="BM286" s="48"/>
    </row>
    <row r="287" spans="1:194" ht="14.65" hidden="1" customHeight="1" x14ac:dyDescent="0.2">
      <c r="A287" s="3" t="s">
        <v>329</v>
      </c>
      <c r="B287" s="4" t="s">
        <v>597</v>
      </c>
      <c r="C287" s="28">
        <v>2013</v>
      </c>
      <c r="D287" s="16">
        <v>78</v>
      </c>
      <c r="E287" s="16">
        <v>1</v>
      </c>
      <c r="F287" s="63" t="s">
        <v>1074</v>
      </c>
      <c r="G287" s="5" t="s">
        <v>599</v>
      </c>
      <c r="H287" s="5" t="s">
        <v>539</v>
      </c>
      <c r="I287" s="5" t="s">
        <v>600</v>
      </c>
      <c r="J287" s="5" t="s">
        <v>7</v>
      </c>
      <c r="K287" s="48" t="s">
        <v>1046</v>
      </c>
      <c r="L287" s="5" t="s">
        <v>1049</v>
      </c>
      <c r="M287" s="5" t="s">
        <v>61</v>
      </c>
      <c r="N287" s="85">
        <v>9.0999999999999998E-2</v>
      </c>
      <c r="O287" s="85">
        <v>3.13</v>
      </c>
      <c r="P287" s="7" t="s">
        <v>869</v>
      </c>
      <c r="Q287" s="5" t="s">
        <v>309</v>
      </c>
      <c r="R287" s="5" t="s">
        <v>67</v>
      </c>
      <c r="S287" s="5" t="s">
        <v>601</v>
      </c>
      <c r="T287" s="5" t="s">
        <v>1336</v>
      </c>
      <c r="U287" s="9">
        <f>0.192+N287</f>
        <v>0.28300000000000003</v>
      </c>
      <c r="V287" s="9">
        <f t="shared" si="18"/>
        <v>-1.0135136331391621</v>
      </c>
      <c r="W287" s="9"/>
      <c r="X287" s="9"/>
      <c r="Y287" s="9">
        <f>0.3478+((O287/1000)*138)</f>
        <v>0.77973999999999999</v>
      </c>
      <c r="Z287" s="9"/>
      <c r="AA287" s="5" t="s">
        <v>12</v>
      </c>
      <c r="AB287" s="62" t="s">
        <v>1043</v>
      </c>
      <c r="AC287" s="5" t="s">
        <v>13</v>
      </c>
      <c r="AD287" s="3">
        <v>9</v>
      </c>
      <c r="AE287" s="5" t="s">
        <v>8</v>
      </c>
      <c r="AF287" s="5" t="s">
        <v>1307</v>
      </c>
      <c r="AG287" s="19" t="s">
        <v>8</v>
      </c>
      <c r="AH287" s="19" t="s">
        <v>8</v>
      </c>
      <c r="AI287" s="19" t="s">
        <v>8</v>
      </c>
      <c r="AJ287" s="19" t="s">
        <v>8</v>
      </c>
      <c r="AK287" s="5" t="s">
        <v>363</v>
      </c>
      <c r="AL287" s="5" t="s">
        <v>14</v>
      </c>
      <c r="AM287" s="5" t="s">
        <v>602</v>
      </c>
      <c r="AN287" s="5" t="s">
        <v>67</v>
      </c>
      <c r="AO287" s="5" t="s">
        <v>67</v>
      </c>
      <c r="AP287" s="19" t="s">
        <v>598</v>
      </c>
      <c r="AQ287" s="19" t="s">
        <v>603</v>
      </c>
      <c r="AZ287" s="12">
        <f>(1.6/140)</f>
        <v>1.1428571428571429E-2</v>
      </c>
      <c r="BC287" s="5">
        <f>0.8/138</f>
        <v>5.7971014492753624E-3</v>
      </c>
      <c r="BD287" s="58">
        <f>LN(AZ287/BC287)</f>
        <v>0.67875844310784561</v>
      </c>
      <c r="BM287" s="73"/>
      <c r="BN287" s="5">
        <f>((1163.2+12.5)/140000)</f>
        <v>8.3978571428571427E-3</v>
      </c>
      <c r="BQ287" s="5">
        <f>184.1/138000</f>
        <v>1.3340579710144928E-3</v>
      </c>
      <c r="DK287" s="9">
        <f>((82.4+15.9)/140)</f>
        <v>0.70214285714285718</v>
      </c>
      <c r="DL287" s="9"/>
      <c r="DM287" s="9"/>
      <c r="DN287" s="9">
        <f>21.7/138</f>
        <v>0.1572463768115942</v>
      </c>
      <c r="DO287" s="9">
        <f>3.3/140</f>
        <v>2.357142857142857E-2</v>
      </c>
      <c r="DP287" s="9"/>
      <c r="DQ287" s="9"/>
      <c r="DR287" s="9">
        <f>4.9/138</f>
        <v>3.5507246376811595E-2</v>
      </c>
      <c r="DS287" s="9"/>
      <c r="EM287" s="5">
        <f>2/140</f>
        <v>1.4285714285714285E-2</v>
      </c>
      <c r="EP287" s="5">
        <f>4.8/138</f>
        <v>3.4782608695652174E-2</v>
      </c>
      <c r="EY287" s="5">
        <f>((632.5+48.7)/140)/1000</f>
        <v>4.8657142857142857E-3</v>
      </c>
      <c r="FB287" s="5">
        <f>(1211.4/138)/1000</f>
        <v>8.778260869565218E-3</v>
      </c>
      <c r="FG287" s="5">
        <f>(358.4+39.8)/140000</f>
        <v>2.8442857142857141E-3</v>
      </c>
      <c r="FJ287" s="5">
        <f>(272.9/138)/1000</f>
        <v>1.9775362318840578E-3</v>
      </c>
      <c r="GA287" s="5">
        <f>(44.2+28.1)/140</f>
        <v>0.51642857142857146</v>
      </c>
      <c r="GD287" s="5">
        <f>182.6/138</f>
        <v>1.3231884057971015</v>
      </c>
    </row>
  </sheetData>
  <autoFilter ref="A1:GT287">
    <filterColumn colId="0">
      <filters>
        <filter val="Bioplast/biopolymer"/>
      </filters>
    </filterColumn>
    <filterColumn colId="9">
      <filters>
        <filter val="Agricultural &amp; Forestry residues"/>
        <filter val="Pure feedstock (2nd generation)"/>
        <filter val="Waste stream"/>
      </filters>
    </filterColumn>
    <filterColumn colId="15">
      <filters>
        <filter val="BoPP"/>
        <filter val="HDPE"/>
        <filter val="LDPE"/>
        <filter val="LLDPE mulch film"/>
        <filter val="PBT"/>
        <filter val="PET"/>
        <filter val="PLA/3OMMT/16.5ATBC (PLA/organomodified montmorillonite reference film plasticized with ATBC)"/>
        <filter val="Polystyrene"/>
        <filter val="PP"/>
      </filters>
    </filterColumn>
    <sortState ref="A63:GT283">
      <sortCondition ref="B1:B287"/>
    </sortState>
  </autoFilter>
  <dataValidations count="12">
    <dataValidation type="list" allowBlank="1" showInputMessage="1" showErrorMessage="1" sqref="H89:H93 H95 H99:H101 H103:H119 H121:H130 H132:H136">
      <formula1>"Chemical conversion, Biological (biochemical) conversion, Thermochemical conversion, Mechanical Conversion, Thermo- &amp; Mechanical Conversion, Chemical- &amp; Mechanical Conversion"</formula1>
    </dataValidation>
    <dataValidation type="list" allowBlank="1" showInputMessage="1" showErrorMessage="1" sqref="A253:A1048576 A2:A159">
      <formula1>"Bioadhesive, Biochemical, Biocomposite, Biofiber, Biolubricant, Biomaterial, Bioplast/biopolymer, Biorefinery, Biosurfactant, Review"</formula1>
    </dataValidation>
    <dataValidation type="list" allowBlank="1" showInputMessage="1" showErrorMessage="1" sqref="L2">
      <formula1>"No,Yes, dLUC,Yes, iLUC,Yes, dLUC and iLUC,No, but only marginal land is considered"</formula1>
    </dataValidation>
    <dataValidation type="list" allowBlank="1" showInputMessage="1" showErrorMessage="1" sqref="H142:H145 H159 H155 H86:H88 H74 H79:H84 H137:H139 H147 H149:H150 H153 H157">
      <formula1>"Chemical conversion, Biological (biochemical) conversion, Thermochemical conversion, Mechanical Conversion, Thermo- &amp; Mechanical Conversion"</formula1>
    </dataValidation>
    <dataValidation type="list" allowBlank="1" showInputMessage="1" showErrorMessage="1" sqref="H196 H60 H6 H4 H73 H94 H98 H146 H156 H164 H173 H62:H64 H66 H69:H70">
      <formula1>"Chemical conversion, Biological (biochemical) conversion, Thermochemical conversion, Mechanical Conversion, Thermo- &amp; Mechnical Conversion"</formula1>
    </dataValidation>
    <dataValidation type="list" allowBlank="1" showInputMessage="1" showErrorMessage="1" sqref="AA79:AA80 AA82 AA160:AA210 AA2:AA77">
      <formula1>"Attributional, Consequential,Both"</formula1>
    </dataValidation>
    <dataValidation type="list" allowBlank="1" showInputMessage="1" showErrorMessage="1" sqref="H5 H96:H97 H2:H3 H158 H160:H163 H165:H172 H71:H72 H61 H65 H67:H68 H75:H78 H85 H102 H120 H131 H140:H141 H148 H151:H152 H154 H197:H210 H212 H214 H217:H218 H221 H224:H225 H230 H234 H236 H240 H247:H248 H250:H251 H253 H174:H195 H7:H59">
      <formula1>"Chemical conversion, Biological (biochemical) conversion, Thermochemical conversion, Mechanical Conversion"</formula1>
    </dataValidation>
    <dataValidation type="list" allowBlank="1" showInputMessage="1" showErrorMessage="1" sqref="AC2">
      <formula1>"Lab-scale, Pilot-scale, Commercial-scale"</formula1>
    </dataValidation>
    <dataValidation type="list" allowBlank="1" showInputMessage="1" showErrorMessage="1" sqref="AE2 AL2 AG2:AJ40 AG160:AJ186">
      <formula1>"Yes, No"</formula1>
    </dataValidation>
    <dataValidation type="list" allowBlank="1" showInputMessage="1" showErrorMessage="1" sqref="A248:A252 A160:A241">
      <formula1>"Bioadhesive, Biochemical, Biocomposite, Biofibre, Biolubricant, Biomaterial, Bioplast/biopolymer, Biorefinery, Biosurfactant, Review"</formula1>
    </dataValidation>
    <dataValidation type="list" allowBlank="1" showInputMessage="1" showErrorMessage="1" sqref="M2:M198">
      <formula1>"Cradle-to-gate, Cradle-to-gate plus EoL, Cradle-to-grave, gate-to-gate, EoL comparison"</formula1>
    </dataValidation>
    <dataValidation type="list" allowBlank="1" showInputMessage="1" showErrorMessage="1" sqref="J1:J1048576">
      <formula1>"Pure feedstock (1st generation), Pure feedstock (2nd generation), Agricultural &amp; Forestry residues, Waste stream, 3rd generation"</formula1>
    </dataValidation>
  </dataValidations>
  <hyperlinks>
    <hyperlink ref="B2" r:id="rId1" display="Urban &amp; Bakshi"/>
    <hyperlink ref="B3" r:id="rId2" display="Aryapratama &amp; Janssen"/>
    <hyperlink ref="B8" r:id="rId3" display="Benalcazar et al."/>
    <hyperlink ref="B5" r:id="rId4" display="Benalcazar et al."/>
    <hyperlink ref="B12" r:id="rId5" display="Ekman &amp; Börjesson"/>
    <hyperlink ref="B13" r:id="rId6" display="Liptow &amp; Tillman"/>
    <hyperlink ref="B7" r:id="rId7" display="Benalcazar et al."/>
    <hyperlink ref="B4" r:id="rId8" display="Benalcazar et al."/>
    <hyperlink ref="B10" r:id="rId9" display="Benalcazar et al."/>
    <hyperlink ref="B9" r:id="rId10" display="Benalcazar et al."/>
    <hyperlink ref="B11" r:id="rId11" display="Benalcazar et al."/>
    <hyperlink ref="B6" r:id="rId12" display="Benalcazar et al."/>
    <hyperlink ref="B14" r:id="rId13"/>
    <hyperlink ref="B18" r:id="rId14" display="Tufvesso_et_al"/>
    <hyperlink ref="B19" r:id="rId15"/>
    <hyperlink ref="B20" r:id="rId16"/>
    <hyperlink ref="B21" r:id="rId17"/>
    <hyperlink ref="B23" r:id="rId18"/>
    <hyperlink ref="B22" r:id="rId19"/>
    <hyperlink ref="B24" r:id="rId20"/>
    <hyperlink ref="B25" r:id="rId21"/>
    <hyperlink ref="B26" r:id="rId22"/>
    <hyperlink ref="B27" r:id="rId23"/>
    <hyperlink ref="B28" r:id="rId24"/>
    <hyperlink ref="B30" r:id="rId25"/>
    <hyperlink ref="B29" r:id="rId26"/>
    <hyperlink ref="B31" r:id="rId27"/>
    <hyperlink ref="B33" r:id="rId28"/>
    <hyperlink ref="B34" r:id="rId29"/>
    <hyperlink ref="B35" r:id="rId30"/>
    <hyperlink ref="B36" r:id="rId31"/>
    <hyperlink ref="B32" r:id="rId32"/>
    <hyperlink ref="B39" r:id="rId33"/>
    <hyperlink ref="B38" r:id="rId34"/>
    <hyperlink ref="B37" r:id="rId35"/>
    <hyperlink ref="B40" r:id="rId36"/>
    <hyperlink ref="B43" r:id="rId37"/>
    <hyperlink ref="B42" r:id="rId38"/>
    <hyperlink ref="B41" r:id="rId39"/>
    <hyperlink ref="B45" r:id="rId40"/>
    <hyperlink ref="B46" r:id="rId41" display="Yang et al."/>
    <hyperlink ref="B47" r:id="rId42" display="Yang et al."/>
    <hyperlink ref="B48" r:id="rId43"/>
    <hyperlink ref="B49" r:id="rId44"/>
    <hyperlink ref="B50" r:id="rId45"/>
    <hyperlink ref="B52" r:id="rId46"/>
    <hyperlink ref="B51" r:id="rId47"/>
    <hyperlink ref="B53" r:id="rId48"/>
    <hyperlink ref="B56" r:id="rId49"/>
    <hyperlink ref="B54" r:id="rId50"/>
    <hyperlink ref="B57" r:id="rId51"/>
    <hyperlink ref="B55" r:id="rId52"/>
    <hyperlink ref="B58" r:id="rId53"/>
    <hyperlink ref="B60" r:id="rId54"/>
    <hyperlink ref="B66" r:id="rId55"/>
    <hyperlink ref="B152" r:id="rId56"/>
    <hyperlink ref="B212" r:id="rId57"/>
    <hyperlink ref="B111" r:id="rId58"/>
    <hyperlink ref="B214" r:id="rId59"/>
    <hyperlink ref="B221" r:id="rId60"/>
    <hyperlink ref="B67" r:id="rId61"/>
    <hyperlink ref="B69" r:id="rId62"/>
    <hyperlink ref="B68" r:id="rId63"/>
    <hyperlink ref="B70" r:id="rId64" location="Tab1"/>
    <hyperlink ref="B71" r:id="rId65" location="app1-energies-12-04502"/>
    <hyperlink ref="B72" r:id="rId66"/>
    <hyperlink ref="B74" r:id="rId67"/>
    <hyperlink ref="B73" r:id="rId68"/>
    <hyperlink ref="B76" r:id="rId69"/>
    <hyperlink ref="B78" r:id="rId70"/>
    <hyperlink ref="B77" r:id="rId71"/>
    <hyperlink ref="B81" r:id="rId72"/>
    <hyperlink ref="B80" r:id="rId73"/>
    <hyperlink ref="B84" r:id="rId74"/>
    <hyperlink ref="B83" r:id="rId75"/>
    <hyperlink ref="B211" r:id="rId76"/>
    <hyperlink ref="B210" r:id="rId77"/>
    <hyperlink ref="B213" r:id="rId78"/>
    <hyperlink ref="B126" r:id="rId79"/>
    <hyperlink ref="B85" r:id="rId80"/>
    <hyperlink ref="B86" r:id="rId81"/>
    <hyperlink ref="B91" r:id="rId82"/>
    <hyperlink ref="B254" r:id="rId83"/>
    <hyperlink ref="B93" r:id="rId84"/>
    <hyperlink ref="B95" r:id="rId85" location="appsec1"/>
    <hyperlink ref="B65" r:id="rId86"/>
    <hyperlink ref="B63" r:id="rId87"/>
    <hyperlink ref="B104" r:id="rId88"/>
    <hyperlink ref="B89" r:id="rId89"/>
    <hyperlink ref="B247" r:id="rId90"/>
    <hyperlink ref="B101" r:id="rId91" location="fig1"/>
    <hyperlink ref="B103" r:id="rId92" location="fig1"/>
    <hyperlink ref="B102" r:id="rId93" location="fig1"/>
    <hyperlink ref="B238" r:id="rId94"/>
    <hyperlink ref="B263" r:id="rId95" location="appSB"/>
    <hyperlink ref="B248" r:id="rId96" location="ref-CR24"/>
    <hyperlink ref="B113" r:id="rId97"/>
    <hyperlink ref="B229" r:id="rId98"/>
    <hyperlink ref="B228" r:id="rId99"/>
    <hyperlink ref="B285" r:id="rId100" location="!divAbstract"/>
    <hyperlink ref="B226" r:id="rId101"/>
    <hyperlink ref="B223" r:id="rId102"/>
    <hyperlink ref="B284" r:id="rId103"/>
    <hyperlink ref="B87" r:id="rId104"/>
    <hyperlink ref="B117" r:id="rId105"/>
    <hyperlink ref="B118" r:id="rId106"/>
    <hyperlink ref="B120" r:id="rId107" location="s0205"/>
    <hyperlink ref="B119" r:id="rId108" location="s0205"/>
    <hyperlink ref="B122" r:id="rId109"/>
    <hyperlink ref="B121" r:id="rId110"/>
    <hyperlink ref="B64" r:id="rId111"/>
    <hyperlink ref="B261" r:id="rId112"/>
    <hyperlink ref="B227" r:id="rId113"/>
    <hyperlink ref="B134" r:id="rId114"/>
    <hyperlink ref="B132" r:id="rId115"/>
    <hyperlink ref="B133" r:id="rId116"/>
    <hyperlink ref="B128" r:id="rId117"/>
    <hyperlink ref="B130" r:id="rId118"/>
    <hyperlink ref="B129" r:id="rId119"/>
    <hyperlink ref="B131" r:id="rId120"/>
    <hyperlink ref="B135" r:id="rId121"/>
    <hyperlink ref="B136" r:id="rId122" location="bib18"/>
    <hyperlink ref="B137" r:id="rId123"/>
    <hyperlink ref="B139" r:id="rId124"/>
    <hyperlink ref="B138" r:id="rId125"/>
    <hyperlink ref="B142" r:id="rId126"/>
    <hyperlink ref="B140" r:id="rId127"/>
    <hyperlink ref="B143" r:id="rId128"/>
    <hyperlink ref="B141" r:id="rId129"/>
    <hyperlink ref="B145" r:id="rId130"/>
    <hyperlink ref="B144" r:id="rId131"/>
    <hyperlink ref="B146" r:id="rId132"/>
    <hyperlink ref="B147" r:id="rId133"/>
    <hyperlink ref="B149" r:id="rId134"/>
    <hyperlink ref="B148" r:id="rId135"/>
    <hyperlink ref="B16" r:id="rId136" display="Tufvesso_et_al"/>
    <hyperlink ref="B15" r:id="rId137" display="Tufvesso_et_al"/>
    <hyperlink ref="B17" r:id="rId138" display="Tufvesso_et_al"/>
    <hyperlink ref="B150" r:id="rId139"/>
    <hyperlink ref="B151" r:id="rId140"/>
    <hyperlink ref="B287" r:id="rId141"/>
    <hyperlink ref="B153" r:id="rId142"/>
    <hyperlink ref="B154" r:id="rId143"/>
    <hyperlink ref="B158" r:id="rId144"/>
    <hyperlink ref="B157" r:id="rId145"/>
    <hyperlink ref="B159" r:id="rId146"/>
    <hyperlink ref="B163" r:id="rId147" location="!divAbstract"/>
    <hyperlink ref="B163:B173" r:id="rId148" location="!divAbstract" display="Dros_et_al"/>
    <hyperlink ref="B173" r:id="rId149"/>
    <hyperlink ref="B176:B177" r:id="rId150" display="Liptow_et_al"/>
    <hyperlink ref="B174" r:id="rId151"/>
    <hyperlink ref="B182" r:id="rId152" location="!divAbstract"/>
    <hyperlink ref="B180" r:id="rId153" location="!divAbstract"/>
    <hyperlink ref="B179" r:id="rId154" location="!divAbstract"/>
    <hyperlink ref="B178" r:id="rId155" location="!divAbstract"/>
    <hyperlink ref="B181" r:id="rId156" location="!divAbstract"/>
    <hyperlink ref="B177" r:id="rId157" location="!divAbstract"/>
    <hyperlink ref="B183" r:id="rId158"/>
    <hyperlink ref="B184" r:id="rId159"/>
    <hyperlink ref="B185" r:id="rId160"/>
    <hyperlink ref="B186" r:id="rId161"/>
    <hyperlink ref="B187" r:id="rId162"/>
    <hyperlink ref="B190" r:id="rId163" location="!divAbstract"/>
    <hyperlink ref="B190:B192" r:id="rId164" location="!divAbstract" display="Morales_et_al"/>
    <hyperlink ref="B195" r:id="rId165" location="!divAbstract"/>
    <hyperlink ref="B194" r:id="rId166" location="!divAbstract"/>
    <hyperlink ref="B197" r:id="rId167" location="!divAbstract"/>
    <hyperlink ref="B198" r:id="rId168" location="!divAbstract"/>
    <hyperlink ref="B196" r:id="rId169" location="!divAbstract"/>
    <hyperlink ref="B199" r:id="rId170" location="!divAbstract"/>
    <hyperlink ref="B200" r:id="rId171"/>
    <hyperlink ref="B201" r:id="rId172"/>
    <hyperlink ref="B202" r:id="rId173"/>
    <hyperlink ref="B208" r:id="rId174" location="!divAbstract"/>
    <hyperlink ref="B204" r:id="rId175" location="!divAbstract"/>
    <hyperlink ref="B203" r:id="rId176" location="!divAbstract"/>
    <hyperlink ref="B209" r:id="rId177" location="!divAbstract"/>
    <hyperlink ref="B207" r:id="rId178" location="!divAbstract"/>
    <hyperlink ref="B206" r:id="rId179" location="!divAbstract"/>
    <hyperlink ref="B205" r:id="rId180" location="!divAbstract"/>
    <hyperlink ref="B262" r:id="rId181"/>
    <hyperlink ref="B215" r:id="rId182"/>
    <hyperlink ref="B115" r:id="rId183"/>
    <hyperlink ref="B219" r:id="rId184" location="!divAbstract"/>
    <hyperlink ref="B225" r:id="rId185"/>
    <hyperlink ref="B249" r:id="rId186"/>
    <hyperlink ref="B216" r:id="rId187"/>
    <hyperlink ref="B216:B217" r:id="rId188" display="Akanuma_et_al"/>
    <hyperlink ref="B241" r:id="rId189"/>
    <hyperlink ref="B240" r:id="rId190"/>
    <hyperlink ref="B112" r:id="rId191"/>
    <hyperlink ref="B110" r:id="rId192"/>
    <hyperlink ref="B220" r:id="rId193"/>
    <hyperlink ref="B273" r:id="rId194"/>
    <hyperlink ref="B253" r:id="rId195"/>
    <hyperlink ref="B255" r:id="rId196"/>
    <hyperlink ref="B125" r:id="rId197"/>
    <hyperlink ref="B260" r:id="rId198"/>
    <hyperlink ref="B100" r:id="rId199"/>
    <hyperlink ref="B109" r:id="rId200"/>
    <hyperlink ref="B235" r:id="rId201"/>
    <hyperlink ref="B231:B235" r:id="rId202" display="Chen_et_al"/>
    <hyperlink ref="B242" r:id="rId203"/>
    <hyperlink ref="B244" r:id="rId204"/>
    <hyperlink ref="B230" r:id="rId205"/>
    <hyperlink ref="B237" r:id="rId206"/>
    <hyperlink ref="B239" r:id="rId207"/>
    <hyperlink ref="B243" r:id="rId208"/>
    <hyperlink ref="B98" r:id="rId209"/>
    <hyperlink ref="B99" r:id="rId210"/>
    <hyperlink ref="B97" r:id="rId211"/>
    <hyperlink ref="B96" r:id="rId212"/>
    <hyperlink ref="B90" r:id="rId213" display="https://pubs.acs.org/doi/full/10.1021/acs.est.5b05589"/>
    <hyperlink ref="B105" r:id="rId214" display="https://pubs.acs.org/doi/full/10.1021/acs.est.5b05589"/>
    <hyperlink ref="B107" r:id="rId215" display="https://pubs.acs.org/doi/full/10.1021/acs.est.5b05589"/>
    <hyperlink ref="B92" r:id="rId216" display="https://pubs.acs.org/doi/full/10.1021/acs.est.5b05589"/>
    <hyperlink ref="B106" r:id="rId217" display="https://pubs.acs.org/doi/full/10.1021/acs.est.5b05589"/>
    <hyperlink ref="B108" r:id="rId218" display="https://pubs.acs.org/doi/full/10.1021/acs.est.5b05589"/>
    <hyperlink ref="B114" r:id="rId219"/>
    <hyperlink ref="B283" r:id="rId220"/>
    <hyperlink ref="B257" r:id="rId221"/>
    <hyperlink ref="B258" r:id="rId222"/>
    <hyperlink ref="B259" r:id="rId223"/>
    <hyperlink ref="B256" r:id="rId224"/>
    <hyperlink ref="B245" r:id="rId225"/>
    <hyperlink ref="B246" r:id="rId226"/>
    <hyperlink ref="B250" r:id="rId227"/>
    <hyperlink ref="B251" r:id="rId228"/>
    <hyperlink ref="B264" r:id="rId229"/>
    <hyperlink ref="B265" r:id="rId230"/>
    <hyperlink ref="B266" r:id="rId231"/>
    <hyperlink ref="B267" r:id="rId232"/>
    <hyperlink ref="B268" r:id="rId233"/>
    <hyperlink ref="B270" r:id="rId234"/>
    <hyperlink ref="B269" r:id="rId235"/>
    <hyperlink ref="B271" r:id="rId236"/>
    <hyperlink ref="B272" r:id="rId237" location="cit67"/>
    <hyperlink ref="B224" r:id="rId238"/>
    <hyperlink ref="B274" r:id="rId239"/>
    <hyperlink ref="B275" r:id="rId240"/>
    <hyperlink ref="B276" r:id="rId241"/>
    <hyperlink ref="B277" r:id="rId242"/>
    <hyperlink ref="B278" r:id="rId243"/>
    <hyperlink ref="B279" r:id="rId244"/>
    <hyperlink ref="B280" r:id="rId245"/>
    <hyperlink ref="B281" r:id="rId246"/>
    <hyperlink ref="B282" r:id="rId247"/>
    <hyperlink ref="B124" r:id="rId248" location="bib34"/>
    <hyperlink ref="B252" r:id="rId249"/>
    <hyperlink ref="B61" r:id="rId250"/>
    <hyperlink ref="B79" r:id="rId251"/>
    <hyperlink ref="B82" r:id="rId252"/>
    <hyperlink ref="B156" r:id="rId253"/>
    <hyperlink ref="B286" r:id="rId254"/>
    <hyperlink ref="B62" r:id="rId255"/>
  </hyperlinks>
  <pageMargins left="0.7" right="0.7" top="0.75" bottom="0.75" header="0.3" footer="0.3"/>
  <pageSetup orientation="portrait" horizontalDpi="1200" verticalDpi="1200" r:id="rId256"/>
  <legacyDrawing r:id="rId25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7"/>
  <sheetViews>
    <sheetView workbookViewId="0">
      <selection activeCell="B15" sqref="B15"/>
    </sheetView>
  </sheetViews>
  <sheetFormatPr defaultRowHeight="15" x14ac:dyDescent="0.25"/>
  <sheetData>
    <row r="2" spans="1:4" x14ac:dyDescent="0.25">
      <c r="A2" t="s">
        <v>1383</v>
      </c>
      <c r="B2">
        <v>1070</v>
      </c>
      <c r="C2" t="s">
        <v>1596</v>
      </c>
      <c r="D2" s="65" t="s">
        <v>1391</v>
      </c>
    </row>
    <row r="3" spans="1:4" x14ac:dyDescent="0.25">
      <c r="A3" t="s">
        <v>866</v>
      </c>
      <c r="B3">
        <v>1370</v>
      </c>
      <c r="D3" t="s">
        <v>1391</v>
      </c>
    </row>
    <row r="4" spans="1:4" x14ac:dyDescent="0.25">
      <c r="A4" t="s">
        <v>333</v>
      </c>
      <c r="B4">
        <f>(941+965)/2</f>
        <v>953</v>
      </c>
      <c r="D4" t="s">
        <v>1597</v>
      </c>
    </row>
    <row r="5" spans="1:4" x14ac:dyDescent="0.25">
      <c r="A5" t="s">
        <v>869</v>
      </c>
      <c r="B5">
        <f>(915+925)/2</f>
        <v>920</v>
      </c>
      <c r="D5" t="s">
        <v>1597</v>
      </c>
    </row>
    <row r="6" spans="1:4" x14ac:dyDescent="0.25">
      <c r="A6" t="s">
        <v>870</v>
      </c>
      <c r="B6">
        <v>920</v>
      </c>
      <c r="D6" t="s">
        <v>1597</v>
      </c>
    </row>
    <row r="7" spans="1:4" x14ac:dyDescent="0.25">
      <c r="A7" t="s">
        <v>864</v>
      </c>
      <c r="B7">
        <f>(895+920)/2</f>
        <v>907.5</v>
      </c>
      <c r="D7" t="s">
        <v>1598</v>
      </c>
    </row>
    <row r="8" spans="1:4" x14ac:dyDescent="0.25">
      <c r="A8" t="s">
        <v>1386</v>
      </c>
      <c r="B8">
        <v>1050</v>
      </c>
      <c r="D8" t="s">
        <v>1599</v>
      </c>
    </row>
    <row r="9" spans="1:4" x14ac:dyDescent="0.25">
      <c r="A9" t="s">
        <v>1418</v>
      </c>
      <c r="B9">
        <f>(1030+1060)/2</f>
        <v>1045</v>
      </c>
      <c r="D9" t="s">
        <v>1600</v>
      </c>
    </row>
    <row r="10" spans="1:4" x14ac:dyDescent="0.25">
      <c r="A10" t="s">
        <v>1532</v>
      </c>
      <c r="B10">
        <f>(1000+1050)/2</f>
        <v>1025</v>
      </c>
      <c r="D10" t="s">
        <v>1601</v>
      </c>
    </row>
    <row r="11" spans="1:4" x14ac:dyDescent="0.25">
      <c r="A11" t="s">
        <v>865</v>
      </c>
      <c r="B11">
        <v>1250</v>
      </c>
      <c r="D11" t="s">
        <v>1602</v>
      </c>
    </row>
    <row r="12" spans="1:4" x14ac:dyDescent="0.25">
      <c r="A12" t="s">
        <v>862</v>
      </c>
      <c r="B12">
        <v>1250</v>
      </c>
      <c r="D12" t="s">
        <v>1603</v>
      </c>
    </row>
    <row r="13" spans="1:4" x14ac:dyDescent="0.25">
      <c r="A13" t="s">
        <v>1347</v>
      </c>
      <c r="B13">
        <v>1260</v>
      </c>
      <c r="D13" s="65" t="s">
        <v>1604</v>
      </c>
    </row>
    <row r="14" spans="1:4" x14ac:dyDescent="0.25">
      <c r="A14" t="s">
        <v>867</v>
      </c>
      <c r="B14">
        <v>1240</v>
      </c>
      <c r="D14" s="65" t="s">
        <v>1604</v>
      </c>
    </row>
    <row r="15" spans="1:4" x14ac:dyDescent="0.25">
      <c r="A15" t="s">
        <v>1605</v>
      </c>
      <c r="B15">
        <f>(110+210)/2</f>
        <v>160</v>
      </c>
      <c r="D15" t="s">
        <v>1606</v>
      </c>
    </row>
    <row r="16" spans="1:4" x14ac:dyDescent="0.25">
      <c r="A16" t="s">
        <v>1530</v>
      </c>
      <c r="B16">
        <f>(12+50)/2</f>
        <v>31</v>
      </c>
      <c r="D16" t="s">
        <v>1607</v>
      </c>
    </row>
    <row r="17" spans="1:4" x14ac:dyDescent="0.25">
      <c r="A17" t="s">
        <v>1609</v>
      </c>
      <c r="B17">
        <f>(30+100)/2</f>
        <v>65</v>
      </c>
      <c r="D17" t="s">
        <v>1610</v>
      </c>
    </row>
  </sheetData>
  <hyperlinks>
    <hyperlink ref="D2" r:id="rId1"/>
    <hyperlink ref="D13" r:id="rId2"/>
    <hyperlink ref="D14" r:id="rId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workbookViewId="0">
      <selection activeCell="C11" sqref="C11"/>
    </sheetView>
  </sheetViews>
  <sheetFormatPr defaultRowHeight="15" x14ac:dyDescent="0.25"/>
  <cols>
    <col min="1" max="1" width="19" customWidth="1"/>
    <col min="2" max="2" width="11.85546875" customWidth="1"/>
    <col min="3" max="3" width="63.140625" bestFit="1" customWidth="1"/>
    <col min="4" max="4" width="23.85546875" bestFit="1" customWidth="1"/>
    <col min="5" max="5" width="11" customWidth="1"/>
  </cols>
  <sheetData>
    <row r="1" spans="1:7" x14ac:dyDescent="0.25">
      <c r="A1" t="s">
        <v>1342</v>
      </c>
      <c r="B1" t="s">
        <v>1345</v>
      </c>
      <c r="C1" t="s">
        <v>1369</v>
      </c>
      <c r="D1" t="s">
        <v>1428</v>
      </c>
      <c r="E1" t="s">
        <v>1543</v>
      </c>
      <c r="F1" t="s">
        <v>1544</v>
      </c>
      <c r="G1" t="s">
        <v>1551</v>
      </c>
    </row>
    <row r="2" spans="1:7" hidden="1" x14ac:dyDescent="0.25">
      <c r="A2" t="s">
        <v>867</v>
      </c>
      <c r="B2" t="s">
        <v>1425</v>
      </c>
      <c r="C2" t="s">
        <v>1404</v>
      </c>
      <c r="D2" t="s">
        <v>1402</v>
      </c>
      <c r="E2" t="s">
        <v>1447</v>
      </c>
    </row>
    <row r="3" spans="1:7" hidden="1" x14ac:dyDescent="0.25">
      <c r="A3" t="s">
        <v>1347</v>
      </c>
      <c r="B3" t="s">
        <v>1426</v>
      </c>
      <c r="C3" t="s">
        <v>1404</v>
      </c>
      <c r="D3" t="s">
        <v>1402</v>
      </c>
      <c r="E3" t="s">
        <v>1447</v>
      </c>
    </row>
    <row r="4" spans="1:7" hidden="1" x14ac:dyDescent="0.25">
      <c r="A4" t="s">
        <v>865</v>
      </c>
      <c r="B4" t="s">
        <v>1427</v>
      </c>
      <c r="C4" t="s">
        <v>1404</v>
      </c>
      <c r="D4" t="s">
        <v>1402</v>
      </c>
      <c r="E4" t="s">
        <v>1447</v>
      </c>
    </row>
    <row r="5" spans="1:7" hidden="1" x14ac:dyDescent="0.25">
      <c r="A5" t="s">
        <v>867</v>
      </c>
      <c r="B5" t="s">
        <v>1430</v>
      </c>
      <c r="C5" t="s">
        <v>1429</v>
      </c>
      <c r="D5" t="s">
        <v>1402</v>
      </c>
      <c r="F5" t="s">
        <v>1430</v>
      </c>
    </row>
    <row r="6" spans="1:7" hidden="1" x14ac:dyDescent="0.25">
      <c r="A6" t="s">
        <v>867</v>
      </c>
      <c r="B6" t="s">
        <v>1432</v>
      </c>
      <c r="C6" t="s">
        <v>1431</v>
      </c>
      <c r="D6" t="s">
        <v>1402</v>
      </c>
    </row>
    <row r="7" spans="1:7" hidden="1" x14ac:dyDescent="0.25">
      <c r="A7" t="s">
        <v>867</v>
      </c>
      <c r="B7" t="s">
        <v>1434</v>
      </c>
      <c r="C7" t="s">
        <v>1433</v>
      </c>
      <c r="D7" t="s">
        <v>1410</v>
      </c>
    </row>
    <row r="8" spans="1:7" hidden="1" x14ac:dyDescent="0.25">
      <c r="A8" t="s">
        <v>865</v>
      </c>
      <c r="B8" t="s">
        <v>1435</v>
      </c>
      <c r="C8" t="s">
        <v>1433</v>
      </c>
      <c r="D8" t="s">
        <v>1410</v>
      </c>
    </row>
    <row r="9" spans="1:7" hidden="1" x14ac:dyDescent="0.25">
      <c r="A9" t="s">
        <v>861</v>
      </c>
      <c r="B9" t="s">
        <v>1483</v>
      </c>
      <c r="C9" t="s">
        <v>1436</v>
      </c>
      <c r="D9" t="s">
        <v>1410</v>
      </c>
    </row>
    <row r="10" spans="1:7" hidden="1" x14ac:dyDescent="0.25">
      <c r="A10" t="s">
        <v>862</v>
      </c>
      <c r="B10" t="s">
        <v>1437</v>
      </c>
      <c r="C10" t="s">
        <v>1436</v>
      </c>
      <c r="D10" t="s">
        <v>1410</v>
      </c>
    </row>
    <row r="11" spans="1:7" x14ac:dyDescent="0.25">
      <c r="A11" t="s">
        <v>867</v>
      </c>
      <c r="B11" t="s">
        <v>1437</v>
      </c>
      <c r="C11" t="s">
        <v>1438</v>
      </c>
      <c r="D11" t="s">
        <v>1408</v>
      </c>
    </row>
    <row r="12" spans="1:7" hidden="1" x14ac:dyDescent="0.25">
      <c r="A12" t="s">
        <v>867</v>
      </c>
      <c r="B12" t="s">
        <v>1440</v>
      </c>
      <c r="C12" t="s">
        <v>1439</v>
      </c>
      <c r="D12" t="s">
        <v>1411</v>
      </c>
      <c r="E12" t="s">
        <v>1445</v>
      </c>
    </row>
    <row r="13" spans="1:7" hidden="1" x14ac:dyDescent="0.25">
      <c r="A13" t="s">
        <v>865</v>
      </c>
      <c r="B13" t="s">
        <v>1444</v>
      </c>
      <c r="C13" t="s">
        <v>1441</v>
      </c>
      <c r="D13" t="s">
        <v>1411</v>
      </c>
      <c r="E13" t="s">
        <v>1446</v>
      </c>
    </row>
    <row r="14" spans="1:7" hidden="1" x14ac:dyDescent="0.25">
      <c r="A14" t="s">
        <v>865</v>
      </c>
      <c r="B14" t="s">
        <v>1444</v>
      </c>
      <c r="C14" t="s">
        <v>1442</v>
      </c>
      <c r="D14" t="s">
        <v>1411</v>
      </c>
      <c r="E14" t="s">
        <v>1446</v>
      </c>
    </row>
    <row r="15" spans="1:7" hidden="1" x14ac:dyDescent="0.25">
      <c r="A15" t="s">
        <v>865</v>
      </c>
      <c r="B15" t="s">
        <v>1444</v>
      </c>
      <c r="C15" t="s">
        <v>1443</v>
      </c>
      <c r="D15" t="s">
        <v>1411</v>
      </c>
      <c r="E15" t="s">
        <v>1446</v>
      </c>
    </row>
    <row r="16" spans="1:7" hidden="1" x14ac:dyDescent="0.25">
      <c r="A16" t="s">
        <v>867</v>
      </c>
      <c r="B16" t="s">
        <v>1449</v>
      </c>
      <c r="C16" t="s">
        <v>1448</v>
      </c>
      <c r="D16" t="s">
        <v>1411</v>
      </c>
    </row>
    <row r="17" spans="1:6" hidden="1" x14ac:dyDescent="0.25">
      <c r="A17" t="s">
        <v>861</v>
      </c>
      <c r="B17" t="s">
        <v>1450</v>
      </c>
      <c r="C17" t="s">
        <v>1448</v>
      </c>
      <c r="D17" t="s">
        <v>1411</v>
      </c>
    </row>
    <row r="18" spans="1:6" hidden="1" x14ac:dyDescent="0.25">
      <c r="A18" t="s">
        <v>862</v>
      </c>
      <c r="B18" t="s">
        <v>1451</v>
      </c>
      <c r="C18" t="s">
        <v>1448</v>
      </c>
      <c r="D18" t="s">
        <v>1411</v>
      </c>
    </row>
    <row r="19" spans="1:6" hidden="1" x14ac:dyDescent="0.25">
      <c r="A19" t="s">
        <v>867</v>
      </c>
      <c r="B19" t="s">
        <v>1453</v>
      </c>
      <c r="C19" t="s">
        <v>1452</v>
      </c>
      <c r="D19" t="s">
        <v>1411</v>
      </c>
    </row>
    <row r="20" spans="1:6" hidden="1" x14ac:dyDescent="0.25">
      <c r="A20" t="s">
        <v>861</v>
      </c>
      <c r="B20" t="s">
        <v>1450</v>
      </c>
      <c r="C20" t="s">
        <v>1452</v>
      </c>
      <c r="D20" t="s">
        <v>1411</v>
      </c>
    </row>
    <row r="21" spans="1:6" hidden="1" x14ac:dyDescent="0.25">
      <c r="A21" t="s">
        <v>862</v>
      </c>
      <c r="B21" t="s">
        <v>1454</v>
      </c>
      <c r="C21" t="s">
        <v>1452</v>
      </c>
      <c r="D21" t="s">
        <v>1411</v>
      </c>
    </row>
    <row r="22" spans="1:6" hidden="1" x14ac:dyDescent="0.25">
      <c r="A22" t="s">
        <v>861</v>
      </c>
      <c r="B22" t="s">
        <v>1459</v>
      </c>
      <c r="C22" t="s">
        <v>1455</v>
      </c>
      <c r="D22" t="s">
        <v>1456</v>
      </c>
    </row>
    <row r="23" spans="1:6" hidden="1" x14ac:dyDescent="0.25">
      <c r="A23" t="s">
        <v>867</v>
      </c>
      <c r="B23" t="s">
        <v>1460</v>
      </c>
      <c r="C23" t="s">
        <v>1457</v>
      </c>
      <c r="D23" t="s">
        <v>1456</v>
      </c>
    </row>
    <row r="24" spans="1:6" hidden="1" x14ac:dyDescent="0.25">
      <c r="A24" t="s">
        <v>867</v>
      </c>
      <c r="B24" t="s">
        <v>1461</v>
      </c>
      <c r="C24" t="s">
        <v>1458</v>
      </c>
      <c r="D24" t="s">
        <v>1456</v>
      </c>
    </row>
    <row r="25" spans="1:6" hidden="1" x14ac:dyDescent="0.25">
      <c r="A25" t="s">
        <v>861</v>
      </c>
      <c r="B25" t="s">
        <v>1467</v>
      </c>
      <c r="C25" t="s">
        <v>1466</v>
      </c>
      <c r="D25" t="s">
        <v>1464</v>
      </c>
    </row>
    <row r="26" spans="1:6" hidden="1" x14ac:dyDescent="0.25">
      <c r="A26" t="s">
        <v>1462</v>
      </c>
      <c r="B26" t="s">
        <v>1467</v>
      </c>
      <c r="C26" t="s">
        <v>1466</v>
      </c>
      <c r="D26" t="s">
        <v>1464</v>
      </c>
    </row>
    <row r="27" spans="1:6" hidden="1" x14ac:dyDescent="0.25">
      <c r="A27" t="s">
        <v>867</v>
      </c>
      <c r="B27" t="s">
        <v>1469</v>
      </c>
      <c r="C27" t="s">
        <v>1468</v>
      </c>
      <c r="D27" t="s">
        <v>1464</v>
      </c>
    </row>
    <row r="28" spans="1:6" hidden="1" x14ac:dyDescent="0.25">
      <c r="A28" t="s">
        <v>861</v>
      </c>
      <c r="B28" t="s">
        <v>1470</v>
      </c>
      <c r="C28" t="s">
        <v>1468</v>
      </c>
      <c r="D28" t="s">
        <v>1464</v>
      </c>
    </row>
    <row r="29" spans="1:6" hidden="1" x14ac:dyDescent="0.25">
      <c r="A29" t="s">
        <v>867</v>
      </c>
      <c r="B29" t="s">
        <v>1472</v>
      </c>
      <c r="C29" t="s">
        <v>1471</v>
      </c>
      <c r="D29" t="s">
        <v>1464</v>
      </c>
      <c r="F29" t="s">
        <v>1545</v>
      </c>
    </row>
    <row r="30" spans="1:6" hidden="1" x14ac:dyDescent="0.25">
      <c r="A30" t="s">
        <v>861</v>
      </c>
      <c r="B30" t="s">
        <v>1475</v>
      </c>
      <c r="C30" t="s">
        <v>1473</v>
      </c>
      <c r="D30" t="s">
        <v>1464</v>
      </c>
    </row>
    <row r="31" spans="1:6" hidden="1" x14ac:dyDescent="0.25">
      <c r="A31" t="s">
        <v>1474</v>
      </c>
      <c r="B31" t="s">
        <v>1478</v>
      </c>
      <c r="C31" t="s">
        <v>1473</v>
      </c>
      <c r="D31" t="s">
        <v>1464</v>
      </c>
    </row>
    <row r="32" spans="1:6" hidden="1" x14ac:dyDescent="0.25">
      <c r="A32" t="s">
        <v>867</v>
      </c>
      <c r="B32" t="s">
        <v>1477</v>
      </c>
      <c r="C32" t="s">
        <v>1476</v>
      </c>
      <c r="D32" t="s">
        <v>1464</v>
      </c>
    </row>
    <row r="33" spans="1:7" hidden="1" x14ac:dyDescent="0.25">
      <c r="A33" t="s">
        <v>1479</v>
      </c>
      <c r="B33" t="s">
        <v>1480</v>
      </c>
      <c r="C33" t="s">
        <v>1476</v>
      </c>
      <c r="D33" t="s">
        <v>1464</v>
      </c>
    </row>
    <row r="34" spans="1:7" hidden="1" x14ac:dyDescent="0.25">
      <c r="A34" t="s">
        <v>861</v>
      </c>
      <c r="B34" t="s">
        <v>1467</v>
      </c>
      <c r="C34" t="s">
        <v>1463</v>
      </c>
      <c r="D34" t="s">
        <v>1465</v>
      </c>
    </row>
    <row r="35" spans="1:7" hidden="1" x14ac:dyDescent="0.25">
      <c r="A35" t="s">
        <v>1462</v>
      </c>
      <c r="B35" t="s">
        <v>1467</v>
      </c>
      <c r="C35" t="s">
        <v>1463</v>
      </c>
      <c r="D35" t="s">
        <v>1465</v>
      </c>
    </row>
    <row r="36" spans="1:7" hidden="1" x14ac:dyDescent="0.25">
      <c r="A36" t="s">
        <v>867</v>
      </c>
      <c r="B36" t="s">
        <v>1482</v>
      </c>
      <c r="C36" t="s">
        <v>1485</v>
      </c>
      <c r="D36" t="s">
        <v>1465</v>
      </c>
    </row>
    <row r="37" spans="1:7" hidden="1" x14ac:dyDescent="0.25">
      <c r="A37" t="s">
        <v>861</v>
      </c>
      <c r="B37" t="s">
        <v>1483</v>
      </c>
      <c r="C37" t="s">
        <v>1485</v>
      </c>
      <c r="D37" t="s">
        <v>1465</v>
      </c>
    </row>
    <row r="38" spans="1:7" hidden="1" x14ac:dyDescent="0.25">
      <c r="A38" t="s">
        <v>1135</v>
      </c>
      <c r="B38" t="s">
        <v>1484</v>
      </c>
      <c r="C38" t="s">
        <v>1485</v>
      </c>
      <c r="D38" t="s">
        <v>1465</v>
      </c>
      <c r="G38" t="s">
        <v>1550</v>
      </c>
    </row>
    <row r="39" spans="1:7" hidden="1" x14ac:dyDescent="0.25">
      <c r="A39" t="s">
        <v>867</v>
      </c>
      <c r="B39" t="s">
        <v>1482</v>
      </c>
      <c r="C39" t="s">
        <v>1486</v>
      </c>
      <c r="D39" t="s">
        <v>1465</v>
      </c>
    </row>
    <row r="40" spans="1:7" hidden="1" x14ac:dyDescent="0.25">
      <c r="A40" t="s">
        <v>861</v>
      </c>
      <c r="B40" t="s">
        <v>1432</v>
      </c>
      <c r="C40" t="s">
        <v>1487</v>
      </c>
      <c r="D40" t="s">
        <v>1465</v>
      </c>
    </row>
    <row r="41" spans="1:7" hidden="1" x14ac:dyDescent="0.25">
      <c r="A41" t="s">
        <v>867</v>
      </c>
      <c r="B41" t="s">
        <v>1491</v>
      </c>
      <c r="C41" t="s">
        <v>1488</v>
      </c>
      <c r="D41" t="s">
        <v>1465</v>
      </c>
      <c r="F41" t="s">
        <v>1547</v>
      </c>
    </row>
    <row r="42" spans="1:7" hidden="1" x14ac:dyDescent="0.25">
      <c r="A42" t="s">
        <v>867</v>
      </c>
      <c r="B42" t="s">
        <v>1491</v>
      </c>
      <c r="C42" t="s">
        <v>1489</v>
      </c>
      <c r="D42" t="s">
        <v>1465</v>
      </c>
    </row>
    <row r="43" spans="1:7" hidden="1" x14ac:dyDescent="0.25">
      <c r="A43" t="s">
        <v>867</v>
      </c>
      <c r="B43" t="s">
        <v>1491</v>
      </c>
      <c r="C43" t="s">
        <v>1490</v>
      </c>
      <c r="D43" t="s">
        <v>1465</v>
      </c>
    </row>
    <row r="44" spans="1:7" hidden="1" x14ac:dyDescent="0.25">
      <c r="A44" t="s">
        <v>865</v>
      </c>
      <c r="B44" t="s">
        <v>1493</v>
      </c>
      <c r="C44" t="s">
        <v>1492</v>
      </c>
      <c r="D44" t="s">
        <v>1465</v>
      </c>
    </row>
    <row r="45" spans="1:7" hidden="1" x14ac:dyDescent="0.25">
      <c r="A45" t="s">
        <v>867</v>
      </c>
      <c r="B45" t="s">
        <v>1432</v>
      </c>
      <c r="C45" t="s">
        <v>1494</v>
      </c>
      <c r="D45" t="s">
        <v>1465</v>
      </c>
    </row>
    <row r="46" spans="1:7" hidden="1" x14ac:dyDescent="0.25">
      <c r="A46" t="s">
        <v>867</v>
      </c>
      <c r="B46" t="s">
        <v>1496</v>
      </c>
      <c r="C46" t="s">
        <v>1495</v>
      </c>
      <c r="D46" t="s">
        <v>1465</v>
      </c>
      <c r="F46" t="s">
        <v>1546</v>
      </c>
    </row>
    <row r="47" spans="1:7" hidden="1" x14ac:dyDescent="0.25">
      <c r="A47" t="s">
        <v>867</v>
      </c>
      <c r="B47" t="s">
        <v>1498</v>
      </c>
      <c r="C47" t="s">
        <v>1497</v>
      </c>
      <c r="D47" t="s">
        <v>1465</v>
      </c>
      <c r="F47">
        <v>-2014</v>
      </c>
    </row>
    <row r="48" spans="1:7" hidden="1" x14ac:dyDescent="0.25">
      <c r="A48" t="s">
        <v>867</v>
      </c>
      <c r="B48" t="s">
        <v>1432</v>
      </c>
      <c r="C48" t="s">
        <v>1499</v>
      </c>
      <c r="D48" t="s">
        <v>1465</v>
      </c>
    </row>
    <row r="49" spans="1:6" hidden="1" x14ac:dyDescent="0.25">
      <c r="A49" t="s">
        <v>1347</v>
      </c>
      <c r="B49" t="s">
        <v>1437</v>
      </c>
      <c r="C49" t="s">
        <v>1500</v>
      </c>
      <c r="D49" t="s">
        <v>1465</v>
      </c>
    </row>
    <row r="50" spans="1:6" hidden="1" x14ac:dyDescent="0.25">
      <c r="A50" t="s">
        <v>867</v>
      </c>
      <c r="B50" t="s">
        <v>1502</v>
      </c>
      <c r="C50" t="s">
        <v>1501</v>
      </c>
      <c r="D50" t="s">
        <v>1465</v>
      </c>
    </row>
    <row r="51" spans="1:6" hidden="1" x14ac:dyDescent="0.25">
      <c r="A51" t="s">
        <v>865</v>
      </c>
      <c r="B51" t="s">
        <v>1502</v>
      </c>
      <c r="C51" t="s">
        <v>1501</v>
      </c>
      <c r="D51" t="s">
        <v>1465</v>
      </c>
    </row>
    <row r="52" spans="1:6" hidden="1" x14ac:dyDescent="0.25">
      <c r="A52" t="s">
        <v>867</v>
      </c>
      <c r="B52" t="s">
        <v>1503</v>
      </c>
      <c r="C52" t="s">
        <v>1442</v>
      </c>
      <c r="D52" t="s">
        <v>1465</v>
      </c>
    </row>
    <row r="53" spans="1:6" hidden="1" x14ac:dyDescent="0.25">
      <c r="A53" t="s">
        <v>861</v>
      </c>
      <c r="B53" t="s">
        <v>1432</v>
      </c>
      <c r="C53" t="s">
        <v>1442</v>
      </c>
      <c r="D53" t="s">
        <v>1465</v>
      </c>
    </row>
    <row r="54" spans="1:6" hidden="1" x14ac:dyDescent="0.25">
      <c r="A54" t="s">
        <v>862</v>
      </c>
      <c r="B54" t="s">
        <v>1504</v>
      </c>
      <c r="C54" t="s">
        <v>1442</v>
      </c>
      <c r="D54" t="s">
        <v>1465</v>
      </c>
    </row>
    <row r="55" spans="1:6" hidden="1" x14ac:dyDescent="0.25">
      <c r="A55" t="s">
        <v>1505</v>
      </c>
      <c r="B55" t="s">
        <v>1432</v>
      </c>
      <c r="C55" t="s">
        <v>1442</v>
      </c>
      <c r="D55" t="s">
        <v>1465</v>
      </c>
    </row>
    <row r="56" spans="1:6" hidden="1" x14ac:dyDescent="0.25">
      <c r="A56" t="s">
        <v>867</v>
      </c>
      <c r="B56" t="s">
        <v>1508</v>
      </c>
      <c r="C56" t="s">
        <v>1506</v>
      </c>
      <c r="D56" t="s">
        <v>1465</v>
      </c>
    </row>
    <row r="57" spans="1:6" hidden="1" x14ac:dyDescent="0.25">
      <c r="A57" t="s">
        <v>867</v>
      </c>
      <c r="B57" t="s">
        <v>1508</v>
      </c>
      <c r="C57" t="s">
        <v>1507</v>
      </c>
      <c r="D57" t="s">
        <v>1465</v>
      </c>
    </row>
    <row r="58" spans="1:6" hidden="1" x14ac:dyDescent="0.25">
      <c r="A58" t="s">
        <v>1509</v>
      </c>
      <c r="B58" t="s">
        <v>1510</v>
      </c>
      <c r="C58" t="s">
        <v>1511</v>
      </c>
      <c r="D58" t="s">
        <v>1465</v>
      </c>
    </row>
    <row r="59" spans="1:6" hidden="1" x14ac:dyDescent="0.25">
      <c r="A59" t="s">
        <v>861</v>
      </c>
      <c r="B59" t="s">
        <v>1432</v>
      </c>
      <c r="C59" t="s">
        <v>1512</v>
      </c>
      <c r="D59" t="s">
        <v>1465</v>
      </c>
    </row>
    <row r="60" spans="1:6" hidden="1" x14ac:dyDescent="0.25">
      <c r="A60" t="s">
        <v>862</v>
      </c>
      <c r="B60" t="s">
        <v>1510</v>
      </c>
      <c r="C60" t="s">
        <v>1511</v>
      </c>
      <c r="D60" t="s">
        <v>1465</v>
      </c>
    </row>
    <row r="61" spans="1:6" hidden="1" x14ac:dyDescent="0.25">
      <c r="A61" t="s">
        <v>867</v>
      </c>
      <c r="B61" t="s">
        <v>1437</v>
      </c>
      <c r="D61" t="s">
        <v>1513</v>
      </c>
    </row>
    <row r="62" spans="1:6" hidden="1" x14ac:dyDescent="0.25">
      <c r="A62" t="s">
        <v>861</v>
      </c>
      <c r="B62" t="s">
        <v>1483</v>
      </c>
      <c r="D62" t="s">
        <v>1513</v>
      </c>
    </row>
    <row r="63" spans="1:6" hidden="1" x14ac:dyDescent="0.25">
      <c r="F63" t="s">
        <v>1548</v>
      </c>
    </row>
    <row r="64" spans="1:6" hidden="1" x14ac:dyDescent="0.25">
      <c r="A64" t="s">
        <v>867</v>
      </c>
      <c r="C64" t="s">
        <v>1549</v>
      </c>
      <c r="D64" t="s">
        <v>1464</v>
      </c>
    </row>
    <row r="65" spans="1:4" hidden="1" x14ac:dyDescent="0.25">
      <c r="A65" t="s">
        <v>1505</v>
      </c>
      <c r="C65" t="s">
        <v>1556</v>
      </c>
      <c r="D65" t="s">
        <v>1557</v>
      </c>
    </row>
    <row r="66" spans="1:4" hidden="1" x14ac:dyDescent="0.25">
      <c r="A66" t="s">
        <v>861</v>
      </c>
      <c r="B66" t="s">
        <v>1588</v>
      </c>
      <c r="C66" t="s">
        <v>1587</v>
      </c>
    </row>
    <row r="67" spans="1:4" hidden="1" x14ac:dyDescent="0.25">
      <c r="A67" t="s">
        <v>861</v>
      </c>
      <c r="B67" t="s">
        <v>1588</v>
      </c>
      <c r="C67" t="s">
        <v>1476</v>
      </c>
    </row>
    <row r="68" spans="1:4" hidden="1" x14ac:dyDescent="0.25">
      <c r="A68" t="s">
        <v>861</v>
      </c>
      <c r="B68" t="s">
        <v>1588</v>
      </c>
      <c r="C68" t="s">
        <v>1404</v>
      </c>
    </row>
    <row r="69" spans="1:4" hidden="1" x14ac:dyDescent="0.25">
      <c r="A69" t="s">
        <v>867</v>
      </c>
      <c r="C69" t="s">
        <v>1595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76"/>
  <sheetViews>
    <sheetView workbookViewId="0">
      <selection activeCell="F22" sqref="F22"/>
    </sheetView>
  </sheetViews>
  <sheetFormatPr defaultRowHeight="15" x14ac:dyDescent="0.25"/>
  <cols>
    <col min="1" max="1" width="32.42578125" bestFit="1" customWidth="1"/>
    <col min="2" max="2" width="27.85546875" bestFit="1" customWidth="1"/>
    <col min="3" max="3" width="18.5703125" customWidth="1"/>
    <col min="4" max="4" width="19.85546875" bestFit="1" customWidth="1"/>
    <col min="5" max="5" width="13.140625" customWidth="1"/>
    <col min="6" max="6" width="27.85546875" bestFit="1" customWidth="1"/>
  </cols>
  <sheetData>
    <row r="3" spans="1:8" x14ac:dyDescent="0.25">
      <c r="A3" t="s">
        <v>1428</v>
      </c>
      <c r="B3" t="s">
        <v>1584</v>
      </c>
      <c r="C3" t="s">
        <v>1342</v>
      </c>
      <c r="D3" t="s">
        <v>1343</v>
      </c>
      <c r="E3" t="s">
        <v>1613</v>
      </c>
      <c r="F3" t="s">
        <v>1612</v>
      </c>
    </row>
    <row r="4" spans="1:8" x14ac:dyDescent="0.25">
      <c r="A4" t="s">
        <v>1402</v>
      </c>
      <c r="B4" t="s">
        <v>1404</v>
      </c>
      <c r="C4" t="s">
        <v>1351</v>
      </c>
      <c r="D4" t="s">
        <v>870</v>
      </c>
      <c r="E4" t="s">
        <v>40</v>
      </c>
      <c r="F4" s="165">
        <v>0.82162162162162167</v>
      </c>
    </row>
    <row r="5" spans="1:8" x14ac:dyDescent="0.25">
      <c r="A5" t="s">
        <v>1402</v>
      </c>
      <c r="B5" t="s">
        <v>1404</v>
      </c>
      <c r="C5" t="s">
        <v>1353</v>
      </c>
      <c r="D5" t="s">
        <v>869</v>
      </c>
      <c r="E5" t="s">
        <v>40</v>
      </c>
      <c r="F5" s="165">
        <v>1.0135135135135136</v>
      </c>
    </row>
    <row r="6" spans="1:8" x14ac:dyDescent="0.25">
      <c r="A6" t="s">
        <v>1402</v>
      </c>
      <c r="B6" t="s">
        <v>1404</v>
      </c>
      <c r="C6" t="s">
        <v>1347</v>
      </c>
      <c r="D6" t="s">
        <v>869</v>
      </c>
      <c r="E6" t="s">
        <v>40</v>
      </c>
      <c r="F6" s="165">
        <v>0.85246376811594193</v>
      </c>
    </row>
    <row r="7" spans="1:8" x14ac:dyDescent="0.25">
      <c r="A7" t="s">
        <v>1402</v>
      </c>
      <c r="B7" t="s">
        <v>1404</v>
      </c>
      <c r="C7" t="s">
        <v>865</v>
      </c>
      <c r="D7" t="s">
        <v>869</v>
      </c>
      <c r="E7" t="s">
        <v>40</v>
      </c>
      <c r="F7" s="165">
        <v>1</v>
      </c>
    </row>
    <row r="8" spans="1:8" x14ac:dyDescent="0.25">
      <c r="A8" t="s">
        <v>1402</v>
      </c>
      <c r="B8" t="s">
        <v>1404</v>
      </c>
      <c r="C8" t="s">
        <v>867</v>
      </c>
      <c r="D8" t="s">
        <v>869</v>
      </c>
      <c r="E8" t="s">
        <v>40</v>
      </c>
      <c r="F8" s="165">
        <v>1</v>
      </c>
    </row>
    <row r="9" spans="1:8" x14ac:dyDescent="0.25">
      <c r="A9" s="166" t="s">
        <v>1402</v>
      </c>
      <c r="B9" s="166" t="s">
        <v>1536</v>
      </c>
      <c r="C9" t="s">
        <v>867</v>
      </c>
      <c r="D9" t="s">
        <v>333</v>
      </c>
      <c r="E9" t="s">
        <v>1614</v>
      </c>
      <c r="F9" s="165">
        <v>1.3011542497376705</v>
      </c>
    </row>
    <row r="10" spans="1:8" x14ac:dyDescent="0.25">
      <c r="A10" s="166" t="s">
        <v>1402</v>
      </c>
      <c r="B10" s="166" t="s">
        <v>1536</v>
      </c>
      <c r="C10" t="s">
        <v>867</v>
      </c>
      <c r="D10" t="s">
        <v>864</v>
      </c>
      <c r="E10" t="s">
        <v>1614</v>
      </c>
      <c r="F10" s="165">
        <v>1.3663911845730028</v>
      </c>
    </row>
    <row r="11" spans="1:8" x14ac:dyDescent="0.25">
      <c r="A11" t="s">
        <v>1528</v>
      </c>
      <c r="B11" t="s">
        <v>1433</v>
      </c>
      <c r="C11" t="s">
        <v>865</v>
      </c>
      <c r="D11" t="s">
        <v>864</v>
      </c>
      <c r="E11" t="s">
        <v>1614</v>
      </c>
      <c r="F11" s="165">
        <v>1.375</v>
      </c>
    </row>
    <row r="12" spans="1:8" x14ac:dyDescent="0.25">
      <c r="A12" t="s">
        <v>1528</v>
      </c>
      <c r="B12" t="s">
        <v>1433</v>
      </c>
      <c r="C12" t="s">
        <v>867</v>
      </c>
      <c r="D12" t="s">
        <v>864</v>
      </c>
      <c r="E12" t="s">
        <v>40</v>
      </c>
      <c r="F12" s="165">
        <v>1</v>
      </c>
      <c r="G12" s="165"/>
      <c r="H12" s="165"/>
    </row>
    <row r="13" spans="1:8" x14ac:dyDescent="0.25">
      <c r="A13" s="166" t="s">
        <v>1528</v>
      </c>
      <c r="B13" s="166" t="s">
        <v>1436</v>
      </c>
      <c r="C13" t="s">
        <v>862</v>
      </c>
      <c r="D13" t="s">
        <v>864</v>
      </c>
      <c r="E13" t="s">
        <v>1614</v>
      </c>
      <c r="F13" s="165">
        <v>1.3774104683195592</v>
      </c>
    </row>
    <row r="14" spans="1:8" x14ac:dyDescent="0.25">
      <c r="A14" t="s">
        <v>1408</v>
      </c>
      <c r="B14" t="s">
        <v>1438</v>
      </c>
      <c r="C14" t="s">
        <v>1605</v>
      </c>
      <c r="D14" t="s">
        <v>1530</v>
      </c>
      <c r="E14" t="s">
        <v>1614</v>
      </c>
      <c r="F14" s="165">
        <v>5.161290322580645</v>
      </c>
    </row>
    <row r="15" spans="1:8" x14ac:dyDescent="0.25">
      <c r="A15" t="s">
        <v>1408</v>
      </c>
      <c r="B15" t="s">
        <v>1438</v>
      </c>
      <c r="C15" t="s">
        <v>1605</v>
      </c>
      <c r="D15" t="s">
        <v>1609</v>
      </c>
      <c r="E15" t="s">
        <v>1614</v>
      </c>
      <c r="F15" s="165">
        <v>2.4615384615384617</v>
      </c>
    </row>
    <row r="16" spans="1:8" x14ac:dyDescent="0.25">
      <c r="A16" t="s">
        <v>1411</v>
      </c>
      <c r="B16" t="s">
        <v>1626</v>
      </c>
      <c r="C16" t="s">
        <v>1605</v>
      </c>
      <c r="D16" t="s">
        <v>1530</v>
      </c>
      <c r="E16" t="s">
        <v>40</v>
      </c>
      <c r="F16" s="165">
        <v>0.99</v>
      </c>
    </row>
    <row r="17" spans="1:7" x14ac:dyDescent="0.25">
      <c r="A17" t="s">
        <v>1411</v>
      </c>
      <c r="B17" t="s">
        <v>1625</v>
      </c>
      <c r="C17" t="s">
        <v>862</v>
      </c>
      <c r="D17" t="s">
        <v>333</v>
      </c>
      <c r="E17" t="s">
        <v>1614</v>
      </c>
      <c r="F17" s="165">
        <v>1.3116474291710387</v>
      </c>
    </row>
    <row r="18" spans="1:7" x14ac:dyDescent="0.25">
      <c r="A18" t="s">
        <v>1411</v>
      </c>
      <c r="B18" t="s">
        <v>1625</v>
      </c>
      <c r="C18" t="s">
        <v>862</v>
      </c>
      <c r="D18" t="s">
        <v>864</v>
      </c>
      <c r="E18" t="s">
        <v>1614</v>
      </c>
      <c r="F18" s="165">
        <v>1.3774104683195592</v>
      </c>
    </row>
    <row r="19" spans="1:7" x14ac:dyDescent="0.25">
      <c r="A19" t="s">
        <v>1411</v>
      </c>
      <c r="B19" t="s">
        <v>1625</v>
      </c>
      <c r="C19" t="s">
        <v>867</v>
      </c>
      <c r="D19" t="s">
        <v>333</v>
      </c>
      <c r="E19" t="s">
        <v>1614</v>
      </c>
      <c r="F19" s="165">
        <v>1.3011542497376705</v>
      </c>
    </row>
    <row r="20" spans="1:7" x14ac:dyDescent="0.25">
      <c r="A20" t="s">
        <v>1411</v>
      </c>
      <c r="B20" t="s">
        <v>1625</v>
      </c>
      <c r="C20" t="s">
        <v>867</v>
      </c>
      <c r="D20" t="s">
        <v>869</v>
      </c>
      <c r="E20" t="s">
        <v>40</v>
      </c>
      <c r="F20" s="165">
        <v>0.9285714285714286</v>
      </c>
    </row>
    <row r="21" spans="1:7" x14ac:dyDescent="0.25">
      <c r="A21" t="s">
        <v>1411</v>
      </c>
      <c r="B21" t="s">
        <v>1625</v>
      </c>
      <c r="C21" t="s">
        <v>867</v>
      </c>
      <c r="D21" t="s">
        <v>864</v>
      </c>
      <c r="E21" t="s">
        <v>1614</v>
      </c>
      <c r="F21" s="165">
        <v>1.3663911845730028</v>
      </c>
    </row>
    <row r="22" spans="1:7" x14ac:dyDescent="0.25">
      <c r="A22" t="s">
        <v>1411</v>
      </c>
      <c r="B22" t="s">
        <v>1625</v>
      </c>
      <c r="C22" t="s">
        <v>867</v>
      </c>
      <c r="D22" t="s">
        <v>864</v>
      </c>
      <c r="E22" t="s">
        <v>40</v>
      </c>
      <c r="F22" s="165">
        <v>0.9285714285714286</v>
      </c>
    </row>
    <row r="23" spans="1:7" x14ac:dyDescent="0.25">
      <c r="A23" t="s">
        <v>1534</v>
      </c>
      <c r="B23" t="s">
        <v>1632</v>
      </c>
      <c r="C23" t="s">
        <v>867</v>
      </c>
      <c r="D23" t="s">
        <v>1532</v>
      </c>
      <c r="E23" t="s">
        <v>40</v>
      </c>
      <c r="F23" s="165">
        <v>0.87125241779497098</v>
      </c>
    </row>
    <row r="24" spans="1:7" x14ac:dyDescent="0.25">
      <c r="A24" t="s">
        <v>1534</v>
      </c>
      <c r="B24" t="s">
        <v>1632</v>
      </c>
      <c r="C24" t="s">
        <v>867</v>
      </c>
      <c r="D24" t="s">
        <v>1619</v>
      </c>
      <c r="E24" t="s">
        <v>40</v>
      </c>
      <c r="F24" s="165">
        <v>0.65159574468085102</v>
      </c>
    </row>
    <row r="25" spans="1:7" x14ac:dyDescent="0.25">
      <c r="A25" t="s">
        <v>1464</v>
      </c>
      <c r="B25" t="s">
        <v>1473</v>
      </c>
      <c r="C25" t="s">
        <v>1589</v>
      </c>
      <c r="D25" t="s">
        <v>869</v>
      </c>
      <c r="E25" t="s">
        <v>40</v>
      </c>
      <c r="F25" s="165">
        <v>0.79734848484848475</v>
      </c>
    </row>
    <row r="26" spans="1:7" x14ac:dyDescent="0.25">
      <c r="A26" t="s">
        <v>1464</v>
      </c>
      <c r="B26" t="s">
        <v>1473</v>
      </c>
      <c r="C26" t="s">
        <v>1589</v>
      </c>
      <c r="D26" t="s">
        <v>864</v>
      </c>
      <c r="E26" t="s">
        <v>40</v>
      </c>
      <c r="F26" s="165">
        <v>1.5592592592592591</v>
      </c>
    </row>
    <row r="27" spans="1:7" x14ac:dyDescent="0.25">
      <c r="A27" t="s">
        <v>1464</v>
      </c>
      <c r="B27" t="s">
        <v>1473</v>
      </c>
      <c r="C27" t="s">
        <v>867</v>
      </c>
      <c r="D27" t="s">
        <v>869</v>
      </c>
      <c r="E27" t="s">
        <v>40</v>
      </c>
      <c r="F27" s="165">
        <v>1.3623188405797102</v>
      </c>
      <c r="G27" s="165"/>
    </row>
    <row r="28" spans="1:7" x14ac:dyDescent="0.25">
      <c r="A28" t="s">
        <v>1464</v>
      </c>
      <c r="B28" t="s">
        <v>1473</v>
      </c>
      <c r="C28" t="s">
        <v>867</v>
      </c>
      <c r="D28" t="s">
        <v>866</v>
      </c>
      <c r="E28" t="s">
        <v>1614</v>
      </c>
      <c r="F28" s="165">
        <v>0.9051094890510949</v>
      </c>
    </row>
    <row r="29" spans="1:7" x14ac:dyDescent="0.25">
      <c r="A29" t="s">
        <v>1464</v>
      </c>
      <c r="B29" t="s">
        <v>1473</v>
      </c>
      <c r="C29" t="s">
        <v>867</v>
      </c>
      <c r="D29" t="s">
        <v>864</v>
      </c>
      <c r="E29" t="s">
        <v>40</v>
      </c>
      <c r="F29" s="165">
        <v>1</v>
      </c>
    </row>
    <row r="30" spans="1:7" x14ac:dyDescent="0.25">
      <c r="A30" t="s">
        <v>1464</v>
      </c>
      <c r="B30" t="s">
        <v>1616</v>
      </c>
      <c r="C30" t="s">
        <v>867</v>
      </c>
      <c r="D30" t="s">
        <v>864</v>
      </c>
      <c r="E30" t="s">
        <v>40</v>
      </c>
      <c r="F30" s="165">
        <v>1.1666666666666667</v>
      </c>
    </row>
    <row r="31" spans="1:7" x14ac:dyDescent="0.25">
      <c r="A31" t="s">
        <v>1464</v>
      </c>
      <c r="B31" t="s">
        <v>1633</v>
      </c>
      <c r="C31" t="s">
        <v>1382</v>
      </c>
      <c r="D31" t="s">
        <v>863</v>
      </c>
      <c r="E31" t="s">
        <v>40</v>
      </c>
      <c r="F31" s="165">
        <v>1.200109950522265</v>
      </c>
    </row>
    <row r="32" spans="1:7" x14ac:dyDescent="0.25">
      <c r="A32" t="s">
        <v>1464</v>
      </c>
      <c r="B32" t="s">
        <v>1633</v>
      </c>
      <c r="C32" t="s">
        <v>1377</v>
      </c>
      <c r="D32" t="s">
        <v>333</v>
      </c>
      <c r="E32" t="s">
        <v>40</v>
      </c>
      <c r="F32" s="165">
        <v>0.76090909090909098</v>
      </c>
    </row>
    <row r="33" spans="1:6" x14ac:dyDescent="0.25">
      <c r="A33" t="s">
        <v>1464</v>
      </c>
      <c r="B33" t="s">
        <v>1633</v>
      </c>
      <c r="C33" t="s">
        <v>1376</v>
      </c>
      <c r="D33" t="s">
        <v>333</v>
      </c>
      <c r="E33" t="s">
        <v>40</v>
      </c>
      <c r="F33" s="165">
        <v>1.8597902097902097</v>
      </c>
    </row>
    <row r="34" spans="1:6" x14ac:dyDescent="0.25">
      <c r="A34" t="s">
        <v>1464</v>
      </c>
      <c r="B34" t="s">
        <v>1633</v>
      </c>
      <c r="C34" t="s">
        <v>862</v>
      </c>
      <c r="D34" t="s">
        <v>864</v>
      </c>
      <c r="E34" t="s">
        <v>40</v>
      </c>
      <c r="F34" s="165">
        <v>1.8428571428571425</v>
      </c>
    </row>
    <row r="35" spans="1:6" x14ac:dyDescent="0.25">
      <c r="A35" t="s">
        <v>1464</v>
      </c>
      <c r="B35" t="s">
        <v>1633</v>
      </c>
      <c r="C35" t="s">
        <v>867</v>
      </c>
      <c r="D35" t="s">
        <v>333</v>
      </c>
      <c r="E35" t="s">
        <v>40</v>
      </c>
      <c r="F35" s="165">
        <v>1.77116704805492</v>
      </c>
    </row>
    <row r="36" spans="1:6" x14ac:dyDescent="0.25">
      <c r="A36" t="s">
        <v>1464</v>
      </c>
      <c r="B36" t="s">
        <v>1633</v>
      </c>
      <c r="C36" t="s">
        <v>867</v>
      </c>
      <c r="D36" t="s">
        <v>869</v>
      </c>
      <c r="E36" t="s">
        <v>1614</v>
      </c>
      <c r="F36" s="165">
        <v>1.3478260869565217</v>
      </c>
    </row>
    <row r="37" spans="1:6" x14ac:dyDescent="0.25">
      <c r="A37" t="s">
        <v>1464</v>
      </c>
      <c r="B37" t="s">
        <v>1633</v>
      </c>
      <c r="C37" t="s">
        <v>867</v>
      </c>
      <c r="D37" t="s">
        <v>866</v>
      </c>
      <c r="E37" t="s">
        <v>1614</v>
      </c>
      <c r="F37" s="165">
        <v>0.9051094890510949</v>
      </c>
    </row>
    <row r="38" spans="1:6" x14ac:dyDescent="0.25">
      <c r="A38" t="s">
        <v>1465</v>
      </c>
      <c r="B38" t="s">
        <v>1481</v>
      </c>
      <c r="C38" t="s">
        <v>1135</v>
      </c>
      <c r="D38" t="s">
        <v>866</v>
      </c>
      <c r="E38" t="s">
        <v>40</v>
      </c>
      <c r="F38" s="165">
        <v>0.79999999999999993</v>
      </c>
    </row>
    <row r="39" spans="1:6" x14ac:dyDescent="0.25">
      <c r="A39" t="s">
        <v>1465</v>
      </c>
      <c r="B39" t="s">
        <v>1481</v>
      </c>
      <c r="C39" t="s">
        <v>867</v>
      </c>
      <c r="D39" t="s">
        <v>333</v>
      </c>
      <c r="E39" t="s">
        <v>40</v>
      </c>
      <c r="F39" s="165">
        <v>0.79746835443037967</v>
      </c>
    </row>
    <row r="40" spans="1:6" x14ac:dyDescent="0.25">
      <c r="A40" t="s">
        <v>1465</v>
      </c>
      <c r="B40" t="s">
        <v>1481</v>
      </c>
      <c r="C40" t="s">
        <v>867</v>
      </c>
      <c r="D40" t="s">
        <v>866</v>
      </c>
      <c r="E40" t="s">
        <v>40</v>
      </c>
      <c r="F40" s="165">
        <v>0.95000880023086243</v>
      </c>
    </row>
    <row r="41" spans="1:6" x14ac:dyDescent="0.25">
      <c r="A41" t="s">
        <v>1465</v>
      </c>
      <c r="B41" t="s">
        <v>1492</v>
      </c>
      <c r="C41" t="s">
        <v>865</v>
      </c>
      <c r="D41" t="s">
        <v>1383</v>
      </c>
      <c r="E41" t="s">
        <v>40</v>
      </c>
      <c r="F41" s="165">
        <v>3.5777777777777779</v>
      </c>
    </row>
    <row r="42" spans="1:6" x14ac:dyDescent="0.25">
      <c r="A42" t="s">
        <v>1465</v>
      </c>
      <c r="B42" t="s">
        <v>1492</v>
      </c>
      <c r="C42" t="s">
        <v>867</v>
      </c>
      <c r="D42" t="s">
        <v>866</v>
      </c>
      <c r="E42" t="s">
        <v>40</v>
      </c>
      <c r="F42" s="165">
        <v>0.97589648434151588</v>
      </c>
    </row>
    <row r="43" spans="1:6" x14ac:dyDescent="0.25">
      <c r="A43" t="s">
        <v>1465</v>
      </c>
      <c r="B43" t="s">
        <v>1492</v>
      </c>
      <c r="C43" t="s">
        <v>867</v>
      </c>
      <c r="D43" t="s">
        <v>864</v>
      </c>
      <c r="E43" t="s">
        <v>1614</v>
      </c>
      <c r="F43" s="165">
        <v>1.3663911845730028</v>
      </c>
    </row>
    <row r="44" spans="1:6" x14ac:dyDescent="0.25">
      <c r="A44" t="s">
        <v>1465</v>
      </c>
      <c r="B44" t="s">
        <v>1492</v>
      </c>
      <c r="C44" t="s">
        <v>867</v>
      </c>
      <c r="D44" t="s">
        <v>1383</v>
      </c>
      <c r="E44" t="s">
        <v>40</v>
      </c>
      <c r="F44" s="165">
        <v>2.1562319514915176</v>
      </c>
    </row>
    <row r="45" spans="1:6" x14ac:dyDescent="0.25">
      <c r="A45" t="s">
        <v>1465</v>
      </c>
      <c r="B45" t="s">
        <v>1494</v>
      </c>
      <c r="C45" t="s">
        <v>867</v>
      </c>
      <c r="D45" t="s">
        <v>866</v>
      </c>
      <c r="E45" t="s">
        <v>1614</v>
      </c>
      <c r="F45" s="165">
        <v>0.9051094890510949</v>
      </c>
    </row>
    <row r="46" spans="1:6" x14ac:dyDescent="0.25">
      <c r="A46" t="s">
        <v>1465</v>
      </c>
      <c r="B46" t="s">
        <v>1494</v>
      </c>
      <c r="C46" t="s">
        <v>867</v>
      </c>
      <c r="D46" t="s">
        <v>1383</v>
      </c>
      <c r="E46" t="s">
        <v>1614</v>
      </c>
      <c r="F46" s="165">
        <v>1.1588785046728971</v>
      </c>
    </row>
    <row r="47" spans="1:6" x14ac:dyDescent="0.25">
      <c r="A47" t="s">
        <v>1465</v>
      </c>
      <c r="B47" t="s">
        <v>1535</v>
      </c>
      <c r="C47" t="s">
        <v>1605</v>
      </c>
      <c r="D47" t="s">
        <v>1530</v>
      </c>
      <c r="E47" t="s">
        <v>1614</v>
      </c>
      <c r="F47" s="165">
        <v>5.161290322580645</v>
      </c>
    </row>
    <row r="48" spans="1:6" x14ac:dyDescent="0.25">
      <c r="A48" t="s">
        <v>1465</v>
      </c>
      <c r="B48" t="s">
        <v>1511</v>
      </c>
      <c r="C48" t="s">
        <v>865</v>
      </c>
      <c r="D48" t="s">
        <v>866</v>
      </c>
      <c r="E48" t="s">
        <v>40</v>
      </c>
      <c r="F48" s="165">
        <v>0.56451124174292477</v>
      </c>
    </row>
    <row r="49" spans="1:6" x14ac:dyDescent="0.25">
      <c r="A49" t="s">
        <v>1465</v>
      </c>
      <c r="B49" t="s">
        <v>1511</v>
      </c>
      <c r="C49" t="s">
        <v>865</v>
      </c>
      <c r="D49" t="s">
        <v>864</v>
      </c>
      <c r="E49" t="s">
        <v>40</v>
      </c>
      <c r="F49" s="165">
        <v>0.8656258712015612</v>
      </c>
    </row>
    <row r="50" spans="1:6" x14ac:dyDescent="0.25">
      <c r="A50" t="s">
        <v>1465</v>
      </c>
      <c r="B50" t="s">
        <v>1511</v>
      </c>
      <c r="C50" t="s">
        <v>862</v>
      </c>
      <c r="D50" t="s">
        <v>864</v>
      </c>
      <c r="E50" t="s">
        <v>40</v>
      </c>
      <c r="F50" s="165">
        <v>1.3885714285714283</v>
      </c>
    </row>
    <row r="51" spans="1:6" x14ac:dyDescent="0.25">
      <c r="A51" t="s">
        <v>1465</v>
      </c>
      <c r="B51" t="s">
        <v>1511</v>
      </c>
      <c r="C51" t="s">
        <v>862</v>
      </c>
      <c r="D51" t="s">
        <v>1383</v>
      </c>
      <c r="E51" t="s">
        <v>1614</v>
      </c>
      <c r="F51" s="165">
        <v>1.1682242990654206</v>
      </c>
    </row>
    <row r="52" spans="1:6" x14ac:dyDescent="0.25">
      <c r="A52" t="s">
        <v>1465</v>
      </c>
      <c r="B52" t="s">
        <v>1511</v>
      </c>
      <c r="C52" t="s">
        <v>867</v>
      </c>
      <c r="D52" t="s">
        <v>1386</v>
      </c>
      <c r="E52" t="s">
        <v>40</v>
      </c>
      <c r="F52" s="165">
        <v>1.2086330935251797</v>
      </c>
    </row>
    <row r="53" spans="1:6" x14ac:dyDescent="0.25">
      <c r="A53" t="s">
        <v>1465</v>
      </c>
      <c r="B53" t="s">
        <v>1511</v>
      </c>
      <c r="C53" t="s">
        <v>867</v>
      </c>
      <c r="D53" t="s">
        <v>866</v>
      </c>
      <c r="E53" t="s">
        <v>40</v>
      </c>
      <c r="F53" s="165">
        <v>0.84119094797996308</v>
      </c>
    </row>
    <row r="54" spans="1:6" x14ac:dyDescent="0.25">
      <c r="A54" t="s">
        <v>1465</v>
      </c>
      <c r="B54" t="s">
        <v>1511</v>
      </c>
      <c r="C54" t="s">
        <v>867</v>
      </c>
      <c r="D54" t="s">
        <v>864</v>
      </c>
      <c r="E54" t="s">
        <v>40</v>
      </c>
      <c r="F54" s="165">
        <v>1.2203972498090145</v>
      </c>
    </row>
    <row r="55" spans="1:6" x14ac:dyDescent="0.25">
      <c r="A55" t="s">
        <v>1465</v>
      </c>
      <c r="B55" t="s">
        <v>1511</v>
      </c>
      <c r="C55" t="s">
        <v>867</v>
      </c>
      <c r="D55" t="s">
        <v>1383</v>
      </c>
      <c r="E55" t="s">
        <v>40</v>
      </c>
      <c r="F55" s="165">
        <v>1.265033407572383</v>
      </c>
    </row>
    <row r="56" spans="1:6" x14ac:dyDescent="0.25">
      <c r="A56" t="s">
        <v>1465</v>
      </c>
      <c r="B56" t="s">
        <v>1511</v>
      </c>
      <c r="C56" t="s">
        <v>1605</v>
      </c>
      <c r="D56" t="s">
        <v>1530</v>
      </c>
      <c r="E56" t="s">
        <v>40</v>
      </c>
      <c r="F56" s="165">
        <v>1.9077618288144604</v>
      </c>
    </row>
    <row r="57" spans="1:6" x14ac:dyDescent="0.25">
      <c r="A57" t="s">
        <v>1465</v>
      </c>
      <c r="B57" t="s">
        <v>1636</v>
      </c>
      <c r="C57" t="s">
        <v>1415</v>
      </c>
      <c r="D57" t="s">
        <v>1386</v>
      </c>
      <c r="E57" t="s">
        <v>40</v>
      </c>
      <c r="F57" s="165">
        <v>0.73333333333333339</v>
      </c>
    </row>
    <row r="58" spans="1:6" x14ac:dyDescent="0.25">
      <c r="A58" t="s">
        <v>1465</v>
      </c>
      <c r="B58" t="s">
        <v>1636</v>
      </c>
      <c r="C58" t="s">
        <v>1415</v>
      </c>
      <c r="D58" t="s">
        <v>864</v>
      </c>
      <c r="E58" t="s">
        <v>40</v>
      </c>
      <c r="F58" s="165">
        <v>0.73333333333333339</v>
      </c>
    </row>
    <row r="59" spans="1:6" x14ac:dyDescent="0.25">
      <c r="A59" t="s">
        <v>1465</v>
      </c>
      <c r="B59" t="s">
        <v>1636</v>
      </c>
      <c r="C59" t="s">
        <v>1416</v>
      </c>
      <c r="D59" t="s">
        <v>1386</v>
      </c>
      <c r="E59" t="s">
        <v>40</v>
      </c>
      <c r="F59" s="165">
        <v>1</v>
      </c>
    </row>
    <row r="60" spans="1:6" x14ac:dyDescent="0.25">
      <c r="A60" t="s">
        <v>1465</v>
      </c>
      <c r="B60" t="s">
        <v>1636</v>
      </c>
      <c r="C60" t="s">
        <v>1416</v>
      </c>
      <c r="D60" t="s">
        <v>864</v>
      </c>
      <c r="E60" t="s">
        <v>40</v>
      </c>
      <c r="F60" s="165">
        <v>1</v>
      </c>
    </row>
    <row r="61" spans="1:6" x14ac:dyDescent="0.25">
      <c r="A61" t="s">
        <v>1465</v>
      </c>
      <c r="B61" t="s">
        <v>1636</v>
      </c>
      <c r="C61" t="s">
        <v>1562</v>
      </c>
      <c r="D61" t="s">
        <v>864</v>
      </c>
      <c r="E61" t="s">
        <v>40</v>
      </c>
      <c r="F61" s="165">
        <v>1.3666666666666665</v>
      </c>
    </row>
    <row r="62" spans="1:6" x14ac:dyDescent="0.25">
      <c r="A62" t="s">
        <v>1465</v>
      </c>
      <c r="B62" t="s">
        <v>1636</v>
      </c>
      <c r="C62" t="s">
        <v>1563</v>
      </c>
      <c r="D62" t="s">
        <v>864</v>
      </c>
      <c r="E62" t="s">
        <v>40</v>
      </c>
      <c r="F62" s="165">
        <v>1.3666666666666665</v>
      </c>
    </row>
    <row r="63" spans="1:6" x14ac:dyDescent="0.25">
      <c r="A63" t="s">
        <v>1465</v>
      </c>
      <c r="B63" t="s">
        <v>1636</v>
      </c>
      <c r="C63" t="s">
        <v>1413</v>
      </c>
      <c r="D63" t="s">
        <v>1418</v>
      </c>
      <c r="E63" t="s">
        <v>40</v>
      </c>
      <c r="F63" s="165">
        <v>0.86</v>
      </c>
    </row>
    <row r="64" spans="1:6" x14ac:dyDescent="0.25">
      <c r="A64" t="s">
        <v>1465</v>
      </c>
      <c r="B64" t="s">
        <v>1636</v>
      </c>
      <c r="C64" t="s">
        <v>1413</v>
      </c>
      <c r="D64" t="s">
        <v>864</v>
      </c>
      <c r="E64" t="s">
        <v>40</v>
      </c>
      <c r="F64" s="165">
        <v>0.86</v>
      </c>
    </row>
    <row r="65" spans="1:6" x14ac:dyDescent="0.25">
      <c r="A65" t="s">
        <v>1465</v>
      </c>
      <c r="B65" t="s">
        <v>1636</v>
      </c>
      <c r="C65" t="s">
        <v>862</v>
      </c>
      <c r="D65" t="s">
        <v>864</v>
      </c>
      <c r="E65" t="s">
        <v>1614</v>
      </c>
      <c r="F65" s="165">
        <v>1.3774104683195592</v>
      </c>
    </row>
    <row r="66" spans="1:6" x14ac:dyDescent="0.25">
      <c r="A66" t="s">
        <v>1465</v>
      </c>
      <c r="B66" t="s">
        <v>1636</v>
      </c>
      <c r="C66" t="s">
        <v>862</v>
      </c>
      <c r="D66" t="s">
        <v>1383</v>
      </c>
      <c r="E66" t="s">
        <v>1614</v>
      </c>
      <c r="F66" s="165">
        <v>1.1682242990654206</v>
      </c>
    </row>
    <row r="67" spans="1:6" x14ac:dyDescent="0.25">
      <c r="A67" t="s">
        <v>1465</v>
      </c>
      <c r="B67" t="s">
        <v>1636</v>
      </c>
      <c r="C67" t="s">
        <v>867</v>
      </c>
      <c r="D67" t="s">
        <v>1386</v>
      </c>
      <c r="E67" t="s">
        <v>40</v>
      </c>
      <c r="F67" s="165">
        <v>1.1834862385321101</v>
      </c>
    </row>
    <row r="68" spans="1:6" x14ac:dyDescent="0.25">
      <c r="A68" t="s">
        <v>1465</v>
      </c>
      <c r="B68" t="s">
        <v>1636</v>
      </c>
      <c r="C68" t="s">
        <v>867</v>
      </c>
      <c r="D68" t="s">
        <v>333</v>
      </c>
      <c r="E68" t="s">
        <v>1614</v>
      </c>
      <c r="F68" s="165">
        <v>1.3011542497376705</v>
      </c>
    </row>
    <row r="69" spans="1:6" x14ac:dyDescent="0.25">
      <c r="A69" t="s">
        <v>1465</v>
      </c>
      <c r="B69" t="s">
        <v>1636</v>
      </c>
      <c r="C69" t="s">
        <v>867</v>
      </c>
      <c r="D69" t="s">
        <v>866</v>
      </c>
      <c r="E69" t="s">
        <v>40</v>
      </c>
      <c r="F69" s="165">
        <v>0.8575400986032683</v>
      </c>
    </row>
    <row r="70" spans="1:6" x14ac:dyDescent="0.25">
      <c r="A70" t="s">
        <v>1465</v>
      </c>
      <c r="B70" t="s">
        <v>1636</v>
      </c>
      <c r="C70" t="s">
        <v>867</v>
      </c>
      <c r="D70" t="s">
        <v>864</v>
      </c>
      <c r="E70" t="s">
        <v>40</v>
      </c>
      <c r="F70" s="165">
        <v>1.1427472019578178</v>
      </c>
    </row>
    <row r="71" spans="1:6" x14ac:dyDescent="0.25">
      <c r="A71" t="s">
        <v>1465</v>
      </c>
      <c r="B71" t="s">
        <v>1636</v>
      </c>
      <c r="C71" t="s">
        <v>867</v>
      </c>
      <c r="D71" t="s">
        <v>1383</v>
      </c>
      <c r="E71" t="s">
        <v>40</v>
      </c>
      <c r="F71" s="165">
        <v>1.1342527109853844</v>
      </c>
    </row>
    <row r="72" spans="1:6" x14ac:dyDescent="0.25">
      <c r="A72" t="s">
        <v>1465</v>
      </c>
      <c r="B72" t="s">
        <v>1636</v>
      </c>
      <c r="C72" t="s">
        <v>1605</v>
      </c>
      <c r="D72" t="s">
        <v>1530</v>
      </c>
      <c r="E72" t="s">
        <v>1614</v>
      </c>
      <c r="F72" s="165">
        <v>5.161290322580645</v>
      </c>
    </row>
    <row r="73" spans="1:6" x14ac:dyDescent="0.25">
      <c r="A73" t="s">
        <v>1513</v>
      </c>
      <c r="B73" t="s">
        <v>1526</v>
      </c>
      <c r="C73" t="s">
        <v>867</v>
      </c>
      <c r="D73" t="s">
        <v>333</v>
      </c>
      <c r="E73" t="s">
        <v>1614</v>
      </c>
      <c r="F73" s="165">
        <v>1.3011542497376705</v>
      </c>
    </row>
    <row r="74" spans="1:6" x14ac:dyDescent="0.25">
      <c r="A74" t="s">
        <v>1513</v>
      </c>
      <c r="B74" t="s">
        <v>1526</v>
      </c>
      <c r="C74" t="s">
        <v>867</v>
      </c>
      <c r="D74" t="s">
        <v>869</v>
      </c>
      <c r="E74" t="s">
        <v>1614</v>
      </c>
      <c r="F74" s="165">
        <v>1.3478260869565217</v>
      </c>
    </row>
    <row r="75" spans="1:6" x14ac:dyDescent="0.25">
      <c r="A75" t="s">
        <v>1513</v>
      </c>
      <c r="B75" t="s">
        <v>1526</v>
      </c>
      <c r="C75" t="s">
        <v>867</v>
      </c>
      <c r="D75" t="s">
        <v>866</v>
      </c>
      <c r="E75" t="s">
        <v>1614</v>
      </c>
      <c r="F75" s="165">
        <v>0.9051094890510949</v>
      </c>
    </row>
    <row r="76" spans="1:6" x14ac:dyDescent="0.25">
      <c r="A76" t="s">
        <v>1513</v>
      </c>
      <c r="B76" t="s">
        <v>1526</v>
      </c>
      <c r="C76" t="s">
        <v>867</v>
      </c>
      <c r="D76" t="s">
        <v>864</v>
      </c>
      <c r="E76" t="s">
        <v>1614</v>
      </c>
      <c r="F76" s="165">
        <v>1.3663911845730028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7"/>
  <sheetViews>
    <sheetView workbookViewId="0">
      <selection activeCell="I237" sqref="I237"/>
    </sheetView>
  </sheetViews>
  <sheetFormatPr defaultRowHeight="15" x14ac:dyDescent="0.25"/>
  <cols>
    <col min="1" max="1" width="9.140625" style="180"/>
    <col min="2" max="2" width="10.7109375" style="180" customWidth="1"/>
    <col min="3" max="3" width="9.28515625" style="180" customWidth="1"/>
    <col min="4" max="4" width="56.28515625" style="180" customWidth="1"/>
    <col min="5" max="16384" width="9.140625" style="180"/>
  </cols>
  <sheetData>
    <row r="1" spans="1:15" x14ac:dyDescent="0.25">
      <c r="A1" s="179" t="s">
        <v>1645</v>
      </c>
      <c r="B1" s="179" t="s">
        <v>1646</v>
      </c>
      <c r="C1" s="179" t="s">
        <v>1647</v>
      </c>
      <c r="D1" s="179" t="s">
        <v>1648</v>
      </c>
      <c r="E1" s="179" t="s">
        <v>1649</v>
      </c>
      <c r="F1" s="179" t="s">
        <v>1650</v>
      </c>
      <c r="G1" s="179" t="s">
        <v>1651</v>
      </c>
      <c r="H1" s="179" t="s">
        <v>1652</v>
      </c>
      <c r="I1" s="179" t="s">
        <v>1653</v>
      </c>
      <c r="J1" s="179" t="s">
        <v>1654</v>
      </c>
      <c r="K1" s="179" t="s">
        <v>1655</v>
      </c>
      <c r="L1" s="179" t="s">
        <v>1656</v>
      </c>
      <c r="M1" s="179" t="s">
        <v>1657</v>
      </c>
      <c r="N1" s="179" t="s">
        <v>1658</v>
      </c>
      <c r="O1" s="179" t="s">
        <v>1659</v>
      </c>
    </row>
    <row r="2" spans="1:15" hidden="1" x14ac:dyDescent="0.25">
      <c r="A2" s="180" t="s">
        <v>1660</v>
      </c>
      <c r="B2" s="180" t="s">
        <v>1661</v>
      </c>
      <c r="C2" s="180" t="s">
        <v>1662</v>
      </c>
      <c r="D2" s="180" t="s">
        <v>1663</v>
      </c>
      <c r="E2" s="180" t="s">
        <v>1664</v>
      </c>
      <c r="F2" s="181">
        <v>1.4067494857142857</v>
      </c>
      <c r="G2" s="181">
        <v>1.8796420571428569</v>
      </c>
      <c r="H2" s="181">
        <v>2.0011030857142855</v>
      </c>
      <c r="I2" s="181">
        <v>2.0159593142857144</v>
      </c>
      <c r="J2" s="181">
        <v>2.3674624</v>
      </c>
      <c r="K2" s="181">
        <v>2.7556045714285711</v>
      </c>
      <c r="L2" s="181">
        <v>3.1099058285714283</v>
      </c>
      <c r="M2" s="181">
        <v>3.4539913142857142</v>
      </c>
      <c r="N2" s="181">
        <v>3.7771828571428574</v>
      </c>
      <c r="O2" s="181">
        <v>4.0704201142857137</v>
      </c>
    </row>
    <row r="3" spans="1:15" hidden="1" x14ac:dyDescent="0.25">
      <c r="A3" s="180" t="s">
        <v>1660</v>
      </c>
      <c r="B3" s="180" t="s">
        <v>1661</v>
      </c>
      <c r="C3" s="180" t="s">
        <v>1665</v>
      </c>
      <c r="D3" s="180" t="s">
        <v>1663</v>
      </c>
      <c r="E3" s="180" t="s">
        <v>1664</v>
      </c>
      <c r="F3" s="181">
        <v>0.84207714285714286</v>
      </c>
      <c r="G3" s="181">
        <v>0.89280885714285718</v>
      </c>
      <c r="H3" s="181">
        <v>0.96029165714285714</v>
      </c>
      <c r="I3" s="181">
        <v>1.0027279999999998</v>
      </c>
      <c r="J3" s="181">
        <v>1.0748685714285713</v>
      </c>
      <c r="K3" s="181">
        <v>1.1422817142857142</v>
      </c>
      <c r="L3" s="181">
        <v>1.2087613714285712</v>
      </c>
      <c r="M3" s="181">
        <v>1.2742470857142856</v>
      </c>
      <c r="N3" s="181">
        <v>1.3376977142857143</v>
      </c>
      <c r="O3" s="181">
        <v>1.3986345142857142</v>
      </c>
    </row>
    <row r="4" spans="1:15" hidden="1" x14ac:dyDescent="0.25">
      <c r="A4" s="180" t="s">
        <v>1660</v>
      </c>
      <c r="B4" s="180" t="s">
        <v>1661</v>
      </c>
      <c r="C4" s="180" t="s">
        <v>1666</v>
      </c>
      <c r="D4" s="180" t="s">
        <v>1663</v>
      </c>
      <c r="E4" s="180" t="s">
        <v>1664</v>
      </c>
      <c r="F4" s="181">
        <v>1.5286531428571428</v>
      </c>
      <c r="G4" s="181">
        <v>1.8107417142857143</v>
      </c>
      <c r="H4" s="181">
        <v>2.0842973714285713</v>
      </c>
      <c r="I4" s="181">
        <v>2.2293801142857141</v>
      </c>
      <c r="J4" s="181">
        <v>2.6065366857142855</v>
      </c>
      <c r="K4" s="181">
        <v>2.885088457142857</v>
      </c>
      <c r="L4" s="181">
        <v>3.1254571428571425</v>
      </c>
      <c r="M4" s="181">
        <v>3.323822857142857</v>
      </c>
      <c r="N4" s="181">
        <v>3.4776141714285713</v>
      </c>
      <c r="O4" s="181">
        <v>3.5999341714285711</v>
      </c>
    </row>
    <row r="5" spans="1:15" hidden="1" x14ac:dyDescent="0.25">
      <c r="A5" s="180" t="s">
        <v>1660</v>
      </c>
      <c r="B5" s="180" t="s">
        <v>1661</v>
      </c>
      <c r="C5" s="180" t="s">
        <v>1667</v>
      </c>
      <c r="D5" s="180" t="s">
        <v>1663</v>
      </c>
      <c r="E5" s="180" t="s">
        <v>1664</v>
      </c>
      <c r="F5" s="181">
        <v>4.7663030857142852</v>
      </c>
      <c r="G5" s="181">
        <v>11.731679999999999</v>
      </c>
      <c r="H5" s="181">
        <v>18.75805074285714</v>
      </c>
      <c r="I5" s="181">
        <v>25.256806399999999</v>
      </c>
      <c r="J5" s="181">
        <v>31.034770285714284</v>
      </c>
      <c r="K5" s="181">
        <v>34.855884799999998</v>
      </c>
      <c r="L5" s="181">
        <v>37.101315657142855</v>
      </c>
      <c r="M5" s="181">
        <v>38.381173028571425</v>
      </c>
      <c r="N5" s="181">
        <v>38.928314514285717</v>
      </c>
      <c r="O5" s="181">
        <v>38.817141028571427</v>
      </c>
    </row>
    <row r="6" spans="1:15" hidden="1" x14ac:dyDescent="0.25">
      <c r="A6" s="180" t="s">
        <v>1660</v>
      </c>
      <c r="B6" s="180" t="s">
        <v>1661</v>
      </c>
      <c r="C6" s="180" t="s">
        <v>1668</v>
      </c>
      <c r="D6" s="180" t="s">
        <v>1663</v>
      </c>
      <c r="E6" s="180" t="s">
        <v>1664</v>
      </c>
      <c r="F6" s="181">
        <v>3.1144142857142854E-3</v>
      </c>
      <c r="G6" s="181">
        <v>9.8070946428571431E-3</v>
      </c>
      <c r="H6" s="181">
        <v>1.0270462857142857</v>
      </c>
      <c r="I6" s="181">
        <v>1.1534914285714286</v>
      </c>
      <c r="J6" s="181">
        <v>1.5590834285714286</v>
      </c>
      <c r="K6" s="181">
        <v>2.4388991999999998</v>
      </c>
      <c r="L6" s="181">
        <v>3.6230084571428569</v>
      </c>
      <c r="M6" s="181">
        <v>5.1928000000000001</v>
      </c>
      <c r="N6" s="181">
        <v>7.131045485714286</v>
      </c>
      <c r="O6" s="181">
        <v>9.3557174857142851</v>
      </c>
    </row>
    <row r="7" spans="1:15" hidden="1" x14ac:dyDescent="0.25">
      <c r="A7" s="180" t="s">
        <v>1660</v>
      </c>
      <c r="B7" s="180" t="s">
        <v>1661</v>
      </c>
      <c r="C7" s="180" t="s">
        <v>1669</v>
      </c>
      <c r="D7" s="180" t="s">
        <v>1663</v>
      </c>
      <c r="E7" s="180" t="s">
        <v>1664</v>
      </c>
      <c r="F7" s="181">
        <v>0.38307342857142856</v>
      </c>
      <c r="G7" s="181">
        <v>1.0929759999999999</v>
      </c>
      <c r="H7" s="181">
        <v>2.2743104000000001</v>
      </c>
      <c r="I7" s="181">
        <v>3.0245257142857138</v>
      </c>
      <c r="J7" s="181">
        <v>6.4522514285714285</v>
      </c>
      <c r="K7" s="181">
        <v>9.7526966857142856</v>
      </c>
      <c r="L7" s="181">
        <v>13.536511085714285</v>
      </c>
      <c r="M7" s="181">
        <v>17.714916571428571</v>
      </c>
      <c r="N7" s="181">
        <v>22.044094171428569</v>
      </c>
      <c r="O7" s="181">
        <v>26.334297599999996</v>
      </c>
    </row>
    <row r="8" spans="1:15" hidden="1" x14ac:dyDescent="0.25">
      <c r="A8" s="180" t="s">
        <v>1660</v>
      </c>
      <c r="B8" s="180" t="s">
        <v>1661</v>
      </c>
      <c r="C8" s="180" t="s">
        <v>1670</v>
      </c>
      <c r="D8" s="180" t="s">
        <v>1663</v>
      </c>
      <c r="E8" s="180" t="s">
        <v>1664</v>
      </c>
      <c r="F8" s="181">
        <v>0.2439714</v>
      </c>
      <c r="G8" s="181">
        <v>0.45266514285714288</v>
      </c>
      <c r="H8" s="181">
        <v>0.74749028571428566</v>
      </c>
      <c r="I8" s="181">
        <v>1.0743437714285715</v>
      </c>
      <c r="J8" s="181">
        <v>1.6641407999999998</v>
      </c>
      <c r="K8" s="181">
        <v>2.4208429714285713</v>
      </c>
      <c r="L8" s="181">
        <v>3.2113542857142856</v>
      </c>
      <c r="M8" s="181">
        <v>4.0178372571428573</v>
      </c>
      <c r="N8" s="181">
        <v>4.7755428571428569</v>
      </c>
      <c r="O8" s="181">
        <v>5.4528713142857139</v>
      </c>
    </row>
    <row r="9" spans="1:15" hidden="1" x14ac:dyDescent="0.25">
      <c r="A9" s="180" t="s">
        <v>1660</v>
      </c>
      <c r="B9" s="180" t="s">
        <v>1661</v>
      </c>
      <c r="C9" s="180" t="s">
        <v>1671</v>
      </c>
      <c r="D9" s="180" t="s">
        <v>1663</v>
      </c>
      <c r="E9" s="180" t="s">
        <v>1664</v>
      </c>
      <c r="F9" s="181">
        <v>3.5566029714285712</v>
      </c>
      <c r="G9" s="181">
        <v>3.5850313142857142</v>
      </c>
      <c r="H9" s="181">
        <v>3.6785284571428569</v>
      </c>
      <c r="I9" s="181">
        <v>3.6168658285714281</v>
      </c>
      <c r="J9" s="181">
        <v>3.6541999999999999</v>
      </c>
      <c r="K9" s="181">
        <v>3.7008742857142853</v>
      </c>
      <c r="L9" s="181">
        <v>3.7121542857142855</v>
      </c>
      <c r="M9" s="181">
        <v>3.7014342857142855</v>
      </c>
      <c r="N9" s="181">
        <v>3.684705828571428</v>
      </c>
      <c r="O9" s="181">
        <v>3.6584141714285709</v>
      </c>
    </row>
    <row r="10" spans="1:15" hidden="1" x14ac:dyDescent="0.25">
      <c r="A10" s="180" t="s">
        <v>1660</v>
      </c>
      <c r="B10" s="180" t="s">
        <v>1661</v>
      </c>
      <c r="C10" s="180" t="s">
        <v>1672</v>
      </c>
      <c r="D10" s="180" t="s">
        <v>1663</v>
      </c>
      <c r="E10" s="180" t="s">
        <v>1664</v>
      </c>
      <c r="F10" s="181">
        <v>2.3772553142857142</v>
      </c>
      <c r="G10" s="181">
        <v>2.6678969142857141</v>
      </c>
      <c r="H10" s="181">
        <v>2.8981458285714283</v>
      </c>
      <c r="I10" s="181">
        <v>3.0769657142857141</v>
      </c>
      <c r="J10" s="181">
        <v>3.2713855999999999</v>
      </c>
      <c r="K10" s="181">
        <v>3.4038770285714284</v>
      </c>
      <c r="L10" s="181">
        <v>3.4822829714285715</v>
      </c>
      <c r="M10" s="181">
        <v>3.5116941714285712</v>
      </c>
      <c r="N10" s="181">
        <v>3.5001885714285712</v>
      </c>
      <c r="O10" s="181">
        <v>3.4528598857142856</v>
      </c>
    </row>
    <row r="11" spans="1:15" hidden="1" x14ac:dyDescent="0.25">
      <c r="A11" s="180" t="s">
        <v>1660</v>
      </c>
      <c r="B11" s="180" t="s">
        <v>1661</v>
      </c>
      <c r="C11" s="180" t="s">
        <v>1673</v>
      </c>
      <c r="D11" s="180" t="s">
        <v>1663</v>
      </c>
      <c r="E11" s="180" t="s">
        <v>1664</v>
      </c>
      <c r="F11" s="181">
        <v>3.4703455999999995</v>
      </c>
      <c r="G11" s="181">
        <v>4.396071314285714</v>
      </c>
      <c r="H11" s="181">
        <v>5.1522514285714287</v>
      </c>
      <c r="I11" s="181">
        <v>5.8954943999999996</v>
      </c>
      <c r="J11" s="181">
        <v>6.5788228571428569</v>
      </c>
      <c r="K11" s="181">
        <v>7.8180004571428574</v>
      </c>
      <c r="L11" s="181">
        <v>9.0345517714285712</v>
      </c>
      <c r="M11" s="181">
        <v>10.238414628571428</v>
      </c>
      <c r="N11" s="181">
        <v>11.382945828571428</v>
      </c>
      <c r="O11" s="181">
        <v>12.447208228571428</v>
      </c>
    </row>
    <row r="12" spans="1:15" hidden="1" x14ac:dyDescent="0.25">
      <c r="A12" s="180" t="s">
        <v>1660</v>
      </c>
      <c r="B12" s="180" t="s">
        <v>1661</v>
      </c>
      <c r="C12" s="180" t="s">
        <v>1674</v>
      </c>
      <c r="D12" s="180" t="s">
        <v>1663</v>
      </c>
      <c r="E12" s="180" t="s">
        <v>1664</v>
      </c>
      <c r="F12" s="181">
        <v>1.3210331428571429</v>
      </c>
      <c r="G12" s="181">
        <v>1.4571662857142857</v>
      </c>
      <c r="H12" s="181">
        <v>1.7039906285714286</v>
      </c>
      <c r="I12" s="181">
        <v>1.7296413714285714</v>
      </c>
      <c r="J12" s="181">
        <v>1.9942653714285712</v>
      </c>
      <c r="K12" s="181">
        <v>2.2978852571428572</v>
      </c>
      <c r="L12" s="181">
        <v>2.5982413714285713</v>
      </c>
      <c r="M12" s="181">
        <v>2.888208457142857</v>
      </c>
      <c r="N12" s="181">
        <v>3.1579142857142859</v>
      </c>
      <c r="O12" s="181">
        <v>3.4138857142857142</v>
      </c>
    </row>
    <row r="13" spans="1:15" hidden="1" x14ac:dyDescent="0.25">
      <c r="A13" s="180" t="s">
        <v>1660</v>
      </c>
      <c r="B13" s="180" t="s">
        <v>1661</v>
      </c>
      <c r="C13" s="180" t="s">
        <v>1675</v>
      </c>
      <c r="D13" s="180" t="s">
        <v>1663</v>
      </c>
      <c r="E13" s="180" t="s">
        <v>1664</v>
      </c>
      <c r="F13" s="181">
        <v>0.46393971428571429</v>
      </c>
      <c r="G13" s="181">
        <v>0.68259457142857138</v>
      </c>
      <c r="H13" s="181">
        <v>0.74130685714285705</v>
      </c>
      <c r="I13" s="181">
        <v>0.9048274285714285</v>
      </c>
      <c r="J13" s="181">
        <v>1.0480912</v>
      </c>
      <c r="K13" s="181">
        <v>1.4753807999999999</v>
      </c>
      <c r="L13" s="181">
        <v>1.9497069714285715</v>
      </c>
      <c r="M13" s="181">
        <v>2.4608512</v>
      </c>
      <c r="N13" s="181">
        <v>2.9913942857142857</v>
      </c>
      <c r="O13" s="181">
        <v>3.521351314285714</v>
      </c>
    </row>
    <row r="14" spans="1:15" hidden="1" x14ac:dyDescent="0.25">
      <c r="A14" s="180" t="s">
        <v>1660</v>
      </c>
      <c r="B14" s="180" t="s">
        <v>1661</v>
      </c>
      <c r="C14" s="180" t="s">
        <v>1676</v>
      </c>
      <c r="D14" s="180" t="s">
        <v>1663</v>
      </c>
      <c r="E14" s="180" t="s">
        <v>1664</v>
      </c>
      <c r="F14" s="181">
        <v>0.63854971428571428</v>
      </c>
      <c r="G14" s="181">
        <v>0.70636685714285707</v>
      </c>
      <c r="H14" s="181">
        <v>0.78100057142857138</v>
      </c>
      <c r="I14" s="181">
        <v>0.84105542857142856</v>
      </c>
      <c r="J14" s="181">
        <v>0.92705514285714286</v>
      </c>
      <c r="K14" s="181">
        <v>1.0048786285714286</v>
      </c>
      <c r="L14" s="181">
        <v>1.079475657142857</v>
      </c>
      <c r="M14" s="181">
        <v>1.1535434285714286</v>
      </c>
      <c r="N14" s="181">
        <v>1.2276074285714285</v>
      </c>
      <c r="O14" s="181">
        <v>1.2986733714285714</v>
      </c>
    </row>
    <row r="15" spans="1:15" hidden="1" x14ac:dyDescent="0.25">
      <c r="A15" s="180" t="s">
        <v>1660</v>
      </c>
      <c r="B15" s="180" t="s">
        <v>1661</v>
      </c>
      <c r="C15" s="180" t="s">
        <v>1677</v>
      </c>
      <c r="D15" s="180" t="s">
        <v>1663</v>
      </c>
      <c r="E15" s="180" t="s">
        <v>1664</v>
      </c>
      <c r="F15" s="181">
        <v>0.54394999999999993</v>
      </c>
      <c r="G15" s="181">
        <v>0.65017057142857138</v>
      </c>
      <c r="H15" s="181">
        <v>0.78580657142857135</v>
      </c>
      <c r="I15" s="181">
        <v>0.84690457142857134</v>
      </c>
      <c r="J15" s="181">
        <v>1.0320188571428572</v>
      </c>
      <c r="K15" s="181">
        <v>1.2701857142857143</v>
      </c>
      <c r="L15" s="181">
        <v>1.5161868571428569</v>
      </c>
      <c r="M15" s="181">
        <v>1.7704565714285714</v>
      </c>
      <c r="N15" s="181">
        <v>2.0235110857142855</v>
      </c>
      <c r="O15" s="181">
        <v>2.2561993142857144</v>
      </c>
    </row>
    <row r="16" spans="1:15" hidden="1" x14ac:dyDescent="0.25">
      <c r="A16" s="180" t="s">
        <v>1660</v>
      </c>
      <c r="B16" s="180" t="s">
        <v>1661</v>
      </c>
      <c r="C16" s="180" t="s">
        <v>1678</v>
      </c>
      <c r="D16" s="180" t="s">
        <v>1663</v>
      </c>
      <c r="E16" s="180" t="s">
        <v>1664</v>
      </c>
      <c r="F16" s="181">
        <v>1.1937331249999999E-2</v>
      </c>
      <c r="G16" s="181">
        <v>3.5289457142857139E-2</v>
      </c>
      <c r="H16" s="181">
        <v>6.2094800000000006E-2</v>
      </c>
      <c r="I16" s="181">
        <v>8.2025828571428566E-2</v>
      </c>
      <c r="J16" s="181">
        <v>0.12463494285714287</v>
      </c>
      <c r="K16" s="181">
        <v>0.20088688571428573</v>
      </c>
      <c r="L16" s="181">
        <v>0.30798399999999998</v>
      </c>
      <c r="M16" s="181">
        <v>0.4796057142857143</v>
      </c>
      <c r="N16" s="181">
        <v>0.75314571428571431</v>
      </c>
      <c r="O16" s="181">
        <v>1.1674594285714286</v>
      </c>
    </row>
    <row r="17" spans="1:15" hidden="1" x14ac:dyDescent="0.25">
      <c r="A17" s="180" t="s">
        <v>1660</v>
      </c>
      <c r="B17" s="180" t="s">
        <v>1661</v>
      </c>
      <c r="C17" s="180" t="s">
        <v>1679</v>
      </c>
      <c r="D17" s="180" t="s">
        <v>1663</v>
      </c>
      <c r="E17" s="180" t="s">
        <v>1664</v>
      </c>
      <c r="F17" s="181">
        <v>1.3669822857142857</v>
      </c>
      <c r="G17" s="181">
        <v>1.9023622857142857</v>
      </c>
      <c r="H17" s="181">
        <v>1.8059403428571428</v>
      </c>
      <c r="I17" s="181">
        <v>1.8977049142857141</v>
      </c>
      <c r="J17" s="181">
        <v>2.3453892571428572</v>
      </c>
      <c r="K17" s="181">
        <v>2.8385010285714283</v>
      </c>
      <c r="L17" s="181">
        <v>3.3356315428571426</v>
      </c>
      <c r="M17" s="181">
        <v>3.8331113142857141</v>
      </c>
      <c r="N17" s="181">
        <v>4.3197142857142854</v>
      </c>
      <c r="O17" s="181">
        <v>4.7882285714285713</v>
      </c>
    </row>
    <row r="18" spans="1:15" hidden="1" x14ac:dyDescent="0.25">
      <c r="A18" s="180" t="s">
        <v>1660</v>
      </c>
      <c r="B18" s="180" t="s">
        <v>1661</v>
      </c>
      <c r="C18" s="180" t="s">
        <v>1680</v>
      </c>
      <c r="D18" s="180" t="s">
        <v>1663</v>
      </c>
      <c r="E18" s="180" t="s">
        <v>1664</v>
      </c>
      <c r="F18" s="181">
        <v>4.4926742857142855E-2</v>
      </c>
      <c r="G18" s="181">
        <v>9.0464285714285705E-2</v>
      </c>
      <c r="H18" s="181">
        <v>0.16925442857142856</v>
      </c>
      <c r="I18" s="181">
        <v>0.2403604857142857</v>
      </c>
      <c r="J18" s="181">
        <v>0.33898800000000001</v>
      </c>
      <c r="K18" s="181">
        <v>0.59966142857142846</v>
      </c>
      <c r="L18" s="181">
        <v>0.97990422857142845</v>
      </c>
      <c r="M18" s="181">
        <v>1.5297297142857142</v>
      </c>
      <c r="N18" s="181">
        <v>2.2769885714285714</v>
      </c>
      <c r="O18" s="181">
        <v>3.238580114285714</v>
      </c>
    </row>
    <row r="19" spans="1:15" hidden="1" x14ac:dyDescent="0.25">
      <c r="A19" s="180" t="s">
        <v>1660</v>
      </c>
      <c r="B19" s="180" t="s">
        <v>1661</v>
      </c>
      <c r="C19" s="180" t="s">
        <v>1681</v>
      </c>
      <c r="D19" s="180" t="s">
        <v>1663</v>
      </c>
      <c r="E19" s="180" t="s">
        <v>1664</v>
      </c>
      <c r="F19" s="181">
        <v>1.7206142857142857</v>
      </c>
      <c r="G19" s="181">
        <v>2.139645257142857</v>
      </c>
      <c r="H19" s="181">
        <v>2.3236758857142856</v>
      </c>
      <c r="I19" s="181">
        <v>2.3819286857142856</v>
      </c>
      <c r="J19" s="181">
        <v>2.6680411428571427</v>
      </c>
      <c r="K19" s="181">
        <v>2.9945343999999996</v>
      </c>
      <c r="L19" s="181">
        <v>3.2419286857142855</v>
      </c>
      <c r="M19" s="181">
        <v>3.4333828571428571</v>
      </c>
      <c r="N19" s="181">
        <v>3.5696857142857139</v>
      </c>
      <c r="O19" s="181">
        <v>3.6672114285714281</v>
      </c>
    </row>
    <row r="20" spans="1:15" hidden="1" x14ac:dyDescent="0.25">
      <c r="A20" s="180" t="s">
        <v>1660</v>
      </c>
      <c r="B20" s="180" t="s">
        <v>1661</v>
      </c>
      <c r="C20" s="180" t="s">
        <v>1682</v>
      </c>
      <c r="D20" s="180" t="s">
        <v>1663</v>
      </c>
      <c r="E20" s="180" t="s">
        <v>1664</v>
      </c>
      <c r="F20" s="181">
        <v>0.35388542857142857</v>
      </c>
      <c r="G20" s="181">
        <v>0.4350262857142857</v>
      </c>
      <c r="H20" s="181">
        <v>0.48717428571428567</v>
      </c>
      <c r="I20" s="181">
        <v>0.48383171428571431</v>
      </c>
      <c r="J20" s="181">
        <v>0.54425714285714288</v>
      </c>
      <c r="K20" s="181">
        <v>0.67274685714285709</v>
      </c>
      <c r="L20" s="181">
        <v>0.79956742857142848</v>
      </c>
      <c r="M20" s="181">
        <v>0.92402857142857142</v>
      </c>
      <c r="N20" s="181">
        <v>1.0420445714285713</v>
      </c>
      <c r="O20" s="181">
        <v>1.1519910857142857</v>
      </c>
    </row>
    <row r="21" spans="1:15" hidden="1" x14ac:dyDescent="0.25">
      <c r="A21" s="180" t="s">
        <v>1660</v>
      </c>
      <c r="B21" s="180" t="s">
        <v>1661</v>
      </c>
      <c r="C21" s="180" t="s">
        <v>1683</v>
      </c>
      <c r="D21" s="180" t="s">
        <v>1663</v>
      </c>
      <c r="E21" s="180" t="s">
        <v>1664</v>
      </c>
      <c r="F21" s="181">
        <v>0.87758657142857133</v>
      </c>
      <c r="G21" s="181">
        <v>1.4199874285714285</v>
      </c>
      <c r="H21" s="181">
        <v>2.1565298285714287</v>
      </c>
      <c r="I21" s="181">
        <v>2.7171963428571431</v>
      </c>
      <c r="J21" s="181">
        <v>3.889768685714285</v>
      </c>
      <c r="K21" s="181">
        <v>5.0947145142857142</v>
      </c>
      <c r="L21" s="181">
        <v>6.3073343999999993</v>
      </c>
      <c r="M21" s="181">
        <v>7.5406628571428573</v>
      </c>
      <c r="N21" s="181">
        <v>8.7431314285714272</v>
      </c>
      <c r="O21" s="181">
        <v>9.8702884571428555</v>
      </c>
    </row>
    <row r="22" spans="1:15" hidden="1" x14ac:dyDescent="0.25">
      <c r="A22" s="180" t="s">
        <v>1660</v>
      </c>
      <c r="B22" s="180" t="s">
        <v>1661</v>
      </c>
      <c r="C22" s="180" t="s">
        <v>1684</v>
      </c>
      <c r="D22" s="180" t="s">
        <v>1663</v>
      </c>
      <c r="E22" s="180" t="s">
        <v>1664</v>
      </c>
      <c r="F22" s="181">
        <v>9.7563999999999984E-2</v>
      </c>
      <c r="G22" s="181">
        <v>0.19369271428571427</v>
      </c>
      <c r="H22" s="181">
        <v>0.31581485714285712</v>
      </c>
      <c r="I22" s="181">
        <v>0.41603285714285715</v>
      </c>
      <c r="J22" s="181">
        <v>0.54271285714285711</v>
      </c>
      <c r="K22" s="181">
        <v>0.73947342857142861</v>
      </c>
      <c r="L22" s="181">
        <v>0.92771657142857133</v>
      </c>
      <c r="M22" s="181">
        <v>1.0939725714285715</v>
      </c>
      <c r="N22" s="181">
        <v>1.2323529142857141</v>
      </c>
      <c r="O22" s="181">
        <v>1.3395163428571428</v>
      </c>
    </row>
    <row r="23" spans="1:15" hidden="1" x14ac:dyDescent="0.25">
      <c r="A23" s="180" t="s">
        <v>1660</v>
      </c>
      <c r="B23" s="180" t="s">
        <v>1661</v>
      </c>
      <c r="C23" s="180" t="s">
        <v>1685</v>
      </c>
      <c r="D23" s="180" t="s">
        <v>1663</v>
      </c>
      <c r="E23" s="180" t="s">
        <v>1664</v>
      </c>
      <c r="F23" s="181">
        <v>0.68878942857142855</v>
      </c>
      <c r="G23" s="181">
        <v>0.81373485714285709</v>
      </c>
      <c r="H23" s="181">
        <v>1.167076</v>
      </c>
      <c r="I23" s="181">
        <v>1.3129259428571427</v>
      </c>
      <c r="J23" s="181">
        <v>1.5271022857142857</v>
      </c>
      <c r="K23" s="181">
        <v>1.7366505142857143</v>
      </c>
      <c r="L23" s="181">
        <v>1.9235584000000001</v>
      </c>
      <c r="M23" s="181">
        <v>2.0997552000000002</v>
      </c>
      <c r="N23" s="181">
        <v>2.2587209142857141</v>
      </c>
      <c r="O23" s="181">
        <v>2.3987190857142857</v>
      </c>
    </row>
    <row r="24" spans="1:15" hidden="1" x14ac:dyDescent="0.25">
      <c r="A24" s="180" t="s">
        <v>1660</v>
      </c>
      <c r="B24" s="180" t="s">
        <v>1661</v>
      </c>
      <c r="C24" s="180" t="s">
        <v>1686</v>
      </c>
      <c r="D24" s="180" t="s">
        <v>1663</v>
      </c>
      <c r="E24" s="180" t="s">
        <v>1664</v>
      </c>
      <c r="F24" s="181">
        <v>0.24519357142857143</v>
      </c>
      <c r="G24" s="181">
        <v>0.3187422857142857</v>
      </c>
      <c r="H24" s="181">
        <v>0.29287057142857142</v>
      </c>
      <c r="I24" s="181">
        <v>0.33534885714285712</v>
      </c>
      <c r="J24" s="181">
        <v>0.42374742857142855</v>
      </c>
      <c r="K24" s="181">
        <v>0.53313571428571427</v>
      </c>
      <c r="L24" s="181">
        <v>0.63836542857142853</v>
      </c>
      <c r="M24" s="181">
        <v>0.73402514285714282</v>
      </c>
      <c r="N24" s="181">
        <v>0.81639542857142844</v>
      </c>
      <c r="O24" s="181">
        <v>0.88670914285714286</v>
      </c>
    </row>
    <row r="25" spans="1:15" hidden="1" x14ac:dyDescent="0.25">
      <c r="A25" s="180" t="s">
        <v>1660</v>
      </c>
      <c r="B25" s="180" t="s">
        <v>1661</v>
      </c>
      <c r="C25" s="180" t="s">
        <v>18</v>
      </c>
      <c r="D25" s="180" t="s">
        <v>1663</v>
      </c>
      <c r="E25" s="180" t="s">
        <v>1664</v>
      </c>
      <c r="F25" s="181">
        <v>9.1040201142857136</v>
      </c>
      <c r="G25" s="181">
        <v>9.4475711999999987</v>
      </c>
      <c r="H25" s="181">
        <v>10.167017142857143</v>
      </c>
      <c r="I25" s="181">
        <v>10.704899657142857</v>
      </c>
      <c r="J25" s="181">
        <v>11.521568914285714</v>
      </c>
      <c r="K25" s="181">
        <v>12.251143314285713</v>
      </c>
      <c r="L25" s="181">
        <v>12.900494628571428</v>
      </c>
      <c r="M25" s="181">
        <v>13.493674057142858</v>
      </c>
      <c r="N25" s="181">
        <v>14.034468571428571</v>
      </c>
      <c r="O25" s="181">
        <v>14.528696685714285</v>
      </c>
    </row>
    <row r="26" spans="1:15" hidden="1" x14ac:dyDescent="0.25">
      <c r="A26" s="180" t="s">
        <v>1660</v>
      </c>
      <c r="B26" s="180" t="s">
        <v>1661</v>
      </c>
      <c r="C26" s="180" t="s">
        <v>1687</v>
      </c>
      <c r="D26" s="180" t="s">
        <v>1663</v>
      </c>
      <c r="E26" s="180" t="s">
        <v>1664</v>
      </c>
      <c r="F26" s="181">
        <v>2.2301608928571429E-2</v>
      </c>
      <c r="G26" s="181">
        <v>4.5288228571428564E-2</v>
      </c>
      <c r="H26" s="181">
        <v>7.8658514285714284E-2</v>
      </c>
      <c r="I26" s="181">
        <v>0.10191957142857143</v>
      </c>
      <c r="J26" s="181">
        <v>0.16141968571428569</v>
      </c>
      <c r="K26" s="181">
        <v>0.35194085714285711</v>
      </c>
      <c r="L26" s="181">
        <v>0.6831977142857143</v>
      </c>
      <c r="M26" s="181">
        <v>1.2388100571428571</v>
      </c>
      <c r="N26" s="181">
        <v>2.1202057142857145</v>
      </c>
      <c r="O26" s="181">
        <v>3.438957257142857</v>
      </c>
    </row>
    <row r="27" spans="1:15" hidden="1" x14ac:dyDescent="0.25">
      <c r="A27" s="180" t="s">
        <v>1660</v>
      </c>
      <c r="B27" s="180" t="s">
        <v>1661</v>
      </c>
      <c r="C27" s="180" t="s">
        <v>1688</v>
      </c>
      <c r="D27" s="180" t="s">
        <v>1663</v>
      </c>
      <c r="E27" s="180" t="s">
        <v>1664</v>
      </c>
      <c r="F27" s="181">
        <v>9.6181083428571412</v>
      </c>
      <c r="G27" s="181">
        <v>9.9767085714285706</v>
      </c>
      <c r="H27" s="181">
        <v>10.355725714285715</v>
      </c>
      <c r="I27" s="181">
        <v>10.217177599999999</v>
      </c>
      <c r="J27" s="181">
        <v>11.239042742857142</v>
      </c>
      <c r="K27" s="181">
        <v>11.889516799999999</v>
      </c>
      <c r="L27" s="181">
        <v>12.552106057142858</v>
      </c>
      <c r="M27" s="181">
        <v>13.239982628571427</v>
      </c>
      <c r="N27" s="181">
        <v>13.912894171428571</v>
      </c>
      <c r="O27" s="181">
        <v>14.545245257142856</v>
      </c>
    </row>
    <row r="28" spans="1:15" x14ac:dyDescent="0.25">
      <c r="A28" s="180" t="s">
        <v>1660</v>
      </c>
      <c r="B28" s="180" t="s">
        <v>1661</v>
      </c>
      <c r="C28" s="180" t="s">
        <v>1689</v>
      </c>
      <c r="D28" s="180" t="s">
        <v>1690</v>
      </c>
      <c r="E28" s="180" t="s">
        <v>1664</v>
      </c>
      <c r="F28" s="181">
        <v>101.91931245714285</v>
      </c>
      <c r="G28" s="181">
        <v>131.21794925714286</v>
      </c>
      <c r="H28" s="181">
        <v>162.75736868571428</v>
      </c>
      <c r="I28" s="181">
        <v>186.36485485714286</v>
      </c>
      <c r="J28" s="181">
        <v>224.34982765714284</v>
      </c>
      <c r="K28" s="181">
        <v>261.22488685714285</v>
      </c>
      <c r="L28" s="181">
        <v>296.37772434285716</v>
      </c>
      <c r="M28" s="181">
        <v>331.6997266285714</v>
      </c>
      <c r="N28" s="181">
        <v>366.92828159999999</v>
      </c>
      <c r="O28" s="181">
        <v>401.67570285714282</v>
      </c>
    </row>
    <row r="29" spans="1:15" hidden="1" x14ac:dyDescent="0.25">
      <c r="A29" s="180" t="s">
        <v>1660</v>
      </c>
      <c r="B29" s="180" t="s">
        <v>1661</v>
      </c>
      <c r="C29" s="180" t="s">
        <v>1662</v>
      </c>
      <c r="D29" s="180" t="s">
        <v>1691</v>
      </c>
      <c r="E29" s="180" t="s">
        <v>1664</v>
      </c>
      <c r="F29" s="181">
        <v>0.90373000000000003</v>
      </c>
      <c r="G29" s="181">
        <v>1.2075274285714284</v>
      </c>
      <c r="H29" s="181">
        <v>1.2855571428571426</v>
      </c>
      <c r="I29" s="181">
        <v>1.2951011428571428</v>
      </c>
      <c r="J29" s="181">
        <v>1.5209151999999999</v>
      </c>
      <c r="K29" s="181">
        <v>1.7702671999999999</v>
      </c>
      <c r="L29" s="181">
        <v>1.9978786285714287</v>
      </c>
      <c r="M29" s="181">
        <v>2.2189284571428569</v>
      </c>
      <c r="N29" s="181">
        <v>2.4265542857142859</v>
      </c>
      <c r="O29" s="181">
        <v>2.6149366857142859</v>
      </c>
    </row>
    <row r="30" spans="1:15" hidden="1" x14ac:dyDescent="0.25">
      <c r="A30" s="180" t="s">
        <v>1660</v>
      </c>
      <c r="B30" s="180" t="s">
        <v>1661</v>
      </c>
      <c r="C30" s="180" t="s">
        <v>1665</v>
      </c>
      <c r="D30" s="180" t="s">
        <v>1691</v>
      </c>
      <c r="E30" s="180" t="s">
        <v>1664</v>
      </c>
      <c r="F30" s="181">
        <v>0.54097085714285709</v>
      </c>
      <c r="G30" s="181">
        <v>0.57356199999999991</v>
      </c>
      <c r="H30" s="181">
        <v>0.61691457142857142</v>
      </c>
      <c r="I30" s="181">
        <v>0.64417685714285711</v>
      </c>
      <c r="J30" s="181">
        <v>0.69052142857142862</v>
      </c>
      <c r="K30" s="181">
        <v>0.73382942857142852</v>
      </c>
      <c r="L30" s="181">
        <v>0.77653771428571428</v>
      </c>
      <c r="M30" s="181">
        <v>0.81860714285714276</v>
      </c>
      <c r="N30" s="181">
        <v>0.85936942857142851</v>
      </c>
      <c r="O30" s="181">
        <v>0.89851685714285701</v>
      </c>
    </row>
    <row r="31" spans="1:15" hidden="1" x14ac:dyDescent="0.25">
      <c r="A31" s="180" t="s">
        <v>1660</v>
      </c>
      <c r="B31" s="180" t="s">
        <v>1661</v>
      </c>
      <c r="C31" s="180" t="s">
        <v>1666</v>
      </c>
      <c r="D31" s="180" t="s">
        <v>1691</v>
      </c>
      <c r="E31" s="180" t="s">
        <v>1664</v>
      </c>
      <c r="F31" s="181">
        <v>0.98204365714285713</v>
      </c>
      <c r="G31" s="181">
        <v>1.1632642285714285</v>
      </c>
      <c r="H31" s="181">
        <v>1.3390031999999998</v>
      </c>
      <c r="I31" s="181">
        <v>1.4322077714285715</v>
      </c>
      <c r="J31" s="181">
        <v>1.6745022857142857</v>
      </c>
      <c r="K31" s="181">
        <v>1.8534511999999999</v>
      </c>
      <c r="L31" s="181">
        <v>2.0078683428571429</v>
      </c>
      <c r="M31" s="181">
        <v>2.1353049142857139</v>
      </c>
      <c r="N31" s="181">
        <v>2.2341033142857141</v>
      </c>
      <c r="O31" s="181">
        <v>2.3126852571428573</v>
      </c>
    </row>
    <row r="32" spans="1:15" hidden="1" x14ac:dyDescent="0.25">
      <c r="A32" s="180" t="s">
        <v>1660</v>
      </c>
      <c r="B32" s="180" t="s">
        <v>1661</v>
      </c>
      <c r="C32" s="180" t="s">
        <v>1667</v>
      </c>
      <c r="D32" s="180" t="s">
        <v>1691</v>
      </c>
      <c r="E32" s="180" t="s">
        <v>1664</v>
      </c>
      <c r="F32" s="181">
        <v>3.0619885714285711</v>
      </c>
      <c r="G32" s="181">
        <v>7.5367140571428566</v>
      </c>
      <c r="H32" s="181">
        <v>12.050625828571428</v>
      </c>
      <c r="I32" s="181">
        <v>16.225583542857141</v>
      </c>
      <c r="J32" s="181">
        <v>19.9374976</v>
      </c>
      <c r="K32" s="181">
        <v>22.392265142857145</v>
      </c>
      <c r="L32" s="181">
        <v>23.834783085714285</v>
      </c>
      <c r="M32" s="181">
        <v>24.656989257142854</v>
      </c>
      <c r="N32" s="181">
        <v>25.008491885714285</v>
      </c>
      <c r="O32" s="181">
        <v>24.937080685714285</v>
      </c>
    </row>
    <row r="33" spans="1:15" hidden="1" x14ac:dyDescent="0.25">
      <c r="A33" s="180" t="s">
        <v>1660</v>
      </c>
      <c r="B33" s="180" t="s">
        <v>1661</v>
      </c>
      <c r="C33" s="180" t="s">
        <v>1668</v>
      </c>
      <c r="D33" s="180" t="s">
        <v>1691</v>
      </c>
      <c r="E33" s="180" t="s">
        <v>1664</v>
      </c>
      <c r="F33" s="181">
        <v>2.000775669642857E-3</v>
      </c>
      <c r="G33" s="181">
        <v>6.3003142857142851E-3</v>
      </c>
      <c r="H33" s="181">
        <v>0.65979942857142859</v>
      </c>
      <c r="I33" s="181">
        <v>0.7410308571428571</v>
      </c>
      <c r="J33" s="181">
        <v>1.0015931428571427</v>
      </c>
      <c r="K33" s="181">
        <v>1.566808</v>
      </c>
      <c r="L33" s="181">
        <v>2.3275085714285715</v>
      </c>
      <c r="M33" s="181">
        <v>3.3359798857142855</v>
      </c>
      <c r="N33" s="181">
        <v>4.5811570285714289</v>
      </c>
      <c r="O33" s="181">
        <v>6.0103401142857136</v>
      </c>
    </row>
    <row r="34" spans="1:15" hidden="1" x14ac:dyDescent="0.25">
      <c r="A34" s="180" t="s">
        <v>1660</v>
      </c>
      <c r="B34" s="180" t="s">
        <v>1661</v>
      </c>
      <c r="C34" s="180" t="s">
        <v>1669</v>
      </c>
      <c r="D34" s="180" t="s">
        <v>1691</v>
      </c>
      <c r="E34" s="180" t="s">
        <v>1664</v>
      </c>
      <c r="F34" s="181">
        <v>0.24609565714285714</v>
      </c>
      <c r="G34" s="181">
        <v>0.70215428571428562</v>
      </c>
      <c r="H34" s="181">
        <v>1.4610719999999999</v>
      </c>
      <c r="I34" s="181">
        <v>1.9430283428571427</v>
      </c>
      <c r="J34" s="181">
        <v>4.1450829714285709</v>
      </c>
      <c r="K34" s="181">
        <v>6.2653686857142858</v>
      </c>
      <c r="L34" s="181">
        <v>8.6961828571428565</v>
      </c>
      <c r="M34" s="181">
        <v>11.380490971428571</v>
      </c>
      <c r="N34" s="181">
        <v>14.161660342857141</v>
      </c>
      <c r="O34" s="181">
        <v>16.917789257142857</v>
      </c>
    </row>
    <row r="35" spans="1:15" hidden="1" x14ac:dyDescent="0.25">
      <c r="A35" s="180" t="s">
        <v>1660</v>
      </c>
      <c r="B35" s="180" t="s">
        <v>1661</v>
      </c>
      <c r="C35" s="180" t="s">
        <v>1670</v>
      </c>
      <c r="D35" s="180" t="s">
        <v>1691</v>
      </c>
      <c r="E35" s="180" t="s">
        <v>1664</v>
      </c>
      <c r="F35" s="181">
        <v>0.15673314285714285</v>
      </c>
      <c r="G35" s="181">
        <v>0.29080314285714287</v>
      </c>
      <c r="H35" s="181">
        <v>0.48020599999999991</v>
      </c>
      <c r="I35" s="181">
        <v>0.69018457142857137</v>
      </c>
      <c r="J35" s="181">
        <v>1.0690845714285715</v>
      </c>
      <c r="K35" s="181">
        <v>1.5552079999999999</v>
      </c>
      <c r="L35" s="181">
        <v>2.0630509714285714</v>
      </c>
      <c r="M35" s="181">
        <v>2.5811565714285716</v>
      </c>
      <c r="N35" s="181">
        <v>3.0679257142857139</v>
      </c>
      <c r="O35" s="181">
        <v>3.5030571428571426</v>
      </c>
    </row>
    <row r="36" spans="1:15" hidden="1" x14ac:dyDescent="0.25">
      <c r="A36" s="180" t="s">
        <v>1660</v>
      </c>
      <c r="B36" s="180" t="s">
        <v>1661</v>
      </c>
      <c r="C36" s="180" t="s">
        <v>1671</v>
      </c>
      <c r="D36" s="180" t="s">
        <v>1691</v>
      </c>
      <c r="E36" s="180" t="s">
        <v>1664</v>
      </c>
      <c r="F36" s="181">
        <v>2.2848477714285713</v>
      </c>
      <c r="G36" s="181">
        <v>2.3031104</v>
      </c>
      <c r="H36" s="181">
        <v>2.3631762285714286</v>
      </c>
      <c r="I36" s="181">
        <v>2.3235613714285712</v>
      </c>
      <c r="J36" s="181">
        <v>2.3475469714285713</v>
      </c>
      <c r="K36" s="181">
        <v>2.3775309714285715</v>
      </c>
      <c r="L36" s="181">
        <v>2.3847775999999996</v>
      </c>
      <c r="M36" s="181">
        <v>2.377891657142857</v>
      </c>
      <c r="N36" s="181">
        <v>2.3671433142857143</v>
      </c>
      <c r="O36" s="181">
        <v>2.3502534857142856</v>
      </c>
    </row>
    <row r="37" spans="1:15" hidden="1" x14ac:dyDescent="0.25">
      <c r="A37" s="180" t="s">
        <v>1660</v>
      </c>
      <c r="B37" s="180" t="s">
        <v>1661</v>
      </c>
      <c r="C37" s="180" t="s">
        <v>1672</v>
      </c>
      <c r="D37" s="180" t="s">
        <v>1691</v>
      </c>
      <c r="E37" s="180" t="s">
        <v>1664</v>
      </c>
      <c r="F37" s="181">
        <v>1.5272066285714285</v>
      </c>
      <c r="G37" s="181">
        <v>1.7139217142857142</v>
      </c>
      <c r="H37" s="181">
        <v>1.8618388571428572</v>
      </c>
      <c r="I37" s="181">
        <v>1.9767165714285715</v>
      </c>
      <c r="J37" s="181">
        <v>2.1016173714285715</v>
      </c>
      <c r="K37" s="181">
        <v>2.186733257142857</v>
      </c>
      <c r="L37" s="181">
        <v>2.2371035428571426</v>
      </c>
      <c r="M37" s="181">
        <v>2.255997257142857</v>
      </c>
      <c r="N37" s="181">
        <v>2.2486057142857141</v>
      </c>
      <c r="O37" s="181">
        <v>2.2182016</v>
      </c>
    </row>
    <row r="38" spans="1:15" hidden="1" x14ac:dyDescent="0.25">
      <c r="A38" s="180" t="s">
        <v>1660</v>
      </c>
      <c r="B38" s="180" t="s">
        <v>1661</v>
      </c>
      <c r="C38" s="180" t="s">
        <v>1673</v>
      </c>
      <c r="D38" s="180" t="s">
        <v>1691</v>
      </c>
      <c r="E38" s="180" t="s">
        <v>1664</v>
      </c>
      <c r="F38" s="181">
        <v>2.2294336000000001</v>
      </c>
      <c r="G38" s="181">
        <v>2.8241421714285715</v>
      </c>
      <c r="H38" s="181">
        <v>3.3099314285714287</v>
      </c>
      <c r="I38" s="181">
        <v>3.787408457142857</v>
      </c>
      <c r="J38" s="181">
        <v>4.2263972571428567</v>
      </c>
      <c r="K38" s="181">
        <v>5.0224713142857143</v>
      </c>
      <c r="L38" s="181">
        <v>5.8040141714285713</v>
      </c>
      <c r="M38" s="181">
        <v>6.5774057142857139</v>
      </c>
      <c r="N38" s="181">
        <v>7.3126802285714279</v>
      </c>
      <c r="O38" s="181">
        <v>7.9963885714285716</v>
      </c>
    </row>
    <row r="39" spans="1:15" hidden="1" x14ac:dyDescent="0.25">
      <c r="A39" s="180" t="s">
        <v>1660</v>
      </c>
      <c r="B39" s="180" t="s">
        <v>1661</v>
      </c>
      <c r="C39" s="180" t="s">
        <v>1674</v>
      </c>
      <c r="D39" s="180" t="s">
        <v>1691</v>
      </c>
      <c r="E39" s="180" t="s">
        <v>1664</v>
      </c>
      <c r="F39" s="181">
        <v>0.84866371428571419</v>
      </c>
      <c r="G39" s="181">
        <v>0.93611885714285703</v>
      </c>
      <c r="H39" s="181">
        <v>1.0946847999999998</v>
      </c>
      <c r="I39" s="181">
        <v>1.1111634285714287</v>
      </c>
      <c r="J39" s="181">
        <v>1.2811643428571426</v>
      </c>
      <c r="K39" s="181">
        <v>1.4762171428571429</v>
      </c>
      <c r="L39" s="181">
        <v>1.6691731428571428</v>
      </c>
      <c r="M39" s="181">
        <v>1.8554550857142857</v>
      </c>
      <c r="N39" s="181">
        <v>2.028721142857143</v>
      </c>
      <c r="O39" s="181">
        <v>2.1931631999999999</v>
      </c>
    </row>
    <row r="40" spans="1:15" hidden="1" x14ac:dyDescent="0.25">
      <c r="A40" s="180" t="s">
        <v>1660</v>
      </c>
      <c r="B40" s="180" t="s">
        <v>1661</v>
      </c>
      <c r="C40" s="180" t="s">
        <v>1675</v>
      </c>
      <c r="D40" s="180" t="s">
        <v>1691</v>
      </c>
      <c r="E40" s="180" t="s">
        <v>1664</v>
      </c>
      <c r="F40" s="181">
        <v>0.29804599999999998</v>
      </c>
      <c r="G40" s="181">
        <v>0.43851514285714283</v>
      </c>
      <c r="H40" s="181">
        <v>0.47623342857142859</v>
      </c>
      <c r="I40" s="181">
        <v>0.58128314285714278</v>
      </c>
      <c r="J40" s="181">
        <v>0.67331914285714289</v>
      </c>
      <c r="K40" s="181">
        <v>0.94782028571428567</v>
      </c>
      <c r="L40" s="181">
        <v>1.2525388571428571</v>
      </c>
      <c r="M40" s="181">
        <v>1.5809102857142856</v>
      </c>
      <c r="N40" s="181">
        <v>1.9217449142857141</v>
      </c>
      <c r="O40" s="181">
        <v>2.2622011428571427</v>
      </c>
    </row>
    <row r="41" spans="1:15" hidden="1" x14ac:dyDescent="0.25">
      <c r="A41" s="180" t="s">
        <v>1660</v>
      </c>
      <c r="B41" s="180" t="s">
        <v>1661</v>
      </c>
      <c r="C41" s="180" t="s">
        <v>1676</v>
      </c>
      <c r="D41" s="180" t="s">
        <v>1691</v>
      </c>
      <c r="E41" s="180" t="s">
        <v>1664</v>
      </c>
      <c r="F41" s="181">
        <v>0.41021999999999997</v>
      </c>
      <c r="G41" s="181">
        <v>0.45378714285714289</v>
      </c>
      <c r="H41" s="181">
        <v>0.50173371428571423</v>
      </c>
      <c r="I41" s="181">
        <v>0.54031428571428564</v>
      </c>
      <c r="J41" s="181">
        <v>0.59556285714285717</v>
      </c>
      <c r="K41" s="181">
        <v>0.64555828571428564</v>
      </c>
      <c r="L41" s="181">
        <v>0.69348142857142858</v>
      </c>
      <c r="M41" s="181">
        <v>0.74106399999999994</v>
      </c>
      <c r="N41" s="181">
        <v>0.78864485714285715</v>
      </c>
      <c r="O41" s="181">
        <v>0.83429942857142858</v>
      </c>
    </row>
    <row r="42" spans="1:15" hidden="1" x14ac:dyDescent="0.25">
      <c r="A42" s="180" t="s">
        <v>1660</v>
      </c>
      <c r="B42" s="180" t="s">
        <v>1661</v>
      </c>
      <c r="C42" s="180" t="s">
        <v>1677</v>
      </c>
      <c r="D42" s="180" t="s">
        <v>1691</v>
      </c>
      <c r="E42" s="180" t="s">
        <v>1664</v>
      </c>
      <c r="F42" s="181">
        <v>0.34944657142857144</v>
      </c>
      <c r="G42" s="181">
        <v>0.41768514285714281</v>
      </c>
      <c r="H42" s="181">
        <v>0.50482114285714286</v>
      </c>
      <c r="I42" s="181">
        <v>0.544072</v>
      </c>
      <c r="J42" s="181">
        <v>0.66299399999999997</v>
      </c>
      <c r="K42" s="181">
        <v>0.81599799999999989</v>
      </c>
      <c r="L42" s="181">
        <v>0.97403519999999999</v>
      </c>
      <c r="M42" s="181">
        <v>1.1373842285714286</v>
      </c>
      <c r="N42" s="181">
        <v>1.2999525714285713</v>
      </c>
      <c r="O42" s="181">
        <v>1.4494371428571429</v>
      </c>
    </row>
    <row r="43" spans="1:15" hidden="1" x14ac:dyDescent="0.25">
      <c r="A43" s="180" t="s">
        <v>1660</v>
      </c>
      <c r="B43" s="180" t="s">
        <v>1661</v>
      </c>
      <c r="C43" s="180" t="s">
        <v>1678</v>
      </c>
      <c r="D43" s="180" t="s">
        <v>1691</v>
      </c>
      <c r="E43" s="180" t="s">
        <v>1664</v>
      </c>
      <c r="F43" s="181">
        <v>7.66883125E-3</v>
      </c>
      <c r="G43" s="181">
        <v>2.2670796428571428E-2</v>
      </c>
      <c r="H43" s="181">
        <v>3.9891199999999995E-2</v>
      </c>
      <c r="I43" s="181">
        <v>5.2695371428571426E-2</v>
      </c>
      <c r="J43" s="181">
        <v>8.0068485714285709E-2</v>
      </c>
      <c r="K43" s="181">
        <v>0.12905459999999999</v>
      </c>
      <c r="L43" s="181">
        <v>0.1978563714285714</v>
      </c>
      <c r="M43" s="181">
        <v>0.30811028571428567</v>
      </c>
      <c r="N43" s="181">
        <v>0.48383885714285707</v>
      </c>
      <c r="O43" s="181">
        <v>0.750004</v>
      </c>
    </row>
    <row r="44" spans="1:15" hidden="1" x14ac:dyDescent="0.25">
      <c r="A44" s="180" t="s">
        <v>1660</v>
      </c>
      <c r="B44" s="180" t="s">
        <v>1661</v>
      </c>
      <c r="C44" s="180" t="s">
        <v>1679</v>
      </c>
      <c r="D44" s="180" t="s">
        <v>1691</v>
      </c>
      <c r="E44" s="180" t="s">
        <v>1664</v>
      </c>
      <c r="F44" s="181">
        <v>0.87818257142857148</v>
      </c>
      <c r="G44" s="181">
        <v>1.2221236571428571</v>
      </c>
      <c r="H44" s="181">
        <v>1.1601796571428571</v>
      </c>
      <c r="I44" s="181">
        <v>1.2191314285714285</v>
      </c>
      <c r="J44" s="181">
        <v>1.5067348571428572</v>
      </c>
      <c r="K44" s="181">
        <v>1.823522057142857</v>
      </c>
      <c r="L44" s="181">
        <v>2.1428909714285713</v>
      </c>
      <c r="M44" s="181">
        <v>2.4624841142857141</v>
      </c>
      <c r="N44" s="181">
        <v>2.7750879999999998</v>
      </c>
      <c r="O44" s="181">
        <v>3.0760742857142858</v>
      </c>
    </row>
    <row r="45" spans="1:15" hidden="1" x14ac:dyDescent="0.25">
      <c r="A45" s="180" t="s">
        <v>1660</v>
      </c>
      <c r="B45" s="180" t="s">
        <v>1661</v>
      </c>
      <c r="C45" s="180" t="s">
        <v>1680</v>
      </c>
      <c r="D45" s="180" t="s">
        <v>1691</v>
      </c>
      <c r="E45" s="180" t="s">
        <v>1664</v>
      </c>
      <c r="F45" s="181">
        <v>2.8862028571428569E-2</v>
      </c>
      <c r="G45" s="181">
        <v>5.8116428571428576E-2</v>
      </c>
      <c r="H45" s="181">
        <v>0.10873314285714286</v>
      </c>
      <c r="I45" s="181">
        <v>0.15441340000000001</v>
      </c>
      <c r="J45" s="181">
        <v>0.21777417142857142</v>
      </c>
      <c r="K45" s="181">
        <v>0.38523685714285716</v>
      </c>
      <c r="L45" s="181">
        <v>0.62951428571428569</v>
      </c>
      <c r="M45" s="181">
        <v>0.98273542857142848</v>
      </c>
      <c r="N45" s="181">
        <v>1.4627925714285712</v>
      </c>
      <c r="O45" s="181">
        <v>2.0805414857142854</v>
      </c>
    </row>
    <row r="46" spans="1:15" hidden="1" x14ac:dyDescent="0.25">
      <c r="A46" s="180" t="s">
        <v>1660</v>
      </c>
      <c r="B46" s="180" t="s">
        <v>1661</v>
      </c>
      <c r="C46" s="180" t="s">
        <v>1681</v>
      </c>
      <c r="D46" s="180" t="s">
        <v>1691</v>
      </c>
      <c r="E46" s="180" t="s">
        <v>1664</v>
      </c>
      <c r="F46" s="181">
        <v>1.1053643428571427</v>
      </c>
      <c r="G46" s="181">
        <v>1.37456</v>
      </c>
      <c r="H46" s="181">
        <v>1.4927857142857142</v>
      </c>
      <c r="I46" s="181">
        <v>1.5302085714285714</v>
      </c>
      <c r="J46" s="181">
        <v>1.7140142857142857</v>
      </c>
      <c r="K46" s="181">
        <v>1.9237618285714286</v>
      </c>
      <c r="L46" s="181">
        <v>2.0826939428571429</v>
      </c>
      <c r="M46" s="181">
        <v>2.2056879999999999</v>
      </c>
      <c r="N46" s="181">
        <v>2.2932530285714283</v>
      </c>
      <c r="O46" s="181">
        <v>2.3559044571428571</v>
      </c>
    </row>
    <row r="47" spans="1:15" hidden="1" x14ac:dyDescent="0.25">
      <c r="A47" s="180" t="s">
        <v>1660</v>
      </c>
      <c r="B47" s="180" t="s">
        <v>1661</v>
      </c>
      <c r="C47" s="180" t="s">
        <v>1682</v>
      </c>
      <c r="D47" s="180" t="s">
        <v>1691</v>
      </c>
      <c r="E47" s="180" t="s">
        <v>1664</v>
      </c>
      <c r="F47" s="181">
        <v>0.2273444857142857</v>
      </c>
      <c r="G47" s="181">
        <v>0.27947139999999998</v>
      </c>
      <c r="H47" s="181">
        <v>0.31297257142857138</v>
      </c>
      <c r="I47" s="181">
        <v>0.3108251428571428</v>
      </c>
      <c r="J47" s="181">
        <v>0.34964399999999995</v>
      </c>
      <c r="K47" s="181">
        <v>0.43218885714285715</v>
      </c>
      <c r="L47" s="181">
        <v>0.5136614285714286</v>
      </c>
      <c r="M47" s="181">
        <v>0.59361828571428576</v>
      </c>
      <c r="N47" s="181">
        <v>0.66943457142857143</v>
      </c>
      <c r="O47" s="181">
        <v>0.74006714285714281</v>
      </c>
    </row>
    <row r="48" spans="1:15" hidden="1" x14ac:dyDescent="0.25">
      <c r="A48" s="180" t="s">
        <v>1660</v>
      </c>
      <c r="B48" s="180" t="s">
        <v>1661</v>
      </c>
      <c r="C48" s="180" t="s">
        <v>1683</v>
      </c>
      <c r="D48" s="180" t="s">
        <v>1691</v>
      </c>
      <c r="E48" s="180" t="s">
        <v>1664</v>
      </c>
      <c r="F48" s="181">
        <v>0.56378285714285714</v>
      </c>
      <c r="G48" s="181">
        <v>0.91223428571428566</v>
      </c>
      <c r="H48" s="181">
        <v>1.3854068571428571</v>
      </c>
      <c r="I48" s="181">
        <v>1.7455929142857143</v>
      </c>
      <c r="J48" s="181">
        <v>2.4988811428571425</v>
      </c>
      <c r="K48" s="181">
        <v>3.2729657142857143</v>
      </c>
      <c r="L48" s="181">
        <v>4.0519858285714285</v>
      </c>
      <c r="M48" s="181">
        <v>4.8443058285714287</v>
      </c>
      <c r="N48" s="181">
        <v>5.6167999999999996</v>
      </c>
      <c r="O48" s="181">
        <v>6.3409115428571425</v>
      </c>
    </row>
    <row r="49" spans="1:15" hidden="1" x14ac:dyDescent="0.25">
      <c r="A49" s="180" t="s">
        <v>1660</v>
      </c>
      <c r="B49" s="180" t="s">
        <v>1661</v>
      </c>
      <c r="C49" s="180" t="s">
        <v>1684</v>
      </c>
      <c r="D49" s="180" t="s">
        <v>1691</v>
      </c>
      <c r="E49" s="180" t="s">
        <v>1664</v>
      </c>
      <c r="F49" s="181">
        <v>6.2677457142857149E-2</v>
      </c>
      <c r="G49" s="181">
        <v>0.12443288571428572</v>
      </c>
      <c r="H49" s="181">
        <v>0.20288708571428571</v>
      </c>
      <c r="I49" s="181">
        <v>0.26726951428571427</v>
      </c>
      <c r="J49" s="181">
        <v>0.34865199999999996</v>
      </c>
      <c r="K49" s="181">
        <v>0.4750557142857143</v>
      </c>
      <c r="L49" s="181">
        <v>0.59598771428571418</v>
      </c>
      <c r="M49" s="181">
        <v>0.70279457142857138</v>
      </c>
      <c r="N49" s="181">
        <v>0.79169342857142855</v>
      </c>
      <c r="O49" s="181">
        <v>0.86053771428571424</v>
      </c>
    </row>
    <row r="50" spans="1:15" hidden="1" x14ac:dyDescent="0.25">
      <c r="A50" s="180" t="s">
        <v>1660</v>
      </c>
      <c r="B50" s="180" t="s">
        <v>1661</v>
      </c>
      <c r="C50" s="180" t="s">
        <v>1685</v>
      </c>
      <c r="D50" s="180" t="s">
        <v>1691</v>
      </c>
      <c r="E50" s="180" t="s">
        <v>1664</v>
      </c>
      <c r="F50" s="181">
        <v>0.44249485714285708</v>
      </c>
      <c r="G50" s="181">
        <v>0.52276314285714287</v>
      </c>
      <c r="H50" s="181">
        <v>0.74975799999999992</v>
      </c>
      <c r="I50" s="181">
        <v>0.84345542857142852</v>
      </c>
      <c r="J50" s="181">
        <v>0.98104742857142868</v>
      </c>
      <c r="K50" s="181">
        <v>1.1156662857142856</v>
      </c>
      <c r="L50" s="181">
        <v>1.2357405714285714</v>
      </c>
      <c r="M50" s="181">
        <v>1.3489337142857143</v>
      </c>
      <c r="N50" s="181">
        <v>1.4510571428571428</v>
      </c>
      <c r="O50" s="181">
        <v>1.5409954285714285</v>
      </c>
    </row>
    <row r="51" spans="1:15" hidden="1" x14ac:dyDescent="0.25">
      <c r="A51" s="180" t="s">
        <v>1660</v>
      </c>
      <c r="B51" s="180" t="s">
        <v>1661</v>
      </c>
      <c r="C51" s="180" t="s">
        <v>1686</v>
      </c>
      <c r="D51" s="180" t="s">
        <v>1691</v>
      </c>
      <c r="E51" s="180" t="s">
        <v>1664</v>
      </c>
      <c r="F51" s="181">
        <v>0.15751828571428572</v>
      </c>
      <c r="G51" s="181">
        <v>0.20476774285714283</v>
      </c>
      <c r="H51" s="181">
        <v>0.18814719999999999</v>
      </c>
      <c r="I51" s="181">
        <v>0.21543614285714285</v>
      </c>
      <c r="J51" s="181">
        <v>0.27222568571428568</v>
      </c>
      <c r="K51" s="181">
        <v>0.34249942857142857</v>
      </c>
      <c r="L51" s="181">
        <v>0.41010142857142851</v>
      </c>
      <c r="M51" s="181">
        <v>0.47155542857142851</v>
      </c>
      <c r="N51" s="181">
        <v>0.52447228571428572</v>
      </c>
      <c r="O51" s="181">
        <v>0.56964342857142858</v>
      </c>
    </row>
    <row r="52" spans="1:15" hidden="1" x14ac:dyDescent="0.25">
      <c r="A52" s="180" t="s">
        <v>1660</v>
      </c>
      <c r="B52" s="180" t="s">
        <v>1661</v>
      </c>
      <c r="C52" s="180" t="s">
        <v>18</v>
      </c>
      <c r="D52" s="180" t="s">
        <v>1691</v>
      </c>
      <c r="E52" s="180" t="s">
        <v>1664</v>
      </c>
      <c r="F52" s="181">
        <v>5.8486427428571428</v>
      </c>
      <c r="G52" s="181">
        <v>6.0693485714285718</v>
      </c>
      <c r="H52" s="181">
        <v>6.5315373714285707</v>
      </c>
      <c r="I52" s="181">
        <v>6.8770857142857134</v>
      </c>
      <c r="J52" s="181">
        <v>7.4017343999999996</v>
      </c>
      <c r="K52" s="181">
        <v>7.8704310857142854</v>
      </c>
      <c r="L52" s="181">
        <v>8.2875913142857147</v>
      </c>
      <c r="M52" s="181">
        <v>8.6686628571428557</v>
      </c>
      <c r="N52" s="181">
        <v>9.0160831999999989</v>
      </c>
      <c r="O52" s="181">
        <v>9.3335853714285708</v>
      </c>
    </row>
    <row r="53" spans="1:15" hidden="1" x14ac:dyDescent="0.25">
      <c r="A53" s="180" t="s">
        <v>1660</v>
      </c>
      <c r="B53" s="180" t="s">
        <v>1661</v>
      </c>
      <c r="C53" s="180" t="s">
        <v>1687</v>
      </c>
      <c r="D53" s="180" t="s">
        <v>1691</v>
      </c>
      <c r="E53" s="180" t="s">
        <v>1664</v>
      </c>
      <c r="F53" s="181">
        <v>1.4327094642857143E-2</v>
      </c>
      <c r="G53" s="181">
        <v>2.9094257142857138E-2</v>
      </c>
      <c r="H53" s="181">
        <v>5.0532142857142852E-2</v>
      </c>
      <c r="I53" s="181">
        <v>6.5475600000000009E-2</v>
      </c>
      <c r="J53" s="181">
        <v>0.10369991428571428</v>
      </c>
      <c r="K53" s="181">
        <v>0.22609525714285714</v>
      </c>
      <c r="L53" s="181">
        <v>0.43890285714285709</v>
      </c>
      <c r="M53" s="181">
        <v>0.79584171428571426</v>
      </c>
      <c r="N53" s="181">
        <v>1.3620714285714286</v>
      </c>
      <c r="O53" s="181">
        <v>2.2092697142857141</v>
      </c>
    </row>
    <row r="54" spans="1:15" hidden="1" x14ac:dyDescent="0.25">
      <c r="A54" s="180" t="s">
        <v>1660</v>
      </c>
      <c r="B54" s="180" t="s">
        <v>1661</v>
      </c>
      <c r="C54" s="180" t="s">
        <v>1688</v>
      </c>
      <c r="D54" s="180" t="s">
        <v>1691</v>
      </c>
      <c r="E54" s="180" t="s">
        <v>1664</v>
      </c>
      <c r="F54" s="181">
        <v>6.1789056000000002</v>
      </c>
      <c r="G54" s="181">
        <v>6.4092799999999999</v>
      </c>
      <c r="H54" s="181">
        <v>6.6527684571428569</v>
      </c>
      <c r="I54" s="181">
        <v>6.5637627428571426</v>
      </c>
      <c r="J54" s="181">
        <v>7.2202340571428572</v>
      </c>
      <c r="K54" s="181">
        <v>7.6381142857142859</v>
      </c>
      <c r="L54" s="181">
        <v>8.0637769142857145</v>
      </c>
      <c r="M54" s="181">
        <v>8.5056859428571432</v>
      </c>
      <c r="N54" s="181">
        <v>8.9379803428571414</v>
      </c>
      <c r="O54" s="181">
        <v>9.3442176000000003</v>
      </c>
    </row>
    <row r="55" spans="1:15" hidden="1" x14ac:dyDescent="0.25">
      <c r="A55" s="180" t="s">
        <v>1660</v>
      </c>
      <c r="B55" s="180" t="s">
        <v>1661</v>
      </c>
      <c r="C55" s="180" t="s">
        <v>1662</v>
      </c>
      <c r="D55" s="180" t="s">
        <v>1692</v>
      </c>
      <c r="E55" s="180" t="s">
        <v>1664</v>
      </c>
      <c r="F55" s="181">
        <v>0.37513314285714283</v>
      </c>
      <c r="G55" s="181">
        <v>0.50123800000000007</v>
      </c>
      <c r="H55" s="181">
        <v>0.53362742857142853</v>
      </c>
      <c r="I55" s="181">
        <v>0.53758914285714288</v>
      </c>
      <c r="J55" s="181">
        <v>0.63132314285714286</v>
      </c>
      <c r="K55" s="181">
        <v>0.73482799999999993</v>
      </c>
      <c r="L55" s="181">
        <v>0.82930799999999993</v>
      </c>
      <c r="M55" s="181">
        <v>0.92106457142857145</v>
      </c>
      <c r="N55" s="181">
        <v>1.0072489142857144</v>
      </c>
      <c r="O55" s="181">
        <v>1.085445142857143</v>
      </c>
    </row>
    <row r="56" spans="1:15" hidden="1" x14ac:dyDescent="0.25">
      <c r="A56" s="180" t="s">
        <v>1660</v>
      </c>
      <c r="B56" s="180" t="s">
        <v>1661</v>
      </c>
      <c r="C56" s="180" t="s">
        <v>1665</v>
      </c>
      <c r="D56" s="180" t="s">
        <v>1692</v>
      </c>
      <c r="E56" s="180" t="s">
        <v>1664</v>
      </c>
      <c r="F56" s="181">
        <v>0.22455391428571428</v>
      </c>
      <c r="G56" s="181">
        <v>0.2380823142857143</v>
      </c>
      <c r="H56" s="181">
        <v>0.25607777142857141</v>
      </c>
      <c r="I56" s="181">
        <v>0.26739417142857141</v>
      </c>
      <c r="J56" s="181">
        <v>0.28663171428571427</v>
      </c>
      <c r="K56" s="181">
        <v>0.30460828571428572</v>
      </c>
      <c r="L56" s="181">
        <v>0.32233628571428569</v>
      </c>
      <c r="M56" s="181">
        <v>0.33979914285714286</v>
      </c>
      <c r="N56" s="181">
        <v>0.35671942857142858</v>
      </c>
      <c r="O56" s="181">
        <v>0.37296914285714283</v>
      </c>
    </row>
    <row r="57" spans="1:15" hidden="1" x14ac:dyDescent="0.25">
      <c r="A57" s="180" t="s">
        <v>1660</v>
      </c>
      <c r="B57" s="180" t="s">
        <v>1661</v>
      </c>
      <c r="C57" s="180" t="s">
        <v>1666</v>
      </c>
      <c r="D57" s="180" t="s">
        <v>1692</v>
      </c>
      <c r="E57" s="180" t="s">
        <v>1664</v>
      </c>
      <c r="F57" s="181">
        <v>0.40764085714285714</v>
      </c>
      <c r="G57" s="181">
        <v>0.48286428571428569</v>
      </c>
      <c r="H57" s="181">
        <v>0.55581257142857143</v>
      </c>
      <c r="I57" s="181">
        <v>0.59450142857142851</v>
      </c>
      <c r="J57" s="181">
        <v>0.6950762857142857</v>
      </c>
      <c r="K57" s="181">
        <v>0.76935714285714285</v>
      </c>
      <c r="L57" s="181">
        <v>0.83345485714285716</v>
      </c>
      <c r="M57" s="181">
        <v>0.88635285714285716</v>
      </c>
      <c r="N57" s="181">
        <v>0.92736371428571418</v>
      </c>
      <c r="O57" s="181">
        <v>0.95998262857142858</v>
      </c>
    </row>
    <row r="58" spans="1:15" hidden="1" x14ac:dyDescent="0.25">
      <c r="A58" s="180" t="s">
        <v>1660</v>
      </c>
      <c r="B58" s="180" t="s">
        <v>1661</v>
      </c>
      <c r="C58" s="180" t="s">
        <v>1667</v>
      </c>
      <c r="D58" s="180" t="s">
        <v>1692</v>
      </c>
      <c r="E58" s="180" t="s">
        <v>1664</v>
      </c>
      <c r="F58" s="181">
        <v>1.2710137142857141</v>
      </c>
      <c r="G58" s="181">
        <v>3.128448457142857</v>
      </c>
      <c r="H58" s="181">
        <v>5.0021485714285712</v>
      </c>
      <c r="I58" s="181">
        <v>6.7351487999999993</v>
      </c>
      <c r="J58" s="181">
        <v>8.2759423999999999</v>
      </c>
      <c r="K58" s="181">
        <v>9.2949028571428567</v>
      </c>
      <c r="L58" s="181">
        <v>9.8936831999999999</v>
      </c>
      <c r="M58" s="181">
        <v>10.234976914285713</v>
      </c>
      <c r="N58" s="181">
        <v>10.3808832</v>
      </c>
      <c r="O58" s="181">
        <v>10.351240228571429</v>
      </c>
    </row>
    <row r="59" spans="1:15" hidden="1" x14ac:dyDescent="0.25">
      <c r="A59" s="180" t="s">
        <v>1660</v>
      </c>
      <c r="B59" s="180" t="s">
        <v>1661</v>
      </c>
      <c r="C59" s="180" t="s">
        <v>1668</v>
      </c>
      <c r="D59" s="180" t="s">
        <v>1692</v>
      </c>
      <c r="E59" s="180" t="s">
        <v>1664</v>
      </c>
      <c r="F59" s="181">
        <v>8.3051054687499994E-4</v>
      </c>
      <c r="G59" s="181">
        <v>2.6152252232142857E-3</v>
      </c>
      <c r="H59" s="181">
        <v>0.27387897142857143</v>
      </c>
      <c r="I59" s="181">
        <v>0.30759771428571425</v>
      </c>
      <c r="J59" s="181">
        <v>0.41575571428571428</v>
      </c>
      <c r="K59" s="181">
        <v>0.65037314285714287</v>
      </c>
      <c r="L59" s="181">
        <v>0.96613577142857143</v>
      </c>
      <c r="M59" s="181">
        <v>1.3847462857142856</v>
      </c>
      <c r="N59" s="181">
        <v>1.901612342857143</v>
      </c>
      <c r="O59" s="181">
        <v>2.4948576</v>
      </c>
    </row>
    <row r="60" spans="1:15" hidden="1" x14ac:dyDescent="0.25">
      <c r="A60" s="180" t="s">
        <v>1660</v>
      </c>
      <c r="B60" s="180" t="s">
        <v>1661</v>
      </c>
      <c r="C60" s="180" t="s">
        <v>1669</v>
      </c>
      <c r="D60" s="180" t="s">
        <v>1692</v>
      </c>
      <c r="E60" s="180" t="s">
        <v>1664</v>
      </c>
      <c r="F60" s="181">
        <v>0.10215291428571427</v>
      </c>
      <c r="G60" s="181">
        <v>0.29146028571428573</v>
      </c>
      <c r="H60" s="181">
        <v>0.60648285714285721</v>
      </c>
      <c r="I60" s="181">
        <v>0.80654000000000003</v>
      </c>
      <c r="J60" s="181">
        <v>1.7206005714285713</v>
      </c>
      <c r="K60" s="181">
        <v>2.6007190857142857</v>
      </c>
      <c r="L60" s="181">
        <v>3.6097371428571425</v>
      </c>
      <c r="M60" s="181">
        <v>4.7239771428571427</v>
      </c>
      <c r="N60" s="181">
        <v>5.8784255999999999</v>
      </c>
      <c r="O60" s="181">
        <v>7.0224799999999998</v>
      </c>
    </row>
    <row r="61" spans="1:15" hidden="1" x14ac:dyDescent="0.25">
      <c r="A61" s="180" t="s">
        <v>1660</v>
      </c>
      <c r="B61" s="180" t="s">
        <v>1661</v>
      </c>
      <c r="C61" s="180" t="s">
        <v>1670</v>
      </c>
      <c r="D61" s="180" t="s">
        <v>1692</v>
      </c>
      <c r="E61" s="180" t="s">
        <v>1664</v>
      </c>
      <c r="F61" s="181">
        <v>6.5059028571428576E-2</v>
      </c>
      <c r="G61" s="181">
        <v>0.12071071428571428</v>
      </c>
      <c r="H61" s="181">
        <v>0.19933077142857142</v>
      </c>
      <c r="I61" s="181">
        <v>0.28649171428571429</v>
      </c>
      <c r="J61" s="181">
        <v>0.44377085714285713</v>
      </c>
      <c r="K61" s="181">
        <v>0.64555799999999997</v>
      </c>
      <c r="L61" s="181">
        <v>0.85636085714285715</v>
      </c>
      <c r="M61" s="181">
        <v>1.0714234285714286</v>
      </c>
      <c r="N61" s="181">
        <v>1.2734782857142857</v>
      </c>
      <c r="O61" s="181">
        <v>1.454098857142857</v>
      </c>
    </row>
    <row r="62" spans="1:15" hidden="1" x14ac:dyDescent="0.25">
      <c r="A62" s="180" t="s">
        <v>1660</v>
      </c>
      <c r="B62" s="180" t="s">
        <v>1661</v>
      </c>
      <c r="C62" s="180" t="s">
        <v>1671</v>
      </c>
      <c r="D62" s="180" t="s">
        <v>1692</v>
      </c>
      <c r="E62" s="180" t="s">
        <v>1664</v>
      </c>
      <c r="F62" s="181">
        <v>0.94842742857142859</v>
      </c>
      <c r="G62" s="181">
        <v>0.95600799999999997</v>
      </c>
      <c r="H62" s="181">
        <v>0.98094114285714284</v>
      </c>
      <c r="I62" s="181">
        <v>0.96449714285714272</v>
      </c>
      <c r="J62" s="181">
        <v>0.97445348571428569</v>
      </c>
      <c r="K62" s="181">
        <v>0.98689965714285721</v>
      </c>
      <c r="L62" s="181">
        <v>0.98990800000000001</v>
      </c>
      <c r="M62" s="181">
        <v>0.98704937142857152</v>
      </c>
      <c r="N62" s="181">
        <v>0.98258800000000002</v>
      </c>
      <c r="O62" s="181">
        <v>0.97557691428571436</v>
      </c>
    </row>
    <row r="63" spans="1:15" hidden="1" x14ac:dyDescent="0.25">
      <c r="A63" s="180" t="s">
        <v>1660</v>
      </c>
      <c r="B63" s="180" t="s">
        <v>1661</v>
      </c>
      <c r="C63" s="180" t="s">
        <v>1672</v>
      </c>
      <c r="D63" s="180" t="s">
        <v>1692</v>
      </c>
      <c r="E63" s="180" t="s">
        <v>1664</v>
      </c>
      <c r="F63" s="181">
        <v>0.63393485714285713</v>
      </c>
      <c r="G63" s="181">
        <v>0.71143914285714283</v>
      </c>
      <c r="H63" s="181">
        <v>0.77283885714285716</v>
      </c>
      <c r="I63" s="181">
        <v>0.82052399999999992</v>
      </c>
      <c r="J63" s="181">
        <v>0.87236942857142863</v>
      </c>
      <c r="K63" s="181">
        <v>0.90770057142857141</v>
      </c>
      <c r="L63" s="181">
        <v>0.9286091428571428</v>
      </c>
      <c r="M63" s="181">
        <v>0.93645171428571428</v>
      </c>
      <c r="N63" s="181">
        <v>0.93338342857142853</v>
      </c>
      <c r="O63" s="181">
        <v>0.92076285714285722</v>
      </c>
    </row>
    <row r="64" spans="1:15" hidden="1" x14ac:dyDescent="0.25">
      <c r="A64" s="180" t="s">
        <v>1660</v>
      </c>
      <c r="B64" s="180" t="s">
        <v>1661</v>
      </c>
      <c r="C64" s="180" t="s">
        <v>1673</v>
      </c>
      <c r="D64" s="180" t="s">
        <v>1692</v>
      </c>
      <c r="E64" s="180" t="s">
        <v>1664</v>
      </c>
      <c r="F64" s="181">
        <v>0.92542542857142862</v>
      </c>
      <c r="G64" s="181">
        <v>1.1722854857142857</v>
      </c>
      <c r="H64" s="181">
        <v>1.3739339428571429</v>
      </c>
      <c r="I64" s="181">
        <v>1.5721319999999999</v>
      </c>
      <c r="J64" s="181">
        <v>1.7543531428571426</v>
      </c>
      <c r="K64" s="181">
        <v>2.0847995428571431</v>
      </c>
      <c r="L64" s="181">
        <v>2.4092132571428571</v>
      </c>
      <c r="M64" s="181">
        <v>2.7302441142857141</v>
      </c>
      <c r="N64" s="181">
        <v>3.0354514285714282</v>
      </c>
      <c r="O64" s="181">
        <v>3.3192543999999997</v>
      </c>
    </row>
    <row r="65" spans="1:15" hidden="1" x14ac:dyDescent="0.25">
      <c r="A65" s="180" t="s">
        <v>1660</v>
      </c>
      <c r="B65" s="180" t="s">
        <v>1661</v>
      </c>
      <c r="C65" s="180" t="s">
        <v>1674</v>
      </c>
      <c r="D65" s="180" t="s">
        <v>1692</v>
      </c>
      <c r="E65" s="180" t="s">
        <v>1664</v>
      </c>
      <c r="F65" s="181">
        <v>0.35227542857142857</v>
      </c>
      <c r="G65" s="181">
        <v>0.3885777142857143</v>
      </c>
      <c r="H65" s="181">
        <v>0.45439742857142856</v>
      </c>
      <c r="I65" s="181">
        <v>0.46123771428571425</v>
      </c>
      <c r="J65" s="181">
        <v>0.53180399999999994</v>
      </c>
      <c r="K65" s="181">
        <v>0.61276942857142858</v>
      </c>
      <c r="L65" s="181">
        <v>0.6928642857142856</v>
      </c>
      <c r="M65" s="181">
        <v>0.77018885714285712</v>
      </c>
      <c r="N65" s="181">
        <v>0.84211057142857138</v>
      </c>
      <c r="O65" s="181">
        <v>0.91036971428571423</v>
      </c>
    </row>
    <row r="66" spans="1:15" hidden="1" x14ac:dyDescent="0.25">
      <c r="A66" s="180" t="s">
        <v>1660</v>
      </c>
      <c r="B66" s="180" t="s">
        <v>1661</v>
      </c>
      <c r="C66" s="180" t="s">
        <v>1675</v>
      </c>
      <c r="D66" s="180" t="s">
        <v>1692</v>
      </c>
      <c r="E66" s="180" t="s">
        <v>1664</v>
      </c>
      <c r="F66" s="181">
        <v>0.12371722857142856</v>
      </c>
      <c r="G66" s="181">
        <v>0.18202517142857141</v>
      </c>
      <c r="H66" s="181">
        <v>0.19768182857142858</v>
      </c>
      <c r="I66" s="181">
        <v>0.2412872857142857</v>
      </c>
      <c r="J66" s="181">
        <v>0.27949094285714288</v>
      </c>
      <c r="K66" s="181">
        <v>0.39343485714285714</v>
      </c>
      <c r="L66" s="181">
        <v>0.519922</v>
      </c>
      <c r="M66" s="181">
        <v>0.65622685714285711</v>
      </c>
      <c r="N66" s="181">
        <v>0.79770542857142857</v>
      </c>
      <c r="O66" s="181">
        <v>0.93902685714285716</v>
      </c>
    </row>
    <row r="67" spans="1:15" hidden="1" x14ac:dyDescent="0.25">
      <c r="A67" s="180" t="s">
        <v>1660</v>
      </c>
      <c r="B67" s="180" t="s">
        <v>1661</v>
      </c>
      <c r="C67" s="180" t="s">
        <v>1676</v>
      </c>
      <c r="D67" s="180" t="s">
        <v>1692</v>
      </c>
      <c r="E67" s="180" t="s">
        <v>1664</v>
      </c>
      <c r="F67" s="181">
        <v>0.17027994285714287</v>
      </c>
      <c r="G67" s="181">
        <v>0.18836448571428571</v>
      </c>
      <c r="H67" s="181">
        <v>0.20826677142857142</v>
      </c>
      <c r="I67" s="181">
        <v>0.22428142857142858</v>
      </c>
      <c r="J67" s="181">
        <v>0.24721471428571426</v>
      </c>
      <c r="K67" s="181">
        <v>0.26796757142857142</v>
      </c>
      <c r="L67" s="181">
        <v>0.28786028571428568</v>
      </c>
      <c r="M67" s="181">
        <v>0.30761142857142854</v>
      </c>
      <c r="N67" s="181">
        <v>0.32736199999999999</v>
      </c>
      <c r="O67" s="181">
        <v>0.34631285714285709</v>
      </c>
    </row>
    <row r="68" spans="1:15" hidden="1" x14ac:dyDescent="0.25">
      <c r="A68" s="180" t="s">
        <v>1660</v>
      </c>
      <c r="B68" s="180" t="s">
        <v>1661</v>
      </c>
      <c r="C68" s="180" t="s">
        <v>1677</v>
      </c>
      <c r="D68" s="180" t="s">
        <v>1692</v>
      </c>
      <c r="E68" s="180" t="s">
        <v>1664</v>
      </c>
      <c r="F68" s="181">
        <v>0.14505331428571427</v>
      </c>
      <c r="G68" s="181">
        <v>0.1733788</v>
      </c>
      <c r="H68" s="181">
        <v>0.2095484</v>
      </c>
      <c r="I68" s="181">
        <v>0.22584119999999999</v>
      </c>
      <c r="J68" s="181">
        <v>0.27520502857142853</v>
      </c>
      <c r="K68" s="181">
        <v>0.33871628571428569</v>
      </c>
      <c r="L68" s="181">
        <v>0.40431657142857141</v>
      </c>
      <c r="M68" s="181">
        <v>0.47212171428571426</v>
      </c>
      <c r="N68" s="181">
        <v>0.53960285714285716</v>
      </c>
      <c r="O68" s="181">
        <v>0.60165314285714278</v>
      </c>
    </row>
    <row r="69" spans="1:15" hidden="1" x14ac:dyDescent="0.25">
      <c r="A69" s="180" t="s">
        <v>1660</v>
      </c>
      <c r="B69" s="180" t="s">
        <v>1661</v>
      </c>
      <c r="C69" s="180" t="s">
        <v>1678</v>
      </c>
      <c r="D69" s="180" t="s">
        <v>1692</v>
      </c>
      <c r="E69" s="180" t="s">
        <v>1664</v>
      </c>
      <c r="F69" s="181">
        <v>3.1832886160714285E-3</v>
      </c>
      <c r="G69" s="181">
        <v>9.4105196428571417E-3</v>
      </c>
      <c r="H69" s="181">
        <v>1.6558614285714285E-2</v>
      </c>
      <c r="I69" s="181">
        <v>2.1873551785714283E-2</v>
      </c>
      <c r="J69" s="181">
        <v>3.3235971428571431E-2</v>
      </c>
      <c r="K69" s="181">
        <v>5.3569828571428571E-2</v>
      </c>
      <c r="L69" s="181">
        <v>8.2129057142857148E-2</v>
      </c>
      <c r="M69" s="181">
        <v>0.12789482857142859</v>
      </c>
      <c r="N69" s="181">
        <v>0.20083882857142857</v>
      </c>
      <c r="O69" s="181">
        <v>0.31132257142857139</v>
      </c>
    </row>
    <row r="70" spans="1:15" hidden="1" x14ac:dyDescent="0.25">
      <c r="A70" s="180" t="s">
        <v>1660</v>
      </c>
      <c r="B70" s="180" t="s">
        <v>1661</v>
      </c>
      <c r="C70" s="180" t="s">
        <v>1679</v>
      </c>
      <c r="D70" s="180" t="s">
        <v>1692</v>
      </c>
      <c r="E70" s="180" t="s">
        <v>1664</v>
      </c>
      <c r="F70" s="181">
        <v>0.36452857142857142</v>
      </c>
      <c r="G70" s="181">
        <v>0.50729657142857143</v>
      </c>
      <c r="H70" s="181">
        <v>0.48158399999999996</v>
      </c>
      <c r="I70" s="181">
        <v>0.50605457142857146</v>
      </c>
      <c r="J70" s="181">
        <v>0.6254371428571428</v>
      </c>
      <c r="K70" s="181">
        <v>0.75693371428571432</v>
      </c>
      <c r="L70" s="181">
        <v>0.88950171428571423</v>
      </c>
      <c r="M70" s="181">
        <v>1.0221634285714285</v>
      </c>
      <c r="N70" s="181">
        <v>1.1519234285714284</v>
      </c>
      <c r="O70" s="181">
        <v>1.2768608000000001</v>
      </c>
    </row>
    <row r="71" spans="1:15" hidden="1" x14ac:dyDescent="0.25">
      <c r="A71" s="180" t="s">
        <v>1660</v>
      </c>
      <c r="B71" s="180" t="s">
        <v>1661</v>
      </c>
      <c r="C71" s="180" t="s">
        <v>1680</v>
      </c>
      <c r="D71" s="180" t="s">
        <v>1692</v>
      </c>
      <c r="E71" s="180" t="s">
        <v>1664</v>
      </c>
      <c r="F71" s="181">
        <v>1.198046607142857E-2</v>
      </c>
      <c r="G71" s="181">
        <v>2.412380357142857E-2</v>
      </c>
      <c r="H71" s="181">
        <v>4.5134514285714279E-2</v>
      </c>
      <c r="I71" s="181">
        <v>6.4096142857142852E-2</v>
      </c>
      <c r="J71" s="181">
        <v>9.039682857142857E-2</v>
      </c>
      <c r="K71" s="181">
        <v>0.15990968571428571</v>
      </c>
      <c r="L71" s="181">
        <v>0.26130779999999998</v>
      </c>
      <c r="M71" s="181">
        <v>0.40792799999999996</v>
      </c>
      <c r="N71" s="181">
        <v>0.60719685714285709</v>
      </c>
      <c r="O71" s="181">
        <v>0.86362114285714286</v>
      </c>
    </row>
    <row r="72" spans="1:15" hidden="1" x14ac:dyDescent="0.25">
      <c r="A72" s="180" t="s">
        <v>1660</v>
      </c>
      <c r="B72" s="180" t="s">
        <v>1661</v>
      </c>
      <c r="C72" s="180" t="s">
        <v>1681</v>
      </c>
      <c r="D72" s="180" t="s">
        <v>1692</v>
      </c>
      <c r="E72" s="180" t="s">
        <v>1664</v>
      </c>
      <c r="F72" s="181">
        <v>0.45883057142857137</v>
      </c>
      <c r="G72" s="181">
        <v>0.57057199999999997</v>
      </c>
      <c r="H72" s="181">
        <v>0.61964685714285705</v>
      </c>
      <c r="I72" s="181">
        <v>0.6351808571428571</v>
      </c>
      <c r="J72" s="181">
        <v>0.71147771428571416</v>
      </c>
      <c r="K72" s="181">
        <v>0.79854257142857143</v>
      </c>
      <c r="L72" s="181">
        <v>0.86451457142857135</v>
      </c>
      <c r="M72" s="181">
        <v>0.9155685714285714</v>
      </c>
      <c r="N72" s="181">
        <v>0.95191657142857133</v>
      </c>
      <c r="O72" s="181">
        <v>0.97792251428571431</v>
      </c>
    </row>
    <row r="73" spans="1:15" hidden="1" x14ac:dyDescent="0.25">
      <c r="A73" s="180" t="s">
        <v>1660</v>
      </c>
      <c r="B73" s="180" t="s">
        <v>1661</v>
      </c>
      <c r="C73" s="180" t="s">
        <v>1682</v>
      </c>
      <c r="D73" s="180" t="s">
        <v>1692</v>
      </c>
      <c r="E73" s="180" t="s">
        <v>1664</v>
      </c>
      <c r="F73" s="181">
        <v>9.4369399999999992E-2</v>
      </c>
      <c r="G73" s="181">
        <v>0.116007</v>
      </c>
      <c r="H73" s="181">
        <v>0.12991314285714284</v>
      </c>
      <c r="I73" s="181">
        <v>0.12902174285714285</v>
      </c>
      <c r="J73" s="181">
        <v>0.14513519999999999</v>
      </c>
      <c r="K73" s="181">
        <v>0.17939914285714284</v>
      </c>
      <c r="L73" s="181">
        <v>0.21321794285714285</v>
      </c>
      <c r="M73" s="181">
        <v>0.24640762857142856</v>
      </c>
      <c r="N73" s="181">
        <v>0.27787854285714286</v>
      </c>
      <c r="O73" s="181">
        <v>0.3071977142857143</v>
      </c>
    </row>
    <row r="74" spans="1:15" hidden="1" x14ac:dyDescent="0.25">
      <c r="A74" s="180" t="s">
        <v>1660</v>
      </c>
      <c r="B74" s="180" t="s">
        <v>1661</v>
      </c>
      <c r="C74" s="180" t="s">
        <v>1683</v>
      </c>
      <c r="D74" s="180" t="s">
        <v>1692</v>
      </c>
      <c r="E74" s="180" t="s">
        <v>1664</v>
      </c>
      <c r="F74" s="181">
        <v>0.23402305714285712</v>
      </c>
      <c r="G74" s="181">
        <v>0.37866342857142854</v>
      </c>
      <c r="H74" s="181">
        <v>0.57507457142857143</v>
      </c>
      <c r="I74" s="181">
        <v>0.72458571428571428</v>
      </c>
      <c r="J74" s="181">
        <v>1.0372714285714284</v>
      </c>
      <c r="K74" s="181">
        <v>1.3585902857142858</v>
      </c>
      <c r="L74" s="181">
        <v>1.6819556571428571</v>
      </c>
      <c r="M74" s="181">
        <v>2.0108434285714285</v>
      </c>
      <c r="N74" s="181">
        <v>2.3315017142857144</v>
      </c>
      <c r="O74" s="181">
        <v>2.6320765714285717</v>
      </c>
    </row>
    <row r="75" spans="1:15" hidden="1" x14ac:dyDescent="0.25">
      <c r="A75" s="180" t="s">
        <v>1660</v>
      </c>
      <c r="B75" s="180" t="s">
        <v>1661</v>
      </c>
      <c r="C75" s="180" t="s">
        <v>1684</v>
      </c>
      <c r="D75" s="180" t="s">
        <v>1692</v>
      </c>
      <c r="E75" s="180" t="s">
        <v>1664</v>
      </c>
      <c r="F75" s="181">
        <v>2.6017060714285715E-2</v>
      </c>
      <c r="G75" s="181">
        <v>5.16514E-2</v>
      </c>
      <c r="H75" s="181">
        <v>8.4217285714285703E-2</v>
      </c>
      <c r="I75" s="181">
        <v>0.11094205714285714</v>
      </c>
      <c r="J75" s="181">
        <v>0.14472345714285714</v>
      </c>
      <c r="K75" s="181">
        <v>0.19719291428571428</v>
      </c>
      <c r="L75" s="181">
        <v>0.2473910857142857</v>
      </c>
      <c r="M75" s="181">
        <v>0.29172599999999999</v>
      </c>
      <c r="N75" s="181">
        <v>0.32862742857142851</v>
      </c>
      <c r="O75" s="181">
        <v>0.3572042857142857</v>
      </c>
    </row>
    <row r="76" spans="1:15" hidden="1" x14ac:dyDescent="0.25">
      <c r="A76" s="180" t="s">
        <v>1660</v>
      </c>
      <c r="B76" s="180" t="s">
        <v>1661</v>
      </c>
      <c r="C76" s="180" t="s">
        <v>1685</v>
      </c>
      <c r="D76" s="180" t="s">
        <v>1692</v>
      </c>
      <c r="E76" s="180" t="s">
        <v>1664</v>
      </c>
      <c r="F76" s="181">
        <v>0.18367714285714287</v>
      </c>
      <c r="G76" s="181">
        <v>0.21699597142857141</v>
      </c>
      <c r="H76" s="181">
        <v>0.31122028571428567</v>
      </c>
      <c r="I76" s="181">
        <v>0.35011371428571431</v>
      </c>
      <c r="J76" s="181">
        <v>0.40722714285714284</v>
      </c>
      <c r="K76" s="181">
        <v>0.4631068571428571</v>
      </c>
      <c r="L76" s="181">
        <v>0.5129488571428571</v>
      </c>
      <c r="M76" s="181">
        <v>0.55993485714285707</v>
      </c>
      <c r="N76" s="181">
        <v>0.60232542857142857</v>
      </c>
      <c r="O76" s="181">
        <v>0.63965828571428573</v>
      </c>
    </row>
    <row r="77" spans="1:15" hidden="1" x14ac:dyDescent="0.25">
      <c r="A77" s="180" t="s">
        <v>1660</v>
      </c>
      <c r="B77" s="180" t="s">
        <v>1661</v>
      </c>
      <c r="C77" s="180" t="s">
        <v>1686</v>
      </c>
      <c r="D77" s="180" t="s">
        <v>1692</v>
      </c>
      <c r="E77" s="180" t="s">
        <v>1664</v>
      </c>
      <c r="F77" s="181">
        <v>6.5384942857142844E-2</v>
      </c>
      <c r="G77" s="181">
        <v>8.499794285714285E-2</v>
      </c>
      <c r="H77" s="181">
        <v>7.8098828571428566E-2</v>
      </c>
      <c r="I77" s="181">
        <v>8.9426314285714278E-2</v>
      </c>
      <c r="J77" s="181">
        <v>0.11299934285714286</v>
      </c>
      <c r="K77" s="181">
        <v>0.14216951428571428</v>
      </c>
      <c r="L77" s="181">
        <v>0.17023079999999999</v>
      </c>
      <c r="M77" s="181">
        <v>0.19574005714285714</v>
      </c>
      <c r="N77" s="181">
        <v>0.21770545714285713</v>
      </c>
      <c r="O77" s="181">
        <v>0.23645574285714283</v>
      </c>
    </row>
    <row r="78" spans="1:15" hidden="1" x14ac:dyDescent="0.25">
      <c r="A78" s="180" t="s">
        <v>1660</v>
      </c>
      <c r="B78" s="180" t="s">
        <v>1661</v>
      </c>
      <c r="C78" s="180" t="s">
        <v>18</v>
      </c>
      <c r="D78" s="180" t="s">
        <v>1692</v>
      </c>
      <c r="E78" s="180" t="s">
        <v>1664</v>
      </c>
      <c r="F78" s="181">
        <v>2.4277389714285711</v>
      </c>
      <c r="G78" s="181">
        <v>2.5193522285714285</v>
      </c>
      <c r="H78" s="181">
        <v>2.7112045714285711</v>
      </c>
      <c r="I78" s="181">
        <v>2.8546399999999998</v>
      </c>
      <c r="J78" s="181">
        <v>3.0724171428571427</v>
      </c>
      <c r="K78" s="181">
        <v>3.2669714285714284</v>
      </c>
      <c r="L78" s="181">
        <v>3.4401314285714282</v>
      </c>
      <c r="M78" s="181">
        <v>3.5983113142857142</v>
      </c>
      <c r="N78" s="181">
        <v>3.7425257142857138</v>
      </c>
      <c r="O78" s="181">
        <v>3.87432</v>
      </c>
    </row>
    <row r="79" spans="1:15" hidden="1" x14ac:dyDescent="0.25">
      <c r="A79" s="180" t="s">
        <v>1660</v>
      </c>
      <c r="B79" s="180" t="s">
        <v>1661</v>
      </c>
      <c r="C79" s="180" t="s">
        <v>1687</v>
      </c>
      <c r="D79" s="180" t="s">
        <v>1692</v>
      </c>
      <c r="E79" s="180" t="s">
        <v>1664</v>
      </c>
      <c r="F79" s="181">
        <v>5.9470941964285713E-3</v>
      </c>
      <c r="G79" s="181">
        <v>1.2076862499999999E-2</v>
      </c>
      <c r="H79" s="181">
        <v>2.097560357142857E-2</v>
      </c>
      <c r="I79" s="181">
        <v>2.7178548214285714E-2</v>
      </c>
      <c r="J79" s="181">
        <v>4.3045257142857139E-2</v>
      </c>
      <c r="K79" s="181">
        <v>9.3850857142857139E-2</v>
      </c>
      <c r="L79" s="181">
        <v>0.18218608571428571</v>
      </c>
      <c r="M79" s="181">
        <v>0.33034942857142857</v>
      </c>
      <c r="N79" s="181">
        <v>0.56538828571428568</v>
      </c>
      <c r="O79" s="181">
        <v>0.91705542857142852</v>
      </c>
    </row>
    <row r="80" spans="1:15" hidden="1" x14ac:dyDescent="0.25">
      <c r="A80" s="180" t="s">
        <v>1660</v>
      </c>
      <c r="B80" s="180" t="s">
        <v>1661</v>
      </c>
      <c r="C80" s="180" t="s">
        <v>1688</v>
      </c>
      <c r="D80" s="180" t="s">
        <v>1692</v>
      </c>
      <c r="E80" s="180" t="s">
        <v>1664</v>
      </c>
      <c r="F80" s="181">
        <v>2.5648292571428573</v>
      </c>
      <c r="G80" s="181">
        <v>2.6604553142857141</v>
      </c>
      <c r="H80" s="181">
        <v>2.7615266285714286</v>
      </c>
      <c r="I80" s="181">
        <v>2.7245803428571427</v>
      </c>
      <c r="J80" s="181">
        <v>2.9970770285714283</v>
      </c>
      <c r="K80" s="181">
        <v>3.1705371428571429</v>
      </c>
      <c r="L80" s="181">
        <v>3.347228571428571</v>
      </c>
      <c r="M80" s="181">
        <v>3.5306628571428571</v>
      </c>
      <c r="N80" s="181">
        <v>3.7101055999999994</v>
      </c>
      <c r="O80" s="181">
        <v>3.8787314285714283</v>
      </c>
    </row>
    <row r="81" spans="1:15" hidden="1" x14ac:dyDescent="0.25">
      <c r="A81" s="180" t="s">
        <v>1660</v>
      </c>
      <c r="B81" s="180" t="s">
        <v>1661</v>
      </c>
      <c r="C81" s="180" t="s">
        <v>1662</v>
      </c>
      <c r="D81" s="180" t="s">
        <v>1693</v>
      </c>
      <c r="E81" s="180" t="s">
        <v>1664</v>
      </c>
      <c r="F81" s="181">
        <v>5.9680285714285713E-2</v>
      </c>
      <c r="G81" s="181">
        <v>7.9742399999999991E-2</v>
      </c>
      <c r="H81" s="181">
        <v>8.4895285714285715E-2</v>
      </c>
      <c r="I81" s="181">
        <v>8.5525571428571423E-2</v>
      </c>
      <c r="J81" s="181">
        <v>0.10043779999999999</v>
      </c>
      <c r="K81" s="181">
        <v>0.11690442857142855</v>
      </c>
      <c r="L81" s="181">
        <v>0.13193539999999998</v>
      </c>
      <c r="M81" s="181">
        <v>0.14653302857142855</v>
      </c>
      <c r="N81" s="181">
        <v>0.16024417142857142</v>
      </c>
      <c r="O81" s="181">
        <v>0.17268448571428571</v>
      </c>
    </row>
    <row r="82" spans="1:15" hidden="1" x14ac:dyDescent="0.25">
      <c r="A82" s="180" t="s">
        <v>1660</v>
      </c>
      <c r="B82" s="180" t="s">
        <v>1661</v>
      </c>
      <c r="C82" s="180" t="s">
        <v>1665</v>
      </c>
      <c r="D82" s="180" t="s">
        <v>1693</v>
      </c>
      <c r="E82" s="180" t="s">
        <v>1664</v>
      </c>
      <c r="F82" s="181">
        <v>3.5724485714285714E-2</v>
      </c>
      <c r="G82" s="181">
        <v>3.7876742857142855E-2</v>
      </c>
      <c r="H82" s="181">
        <v>4.0739657142857141E-2</v>
      </c>
      <c r="I82" s="181">
        <v>4.2539971428571431E-2</v>
      </c>
      <c r="J82" s="181">
        <v>4.5600485714285717E-2</v>
      </c>
      <c r="K82" s="181">
        <v>4.8460428571428564E-2</v>
      </c>
      <c r="L82" s="181">
        <v>5.1280799999999994E-2</v>
      </c>
      <c r="M82" s="181">
        <v>5.4058971428571426E-2</v>
      </c>
      <c r="N82" s="181">
        <v>5.6750799999999997E-2</v>
      </c>
      <c r="O82" s="181">
        <v>5.933602857142857E-2</v>
      </c>
    </row>
    <row r="83" spans="1:15" hidden="1" x14ac:dyDescent="0.25">
      <c r="A83" s="180" t="s">
        <v>1660</v>
      </c>
      <c r="B83" s="180" t="s">
        <v>1661</v>
      </c>
      <c r="C83" s="180" t="s">
        <v>1666</v>
      </c>
      <c r="D83" s="180" t="s">
        <v>1693</v>
      </c>
      <c r="E83" s="180" t="s">
        <v>1664</v>
      </c>
      <c r="F83" s="181">
        <v>6.4851942857142852E-2</v>
      </c>
      <c r="G83" s="181">
        <v>7.6819342857142855E-2</v>
      </c>
      <c r="H83" s="181">
        <v>8.8424742857142843E-2</v>
      </c>
      <c r="I83" s="181">
        <v>9.4579771428571435E-2</v>
      </c>
      <c r="J83" s="181">
        <v>0.11058034285714285</v>
      </c>
      <c r="K83" s="181">
        <v>0.12239774285714285</v>
      </c>
      <c r="L83" s="181">
        <v>0.13259508571428572</v>
      </c>
      <c r="M83" s="181">
        <v>0.14101071428571427</v>
      </c>
      <c r="N83" s="181">
        <v>0.14753514285714286</v>
      </c>
      <c r="O83" s="181">
        <v>0.15272451428571429</v>
      </c>
    </row>
    <row r="84" spans="1:15" hidden="1" x14ac:dyDescent="0.25">
      <c r="A84" s="180" t="s">
        <v>1660</v>
      </c>
      <c r="B84" s="180" t="s">
        <v>1661</v>
      </c>
      <c r="C84" s="180" t="s">
        <v>1667</v>
      </c>
      <c r="D84" s="180" t="s">
        <v>1693</v>
      </c>
      <c r="E84" s="180" t="s">
        <v>1664</v>
      </c>
      <c r="F84" s="181">
        <v>0.20220674285714285</v>
      </c>
      <c r="G84" s="181">
        <v>0.49770771428571425</v>
      </c>
      <c r="H84" s="181">
        <v>0.79579628571428573</v>
      </c>
      <c r="I84" s="181">
        <v>1.0715007999999999</v>
      </c>
      <c r="J84" s="181">
        <v>1.3166272000000001</v>
      </c>
      <c r="K84" s="181">
        <v>1.4787346285714285</v>
      </c>
      <c r="L84" s="181">
        <v>1.5739951999999999</v>
      </c>
      <c r="M84" s="181">
        <v>1.628291657142857</v>
      </c>
      <c r="N84" s="181">
        <v>1.6515039999999999</v>
      </c>
      <c r="O84" s="181">
        <v>1.6467883428571428</v>
      </c>
    </row>
    <row r="85" spans="1:15" hidden="1" x14ac:dyDescent="0.25">
      <c r="A85" s="180" t="s">
        <v>1660</v>
      </c>
      <c r="B85" s="180" t="s">
        <v>1661</v>
      </c>
      <c r="C85" s="180" t="s">
        <v>1668</v>
      </c>
      <c r="D85" s="180" t="s">
        <v>1693</v>
      </c>
      <c r="E85" s="180" t="s">
        <v>1664</v>
      </c>
      <c r="F85" s="181">
        <v>1.3212671595982145E-4</v>
      </c>
      <c r="G85" s="181">
        <v>4.1605856584821428E-4</v>
      </c>
      <c r="H85" s="181">
        <v>4.3571657142857143E-2</v>
      </c>
      <c r="I85" s="181">
        <v>4.8935999999999993E-2</v>
      </c>
      <c r="J85" s="181">
        <v>6.6142942857142853E-2</v>
      </c>
      <c r="K85" s="181">
        <v>0.10346845714285714</v>
      </c>
      <c r="L85" s="181">
        <v>0.15370339999999999</v>
      </c>
      <c r="M85" s="181">
        <v>0.22030057142857143</v>
      </c>
      <c r="N85" s="181">
        <v>0.30252914285714283</v>
      </c>
      <c r="O85" s="181">
        <v>0.39690914285714285</v>
      </c>
    </row>
    <row r="86" spans="1:15" hidden="1" x14ac:dyDescent="0.25">
      <c r="A86" s="180" t="s">
        <v>1660</v>
      </c>
      <c r="B86" s="180" t="s">
        <v>1661</v>
      </c>
      <c r="C86" s="180" t="s">
        <v>1669</v>
      </c>
      <c r="D86" s="180" t="s">
        <v>1693</v>
      </c>
      <c r="E86" s="180" t="s">
        <v>1664</v>
      </c>
      <c r="F86" s="181">
        <v>1.6251599999999998E-2</v>
      </c>
      <c r="G86" s="181">
        <v>4.6368685714285714E-2</v>
      </c>
      <c r="H86" s="181">
        <v>9.6485885714285707E-2</v>
      </c>
      <c r="I86" s="181">
        <v>0.12831319999999999</v>
      </c>
      <c r="J86" s="181">
        <v>0.27373191428571431</v>
      </c>
      <c r="K86" s="181">
        <v>0.41375085714285714</v>
      </c>
      <c r="L86" s="181">
        <v>0.57427628571428568</v>
      </c>
      <c r="M86" s="181">
        <v>0.75154200000000004</v>
      </c>
      <c r="N86" s="181">
        <v>0.93520400000000004</v>
      </c>
      <c r="O86" s="181">
        <v>1.1172125714285714</v>
      </c>
    </row>
    <row r="87" spans="1:15" hidden="1" x14ac:dyDescent="0.25">
      <c r="A87" s="180" t="s">
        <v>1660</v>
      </c>
      <c r="B87" s="180" t="s">
        <v>1661</v>
      </c>
      <c r="C87" s="180" t="s">
        <v>1670</v>
      </c>
      <c r="D87" s="180" t="s">
        <v>1693</v>
      </c>
      <c r="E87" s="180" t="s">
        <v>1664</v>
      </c>
      <c r="F87" s="181">
        <v>1.0350302678571427E-2</v>
      </c>
      <c r="G87" s="181">
        <v>1.9203980357142856E-2</v>
      </c>
      <c r="H87" s="181">
        <v>3.1711714285714288E-2</v>
      </c>
      <c r="I87" s="181">
        <v>4.557822857142857E-2</v>
      </c>
      <c r="J87" s="181">
        <v>7.0599914285714285E-2</v>
      </c>
      <c r="K87" s="181">
        <v>0.10270242857142857</v>
      </c>
      <c r="L87" s="181">
        <v>0.13623922857142856</v>
      </c>
      <c r="M87" s="181">
        <v>0.17045374285714285</v>
      </c>
      <c r="N87" s="181">
        <v>0.20259882857142855</v>
      </c>
      <c r="O87" s="181">
        <v>0.23133391428571426</v>
      </c>
    </row>
    <row r="88" spans="1:15" hidden="1" x14ac:dyDescent="0.25">
      <c r="A88" s="180" t="s">
        <v>1660</v>
      </c>
      <c r="B88" s="180" t="s">
        <v>1661</v>
      </c>
      <c r="C88" s="180" t="s">
        <v>1671</v>
      </c>
      <c r="D88" s="180" t="s">
        <v>1693</v>
      </c>
      <c r="E88" s="180" t="s">
        <v>1664</v>
      </c>
      <c r="F88" s="181">
        <v>0.15088617142857144</v>
      </c>
      <c r="G88" s="181">
        <v>0.15209220000000001</v>
      </c>
      <c r="H88" s="181">
        <v>0.15605882857142858</v>
      </c>
      <c r="I88" s="181">
        <v>0.15344274285714285</v>
      </c>
      <c r="J88" s="181">
        <v>0.15502668571428571</v>
      </c>
      <c r="K88" s="181">
        <v>0.15700677142857142</v>
      </c>
      <c r="L88" s="181">
        <v>0.15748534285714286</v>
      </c>
      <c r="M88" s="181">
        <v>0.15703059999999999</v>
      </c>
      <c r="N88" s="181">
        <v>0.15632080000000001</v>
      </c>
      <c r="O88" s="181">
        <v>0.15520542857142855</v>
      </c>
    </row>
    <row r="89" spans="1:15" hidden="1" x14ac:dyDescent="0.25">
      <c r="A89" s="180" t="s">
        <v>1660</v>
      </c>
      <c r="B89" s="180" t="s">
        <v>1661</v>
      </c>
      <c r="C89" s="180" t="s">
        <v>1672</v>
      </c>
      <c r="D89" s="180" t="s">
        <v>1693</v>
      </c>
      <c r="E89" s="180" t="s">
        <v>1664</v>
      </c>
      <c r="F89" s="181">
        <v>0.10085325714285714</v>
      </c>
      <c r="G89" s="181">
        <v>0.11318351428571428</v>
      </c>
      <c r="H89" s="181">
        <v>0.12295162857142858</v>
      </c>
      <c r="I89" s="181">
        <v>0.13053791428571429</v>
      </c>
      <c r="J89" s="181">
        <v>0.13878605714285713</v>
      </c>
      <c r="K89" s="181">
        <v>0.14440691428571428</v>
      </c>
      <c r="L89" s="181">
        <v>0.14773328571428571</v>
      </c>
      <c r="M89" s="181">
        <v>0.14898097142857142</v>
      </c>
      <c r="N89" s="181">
        <v>0.14849285714285712</v>
      </c>
      <c r="O89" s="181">
        <v>0.14648502857142856</v>
      </c>
    </row>
    <row r="90" spans="1:15" hidden="1" x14ac:dyDescent="0.25">
      <c r="A90" s="180" t="s">
        <v>1660</v>
      </c>
      <c r="B90" s="180" t="s">
        <v>1661</v>
      </c>
      <c r="C90" s="180" t="s">
        <v>1673</v>
      </c>
      <c r="D90" s="180" t="s">
        <v>1693</v>
      </c>
      <c r="E90" s="180" t="s">
        <v>1664</v>
      </c>
      <c r="F90" s="181">
        <v>0.14722677142857141</v>
      </c>
      <c r="G90" s="181">
        <v>0.18649997142857141</v>
      </c>
      <c r="H90" s="181">
        <v>0.21858042857142856</v>
      </c>
      <c r="I90" s="181">
        <v>0.25011191428571428</v>
      </c>
      <c r="J90" s="181">
        <v>0.27910162857142856</v>
      </c>
      <c r="K90" s="181">
        <v>0.33167257142857143</v>
      </c>
      <c r="L90" s="181">
        <v>0.38328400000000001</v>
      </c>
      <c r="M90" s="181">
        <v>0.43435714285714283</v>
      </c>
      <c r="N90" s="181">
        <v>0.48291285714285714</v>
      </c>
      <c r="O90" s="181">
        <v>0.52806342857142852</v>
      </c>
    </row>
    <row r="91" spans="1:15" hidden="1" x14ac:dyDescent="0.25">
      <c r="A91" s="180" t="s">
        <v>1660</v>
      </c>
      <c r="B91" s="180" t="s">
        <v>1661</v>
      </c>
      <c r="C91" s="180" t="s">
        <v>1674</v>
      </c>
      <c r="D91" s="180" t="s">
        <v>1693</v>
      </c>
      <c r="E91" s="180" t="s">
        <v>1664</v>
      </c>
      <c r="F91" s="181">
        <v>5.6043828571428568E-2</v>
      </c>
      <c r="G91" s="181">
        <v>6.1819171428571427E-2</v>
      </c>
      <c r="H91" s="181">
        <v>7.2290514285714272E-2</v>
      </c>
      <c r="I91" s="181">
        <v>7.3378742857142853E-2</v>
      </c>
      <c r="J91" s="181">
        <v>8.4605200000000005E-2</v>
      </c>
      <c r="K91" s="181">
        <v>9.7486057142857144E-2</v>
      </c>
      <c r="L91" s="181">
        <v>0.11022842857142856</v>
      </c>
      <c r="M91" s="181">
        <v>0.1225300857142857</v>
      </c>
      <c r="N91" s="181">
        <v>0.13397217142857143</v>
      </c>
      <c r="O91" s="181">
        <v>0.14483154285714284</v>
      </c>
    </row>
    <row r="92" spans="1:15" hidden="1" x14ac:dyDescent="0.25">
      <c r="A92" s="180" t="s">
        <v>1660</v>
      </c>
      <c r="B92" s="180" t="s">
        <v>1661</v>
      </c>
      <c r="C92" s="180" t="s">
        <v>1675</v>
      </c>
      <c r="D92" s="180" t="s">
        <v>1693</v>
      </c>
      <c r="E92" s="180" t="s">
        <v>1664</v>
      </c>
      <c r="F92" s="181">
        <v>1.9682285714285711E-2</v>
      </c>
      <c r="G92" s="181">
        <v>2.8958542857142857E-2</v>
      </c>
      <c r="H92" s="181">
        <v>3.1449371428571425E-2</v>
      </c>
      <c r="I92" s="181">
        <v>3.838662857142857E-2</v>
      </c>
      <c r="J92" s="181">
        <v>4.4464485714285712E-2</v>
      </c>
      <c r="K92" s="181">
        <v>6.2591914285714284E-2</v>
      </c>
      <c r="L92" s="181">
        <v>8.2714857142857132E-2</v>
      </c>
      <c r="M92" s="181">
        <v>0.10439974285714286</v>
      </c>
      <c r="N92" s="181">
        <v>0.12690768571428571</v>
      </c>
      <c r="O92" s="181">
        <v>0.14939065714285713</v>
      </c>
    </row>
    <row r="93" spans="1:15" hidden="1" x14ac:dyDescent="0.25">
      <c r="A93" s="180" t="s">
        <v>1660</v>
      </c>
      <c r="B93" s="180" t="s">
        <v>1661</v>
      </c>
      <c r="C93" s="180" t="s">
        <v>1676</v>
      </c>
      <c r="D93" s="180" t="s">
        <v>1693</v>
      </c>
      <c r="E93" s="180" t="s">
        <v>1664</v>
      </c>
      <c r="F93" s="181">
        <v>2.7089991071428569E-2</v>
      </c>
      <c r="G93" s="181">
        <v>2.9967085714285715E-2</v>
      </c>
      <c r="H93" s="181">
        <v>3.313334285714286E-2</v>
      </c>
      <c r="I93" s="181">
        <v>3.5681142857142856E-2</v>
      </c>
      <c r="J93" s="181">
        <v>3.932962857142857E-2</v>
      </c>
      <c r="K93" s="181">
        <v>4.2631200000000001E-2</v>
      </c>
      <c r="L93" s="181">
        <v>4.5795942857142856E-2</v>
      </c>
      <c r="M93" s="181">
        <v>4.8938200000000001E-2</v>
      </c>
      <c r="N93" s="181">
        <v>5.2080314285714281E-2</v>
      </c>
      <c r="O93" s="181">
        <v>5.5095228571428567E-2</v>
      </c>
    </row>
    <row r="94" spans="1:15" hidden="1" x14ac:dyDescent="0.25">
      <c r="A94" s="180" t="s">
        <v>1660</v>
      </c>
      <c r="B94" s="180" t="s">
        <v>1661</v>
      </c>
      <c r="C94" s="180" t="s">
        <v>1677</v>
      </c>
      <c r="D94" s="180" t="s">
        <v>1693</v>
      </c>
      <c r="E94" s="180" t="s">
        <v>1664</v>
      </c>
      <c r="F94" s="181">
        <v>2.3076666071428571E-2</v>
      </c>
      <c r="G94" s="181">
        <v>2.7582989285714284E-2</v>
      </c>
      <c r="H94" s="181">
        <v>3.3337257142857145E-2</v>
      </c>
      <c r="I94" s="181">
        <v>3.5929285714285712E-2</v>
      </c>
      <c r="J94" s="181">
        <v>4.3782628571428568E-2</v>
      </c>
      <c r="K94" s="181">
        <v>5.3886685714285711E-2</v>
      </c>
      <c r="L94" s="181">
        <v>6.4323085714285716E-2</v>
      </c>
      <c r="M94" s="181">
        <v>7.5110285714285713E-2</v>
      </c>
      <c r="N94" s="181">
        <v>8.5845914285714281E-2</v>
      </c>
      <c r="O94" s="181">
        <v>9.5717571428571416E-2</v>
      </c>
    </row>
    <row r="95" spans="1:15" hidden="1" x14ac:dyDescent="0.25">
      <c r="A95" s="180" t="s">
        <v>1660</v>
      </c>
      <c r="B95" s="180" t="s">
        <v>1661</v>
      </c>
      <c r="C95" s="180" t="s">
        <v>1678</v>
      </c>
      <c r="D95" s="180" t="s">
        <v>1693</v>
      </c>
      <c r="E95" s="180" t="s">
        <v>1664</v>
      </c>
      <c r="F95" s="181">
        <v>5.0643231026785711E-4</v>
      </c>
      <c r="G95" s="181">
        <v>1.497128013392857E-3</v>
      </c>
      <c r="H95" s="181">
        <v>2.6343252232142855E-3</v>
      </c>
      <c r="I95" s="181">
        <v>3.4798828124999997E-3</v>
      </c>
      <c r="J95" s="181">
        <v>5.2875428571428568E-3</v>
      </c>
      <c r="K95" s="181">
        <v>8.5224741071428575E-3</v>
      </c>
      <c r="L95" s="181">
        <v>1.3065985714285714E-2</v>
      </c>
      <c r="M95" s="181">
        <v>2.0346903571428571E-2</v>
      </c>
      <c r="N95" s="181">
        <v>3.1951628571428567E-2</v>
      </c>
      <c r="O95" s="181">
        <v>4.9528571428571422E-2</v>
      </c>
    </row>
    <row r="96" spans="1:15" hidden="1" x14ac:dyDescent="0.25">
      <c r="A96" s="180" t="s">
        <v>1660</v>
      </c>
      <c r="B96" s="180" t="s">
        <v>1661</v>
      </c>
      <c r="C96" s="180" t="s">
        <v>1679</v>
      </c>
      <c r="D96" s="180" t="s">
        <v>1693</v>
      </c>
      <c r="E96" s="180" t="s">
        <v>1664</v>
      </c>
      <c r="F96" s="181">
        <v>5.7993199999999995E-2</v>
      </c>
      <c r="G96" s="181">
        <v>8.0706285714285703E-2</v>
      </c>
      <c r="H96" s="181">
        <v>7.6615657142857133E-2</v>
      </c>
      <c r="I96" s="181">
        <v>8.050868571428571E-2</v>
      </c>
      <c r="J96" s="181">
        <v>9.9501342857142849E-2</v>
      </c>
      <c r="K96" s="181">
        <v>0.1204212857142857</v>
      </c>
      <c r="L96" s="181">
        <v>0.14151165714285713</v>
      </c>
      <c r="M96" s="181">
        <v>0.1626168857142857</v>
      </c>
      <c r="N96" s="181">
        <v>0.18326054285714286</v>
      </c>
      <c r="O96" s="181">
        <v>0.20313697142857143</v>
      </c>
    </row>
    <row r="97" spans="1:15" hidden="1" x14ac:dyDescent="0.25">
      <c r="A97" s="180" t="s">
        <v>1660</v>
      </c>
      <c r="B97" s="180" t="s">
        <v>1661</v>
      </c>
      <c r="C97" s="180" t="s">
        <v>1680</v>
      </c>
      <c r="D97" s="180" t="s">
        <v>1693</v>
      </c>
      <c r="E97" s="180" t="s">
        <v>1664</v>
      </c>
      <c r="F97" s="181">
        <v>1.9059834821428569E-3</v>
      </c>
      <c r="G97" s="181">
        <v>3.837877232142857E-3</v>
      </c>
      <c r="H97" s="181">
        <v>7.1804915178571432E-3</v>
      </c>
      <c r="I97" s="181">
        <v>1.0197111607142857E-2</v>
      </c>
      <c r="J97" s="181">
        <v>1.4381314285714285E-2</v>
      </c>
      <c r="K97" s="181">
        <v>2.5440176785714287E-2</v>
      </c>
      <c r="L97" s="181">
        <v>4.1571685714285711E-2</v>
      </c>
      <c r="M97" s="181">
        <v>6.489762857142857E-2</v>
      </c>
      <c r="N97" s="181">
        <v>9.6599514285714269E-2</v>
      </c>
      <c r="O97" s="181">
        <v>0.13739425714285713</v>
      </c>
    </row>
    <row r="98" spans="1:15" hidden="1" x14ac:dyDescent="0.25">
      <c r="A98" s="180" t="s">
        <v>1660</v>
      </c>
      <c r="B98" s="180" t="s">
        <v>1661</v>
      </c>
      <c r="C98" s="180" t="s">
        <v>1681</v>
      </c>
      <c r="D98" s="180" t="s">
        <v>1693</v>
      </c>
      <c r="E98" s="180" t="s">
        <v>1664</v>
      </c>
      <c r="F98" s="181">
        <v>7.2995771428571429E-2</v>
      </c>
      <c r="G98" s="181">
        <v>9.0772828571428571E-2</v>
      </c>
      <c r="H98" s="181">
        <v>9.8580200000000007E-2</v>
      </c>
      <c r="I98" s="181">
        <v>0.10105151428571428</v>
      </c>
      <c r="J98" s="181">
        <v>0.11318962857142856</v>
      </c>
      <c r="K98" s="181">
        <v>0.12704088571428571</v>
      </c>
      <c r="L98" s="181">
        <v>0.13753639999999998</v>
      </c>
      <c r="M98" s="181">
        <v>0.14565865714285714</v>
      </c>
      <c r="N98" s="181">
        <v>0.15144125714285714</v>
      </c>
      <c r="O98" s="181">
        <v>0.15557859999999998</v>
      </c>
    </row>
    <row r="99" spans="1:15" hidden="1" x14ac:dyDescent="0.25">
      <c r="A99" s="180" t="s">
        <v>1660</v>
      </c>
      <c r="B99" s="180" t="s">
        <v>1661</v>
      </c>
      <c r="C99" s="180" t="s">
        <v>1682</v>
      </c>
      <c r="D99" s="180" t="s">
        <v>1693</v>
      </c>
      <c r="E99" s="180" t="s">
        <v>1664</v>
      </c>
      <c r="F99" s="181">
        <v>1.5013317857142857E-2</v>
      </c>
      <c r="G99" s="181">
        <v>1.8455660714285713E-2</v>
      </c>
      <c r="H99" s="181">
        <v>2.0667996428571429E-2</v>
      </c>
      <c r="I99" s="181">
        <v>2.0526189285714282E-2</v>
      </c>
      <c r="J99" s="181">
        <v>2.308969107142857E-2</v>
      </c>
      <c r="K99" s="181">
        <v>2.8540771428571428E-2</v>
      </c>
      <c r="L99" s="181">
        <v>3.392102857142857E-2</v>
      </c>
      <c r="M99" s="181">
        <v>3.9201228571428569E-2</v>
      </c>
      <c r="N99" s="181">
        <v>4.4207942857142857E-2</v>
      </c>
      <c r="O99" s="181">
        <v>4.8872342857142856E-2</v>
      </c>
    </row>
    <row r="100" spans="1:15" hidden="1" x14ac:dyDescent="0.25">
      <c r="A100" s="180" t="s">
        <v>1660</v>
      </c>
      <c r="B100" s="180" t="s">
        <v>1661</v>
      </c>
      <c r="C100" s="180" t="s">
        <v>1683</v>
      </c>
      <c r="D100" s="180" t="s">
        <v>1693</v>
      </c>
      <c r="E100" s="180" t="s">
        <v>1664</v>
      </c>
      <c r="F100" s="181">
        <v>3.723094285714286E-2</v>
      </c>
      <c r="G100" s="181">
        <v>6.0241885714285716E-2</v>
      </c>
      <c r="H100" s="181">
        <v>9.1489142857142852E-2</v>
      </c>
      <c r="I100" s="181">
        <v>0.115275</v>
      </c>
      <c r="J100" s="181">
        <v>0.16502045714285715</v>
      </c>
      <c r="K100" s="181">
        <v>0.21613934285714287</v>
      </c>
      <c r="L100" s="181">
        <v>0.26758388571428571</v>
      </c>
      <c r="M100" s="181">
        <v>0.31990685714285716</v>
      </c>
      <c r="N100" s="181">
        <v>0.37092085714285711</v>
      </c>
      <c r="O100" s="181">
        <v>0.41873942857142854</v>
      </c>
    </row>
    <row r="101" spans="1:15" hidden="1" x14ac:dyDescent="0.25">
      <c r="A101" s="180" t="s">
        <v>1660</v>
      </c>
      <c r="B101" s="180" t="s">
        <v>1661</v>
      </c>
      <c r="C101" s="180" t="s">
        <v>1684</v>
      </c>
      <c r="D101" s="180" t="s">
        <v>1693</v>
      </c>
      <c r="E101" s="180" t="s">
        <v>1664</v>
      </c>
      <c r="F101" s="181">
        <v>4.1390772321428567E-3</v>
      </c>
      <c r="G101" s="181">
        <v>8.2172660714285722E-3</v>
      </c>
      <c r="H101" s="181">
        <v>1.3398205357142857E-2</v>
      </c>
      <c r="I101" s="181">
        <v>1.7649874999999999E-2</v>
      </c>
      <c r="J101" s="181">
        <v>2.3024185714285713E-2</v>
      </c>
      <c r="K101" s="181">
        <v>3.1371599999999999E-2</v>
      </c>
      <c r="L101" s="181">
        <v>3.935768571428571E-2</v>
      </c>
      <c r="M101" s="181">
        <v>4.6410942857142853E-2</v>
      </c>
      <c r="N101" s="181">
        <v>5.2281628571428568E-2</v>
      </c>
      <c r="O101" s="181">
        <v>5.6827971428571426E-2</v>
      </c>
    </row>
    <row r="102" spans="1:15" hidden="1" x14ac:dyDescent="0.25">
      <c r="A102" s="180" t="s">
        <v>1660</v>
      </c>
      <c r="B102" s="180" t="s">
        <v>1661</v>
      </c>
      <c r="C102" s="180" t="s">
        <v>1685</v>
      </c>
      <c r="D102" s="180" t="s">
        <v>1693</v>
      </c>
      <c r="E102" s="180" t="s">
        <v>1664</v>
      </c>
      <c r="F102" s="181">
        <v>2.9221371428571428E-2</v>
      </c>
      <c r="G102" s="181">
        <v>3.4522085714285715E-2</v>
      </c>
      <c r="H102" s="181">
        <v>4.9512314285714287E-2</v>
      </c>
      <c r="I102" s="181">
        <v>5.5699885714285712E-2</v>
      </c>
      <c r="J102" s="181">
        <v>6.4786171428571432E-2</v>
      </c>
      <c r="K102" s="181">
        <v>7.3676085714285702E-2</v>
      </c>
      <c r="L102" s="181">
        <v>8.1605514285714276E-2</v>
      </c>
      <c r="M102" s="181">
        <v>8.9080542857142855E-2</v>
      </c>
      <c r="N102" s="181">
        <v>9.5824514285714285E-2</v>
      </c>
      <c r="O102" s="181">
        <v>0.10176385714285713</v>
      </c>
    </row>
    <row r="103" spans="1:15" hidden="1" x14ac:dyDescent="0.25">
      <c r="A103" s="180" t="s">
        <v>1660</v>
      </c>
      <c r="B103" s="180" t="s">
        <v>1661</v>
      </c>
      <c r="C103" s="180" t="s">
        <v>1686</v>
      </c>
      <c r="D103" s="180" t="s">
        <v>1693</v>
      </c>
      <c r="E103" s="180" t="s">
        <v>1664</v>
      </c>
      <c r="F103" s="181">
        <v>1.0402151785714285E-2</v>
      </c>
      <c r="G103" s="181">
        <v>1.3522399999999999E-2</v>
      </c>
      <c r="H103" s="181">
        <v>1.2424814285714285E-2</v>
      </c>
      <c r="I103" s="181">
        <v>1.4226916964285713E-2</v>
      </c>
      <c r="J103" s="181">
        <v>1.7977167857142855E-2</v>
      </c>
      <c r="K103" s="181">
        <v>2.2617876785714284E-2</v>
      </c>
      <c r="L103" s="181">
        <v>2.7082175E-2</v>
      </c>
      <c r="M103" s="181">
        <v>3.1140457142857139E-2</v>
      </c>
      <c r="N103" s="181">
        <v>3.4634971428571429E-2</v>
      </c>
      <c r="O103" s="181">
        <v>3.7617971428571428E-2</v>
      </c>
    </row>
    <row r="104" spans="1:15" hidden="1" x14ac:dyDescent="0.25">
      <c r="A104" s="180" t="s">
        <v>1660</v>
      </c>
      <c r="B104" s="180" t="s">
        <v>1661</v>
      </c>
      <c r="C104" s="180" t="s">
        <v>18</v>
      </c>
      <c r="D104" s="180" t="s">
        <v>1693</v>
      </c>
      <c r="E104" s="180" t="s">
        <v>1664</v>
      </c>
      <c r="F104" s="181">
        <v>0.38623114285714283</v>
      </c>
      <c r="G104" s="181">
        <v>0.400806</v>
      </c>
      <c r="H104" s="181">
        <v>0.43132799999999999</v>
      </c>
      <c r="I104" s="181">
        <v>0.45414742857142854</v>
      </c>
      <c r="J104" s="181">
        <v>0.48879399999999995</v>
      </c>
      <c r="K104" s="181">
        <v>0.51974542857142858</v>
      </c>
      <c r="L104" s="181">
        <v>0.54729371428571427</v>
      </c>
      <c r="M104" s="181">
        <v>0.57245885714285716</v>
      </c>
      <c r="N104" s="181">
        <v>0.59540171428571431</v>
      </c>
      <c r="O104" s="181">
        <v>0.61636885714285716</v>
      </c>
    </row>
    <row r="105" spans="1:15" hidden="1" x14ac:dyDescent="0.25">
      <c r="A105" s="180" t="s">
        <v>1660</v>
      </c>
      <c r="B105" s="180" t="s">
        <v>1661</v>
      </c>
      <c r="C105" s="180" t="s">
        <v>1687</v>
      </c>
      <c r="D105" s="180" t="s">
        <v>1693</v>
      </c>
      <c r="E105" s="180" t="s">
        <v>1664</v>
      </c>
      <c r="F105" s="181">
        <v>9.4612890624999992E-4</v>
      </c>
      <c r="G105" s="181">
        <v>1.9213187499999998E-3</v>
      </c>
      <c r="H105" s="181">
        <v>3.3370285714285713E-3</v>
      </c>
      <c r="I105" s="181">
        <v>4.3238598214285712E-3</v>
      </c>
      <c r="J105" s="181">
        <v>6.8481084821428572E-3</v>
      </c>
      <c r="K105" s="181">
        <v>1.4930819642857144E-2</v>
      </c>
      <c r="L105" s="181">
        <v>2.8984142857142858E-2</v>
      </c>
      <c r="M105" s="181">
        <v>5.2555571428571431E-2</v>
      </c>
      <c r="N105" s="181">
        <v>8.9948114285714281E-2</v>
      </c>
      <c r="O105" s="181">
        <v>0.14589517142857142</v>
      </c>
    </row>
    <row r="106" spans="1:15" hidden="1" x14ac:dyDescent="0.25">
      <c r="A106" s="180" t="s">
        <v>1660</v>
      </c>
      <c r="B106" s="180" t="s">
        <v>1661</v>
      </c>
      <c r="C106" s="180" t="s">
        <v>1688</v>
      </c>
      <c r="D106" s="180" t="s">
        <v>1693</v>
      </c>
      <c r="E106" s="180" t="s">
        <v>1664</v>
      </c>
      <c r="F106" s="181">
        <v>0.40804114285714288</v>
      </c>
      <c r="G106" s="181">
        <v>0.42325428571428569</v>
      </c>
      <c r="H106" s="181">
        <v>0.43933371428571427</v>
      </c>
      <c r="I106" s="181">
        <v>0.43345599999999995</v>
      </c>
      <c r="J106" s="181">
        <v>0.47680799999999995</v>
      </c>
      <c r="K106" s="181">
        <v>0.50440371428571429</v>
      </c>
      <c r="L106" s="181">
        <v>0.53251371428571426</v>
      </c>
      <c r="M106" s="181">
        <v>0.56169628571428565</v>
      </c>
      <c r="N106" s="181">
        <v>0.59024399999999999</v>
      </c>
      <c r="O106" s="181">
        <v>0.61707114285714282</v>
      </c>
    </row>
    <row r="107" spans="1:15" hidden="1" x14ac:dyDescent="0.25">
      <c r="A107" s="180" t="s">
        <v>1660</v>
      </c>
      <c r="B107" s="180" t="s">
        <v>1661</v>
      </c>
      <c r="C107" s="180" t="s">
        <v>1662</v>
      </c>
      <c r="D107" s="180" t="s">
        <v>1694</v>
      </c>
      <c r="E107" s="180" t="s">
        <v>1664</v>
      </c>
      <c r="F107" s="181">
        <v>1.0060388571428571</v>
      </c>
      <c r="G107" s="181">
        <v>1.3442287999999998</v>
      </c>
      <c r="H107" s="181">
        <v>1.4310916571428569</v>
      </c>
      <c r="I107" s="181">
        <v>1.4417165714285713</v>
      </c>
      <c r="J107" s="181">
        <v>1.6930942857142857</v>
      </c>
      <c r="K107" s="181">
        <v>1.9706747428571427</v>
      </c>
      <c r="L107" s="181">
        <v>2.2240537142857142</v>
      </c>
      <c r="M107" s="181">
        <v>2.4701279999999999</v>
      </c>
      <c r="N107" s="181">
        <v>2.7012585142857142</v>
      </c>
      <c r="O107" s="181">
        <v>2.9109657142857142</v>
      </c>
    </row>
    <row r="108" spans="1:15" hidden="1" x14ac:dyDescent="0.25">
      <c r="A108" s="180" t="s">
        <v>1660</v>
      </c>
      <c r="B108" s="180" t="s">
        <v>1661</v>
      </c>
      <c r="C108" s="180" t="s">
        <v>1665</v>
      </c>
      <c r="D108" s="180" t="s">
        <v>1694</v>
      </c>
      <c r="E108" s="180" t="s">
        <v>1664</v>
      </c>
      <c r="F108" s="181">
        <v>0.60221285714285711</v>
      </c>
      <c r="G108" s="181">
        <v>0.63849342857142855</v>
      </c>
      <c r="H108" s="181">
        <v>0.68675399999999998</v>
      </c>
      <c r="I108" s="181">
        <v>0.71710257142857137</v>
      </c>
      <c r="J108" s="181">
        <v>0.76869371428571431</v>
      </c>
      <c r="K108" s="181">
        <v>0.81690428571428564</v>
      </c>
      <c r="L108" s="181">
        <v>0.86444742857142853</v>
      </c>
      <c r="M108" s="181">
        <v>0.91127971428571419</v>
      </c>
      <c r="N108" s="181">
        <v>0.95665657142857141</v>
      </c>
      <c r="O108" s="181">
        <v>1.0002356571428572</v>
      </c>
    </row>
    <row r="109" spans="1:15" hidden="1" x14ac:dyDescent="0.25">
      <c r="A109" s="180" t="s">
        <v>1660</v>
      </c>
      <c r="B109" s="180" t="s">
        <v>1661</v>
      </c>
      <c r="C109" s="180" t="s">
        <v>1666</v>
      </c>
      <c r="D109" s="180" t="s">
        <v>1694</v>
      </c>
      <c r="E109" s="180" t="s">
        <v>1664</v>
      </c>
      <c r="F109" s="181">
        <v>1.0932185142857143</v>
      </c>
      <c r="G109" s="181">
        <v>1.2949545142857144</v>
      </c>
      <c r="H109" s="181">
        <v>1.4905885714285714</v>
      </c>
      <c r="I109" s="181">
        <v>1.5943445714285713</v>
      </c>
      <c r="J109" s="181">
        <v>1.8640685714285716</v>
      </c>
      <c r="K109" s="181">
        <v>2.0632758857142854</v>
      </c>
      <c r="L109" s="181">
        <v>2.2351744</v>
      </c>
      <c r="M109" s="181">
        <v>2.3770374857142853</v>
      </c>
      <c r="N109" s="181">
        <v>2.4870212571428572</v>
      </c>
      <c r="O109" s="181">
        <v>2.5744985142857142</v>
      </c>
    </row>
    <row r="110" spans="1:15" hidden="1" x14ac:dyDescent="0.25">
      <c r="A110" s="180" t="s">
        <v>1660</v>
      </c>
      <c r="B110" s="180" t="s">
        <v>1661</v>
      </c>
      <c r="C110" s="180" t="s">
        <v>1667</v>
      </c>
      <c r="D110" s="180" t="s">
        <v>1694</v>
      </c>
      <c r="E110" s="180" t="s">
        <v>1664</v>
      </c>
      <c r="F110" s="181">
        <v>3.4086285714285713</v>
      </c>
      <c r="G110" s="181">
        <v>8.3899282285714296</v>
      </c>
      <c r="H110" s="181">
        <v>13.414848914285713</v>
      </c>
      <c r="I110" s="181">
        <v>18.062442057142857</v>
      </c>
      <c r="J110" s="181">
        <v>22.194570971428572</v>
      </c>
      <c r="K110" s="181">
        <v>24.927239314285714</v>
      </c>
      <c r="L110" s="181">
        <v>26.533063314285712</v>
      </c>
      <c r="M110" s="181">
        <v>27.448341942857141</v>
      </c>
      <c r="N110" s="181">
        <v>27.839639771428569</v>
      </c>
      <c r="O110" s="181">
        <v>27.760146285714285</v>
      </c>
    </row>
    <row r="111" spans="1:15" hidden="1" x14ac:dyDescent="0.25">
      <c r="A111" s="180" t="s">
        <v>1660</v>
      </c>
      <c r="B111" s="180" t="s">
        <v>1661</v>
      </c>
      <c r="C111" s="180" t="s">
        <v>1668</v>
      </c>
      <c r="D111" s="180" t="s">
        <v>1694</v>
      </c>
      <c r="E111" s="180" t="s">
        <v>1664</v>
      </c>
      <c r="F111" s="181">
        <v>2.2272785714285716E-3</v>
      </c>
      <c r="G111" s="181">
        <v>7.0135598214285709E-3</v>
      </c>
      <c r="H111" s="181">
        <v>0.73449371428571419</v>
      </c>
      <c r="I111" s="181">
        <v>0.8249211428571428</v>
      </c>
      <c r="J111" s="181">
        <v>1.1149807999999999</v>
      </c>
      <c r="K111" s="181">
        <v>1.7441822857142857</v>
      </c>
      <c r="L111" s="181">
        <v>2.5910002285714286</v>
      </c>
      <c r="M111" s="181">
        <v>3.7136370285714286</v>
      </c>
      <c r="N111" s="181">
        <v>5.0997769142857141</v>
      </c>
      <c r="O111" s="181">
        <v>6.6907542857142861</v>
      </c>
    </row>
    <row r="112" spans="1:15" hidden="1" x14ac:dyDescent="0.25">
      <c r="A112" s="180" t="s">
        <v>1660</v>
      </c>
      <c r="B112" s="180" t="s">
        <v>1661</v>
      </c>
      <c r="C112" s="180" t="s">
        <v>1669</v>
      </c>
      <c r="D112" s="180" t="s">
        <v>1694</v>
      </c>
      <c r="E112" s="180" t="s">
        <v>1664</v>
      </c>
      <c r="F112" s="181">
        <v>0.27395554285714285</v>
      </c>
      <c r="G112" s="181">
        <v>0.78164342857142854</v>
      </c>
      <c r="H112" s="181">
        <v>1.6264765714285714</v>
      </c>
      <c r="I112" s="181">
        <v>2.1629938285714285</v>
      </c>
      <c r="J112" s="181">
        <v>4.6143369142857145</v>
      </c>
      <c r="K112" s="181">
        <v>6.974654171428571</v>
      </c>
      <c r="L112" s="181">
        <v>9.6806546285714283</v>
      </c>
      <c r="M112" s="181">
        <v>12.668848457142857</v>
      </c>
      <c r="N112" s="181">
        <v>15.764865828571429</v>
      </c>
      <c r="O112" s="181">
        <v>18.833011200000001</v>
      </c>
    </row>
    <row r="113" spans="1:15" hidden="1" x14ac:dyDescent="0.25">
      <c r="A113" s="180" t="s">
        <v>1660</v>
      </c>
      <c r="B113" s="180" t="s">
        <v>1661</v>
      </c>
      <c r="C113" s="180" t="s">
        <v>1670</v>
      </c>
      <c r="D113" s="180" t="s">
        <v>1694</v>
      </c>
      <c r="E113" s="180" t="s">
        <v>1664</v>
      </c>
      <c r="F113" s="181">
        <v>0.17447651428571428</v>
      </c>
      <c r="G113" s="181">
        <v>0.32372428571428569</v>
      </c>
      <c r="H113" s="181">
        <v>0.53456885714285718</v>
      </c>
      <c r="I113" s="181">
        <v>0.76831857142857141</v>
      </c>
      <c r="J113" s="181">
        <v>1.1901129142857141</v>
      </c>
      <c r="K113" s="181">
        <v>1.7312694857142856</v>
      </c>
      <c r="L113" s="181">
        <v>2.2966038857142856</v>
      </c>
      <c r="M113" s="181">
        <v>2.8733627428571427</v>
      </c>
      <c r="N113" s="181">
        <v>3.4152370285714282</v>
      </c>
      <c r="O113" s="181">
        <v>3.8996287999999999</v>
      </c>
    </row>
    <row r="114" spans="1:15" hidden="1" x14ac:dyDescent="0.25">
      <c r="A114" s="180" t="s">
        <v>1660</v>
      </c>
      <c r="B114" s="180" t="s">
        <v>1661</v>
      </c>
      <c r="C114" s="180" t="s">
        <v>1671</v>
      </c>
      <c r="D114" s="180" t="s">
        <v>1694</v>
      </c>
      <c r="E114" s="180" t="s">
        <v>1664</v>
      </c>
      <c r="F114" s="181">
        <v>2.5435097142857144</v>
      </c>
      <c r="G114" s="181">
        <v>2.5638399999999999</v>
      </c>
      <c r="H114" s="181">
        <v>2.6307058285714287</v>
      </c>
      <c r="I114" s="181">
        <v>2.5866059428571426</v>
      </c>
      <c r="J114" s="181">
        <v>2.6133069714285715</v>
      </c>
      <c r="K114" s="181">
        <v>2.6466854857142854</v>
      </c>
      <c r="L114" s="181">
        <v>2.654752914285714</v>
      </c>
      <c r="M114" s="181">
        <v>2.647086857142857</v>
      </c>
      <c r="N114" s="181">
        <v>2.6351220571428571</v>
      </c>
      <c r="O114" s="181">
        <v>2.6163197714285715</v>
      </c>
    </row>
    <row r="115" spans="1:15" hidden="1" x14ac:dyDescent="0.25">
      <c r="A115" s="180" t="s">
        <v>1660</v>
      </c>
      <c r="B115" s="180" t="s">
        <v>1661</v>
      </c>
      <c r="C115" s="180" t="s">
        <v>1672</v>
      </c>
      <c r="D115" s="180" t="s">
        <v>1694</v>
      </c>
      <c r="E115" s="180" t="s">
        <v>1664</v>
      </c>
      <c r="F115" s="181">
        <v>1.7000977142857143</v>
      </c>
      <c r="G115" s="181">
        <v>1.9079502857142858</v>
      </c>
      <c r="H115" s="181">
        <v>2.0726130285714284</v>
      </c>
      <c r="I115" s="181">
        <v>2.2004959999999998</v>
      </c>
      <c r="J115" s="181">
        <v>2.3395362285714283</v>
      </c>
      <c r="K115" s="181">
        <v>2.434288</v>
      </c>
      <c r="L115" s="181">
        <v>2.4903606857142857</v>
      </c>
      <c r="M115" s="181">
        <v>2.5113931428571425</v>
      </c>
      <c r="N115" s="181">
        <v>2.5031652571428569</v>
      </c>
      <c r="O115" s="181">
        <v>2.469318857142857</v>
      </c>
    </row>
    <row r="116" spans="1:15" hidden="1" x14ac:dyDescent="0.25">
      <c r="A116" s="180" t="s">
        <v>1660</v>
      </c>
      <c r="B116" s="180" t="s">
        <v>1661</v>
      </c>
      <c r="C116" s="180" t="s">
        <v>1673</v>
      </c>
      <c r="D116" s="180" t="s">
        <v>1694</v>
      </c>
      <c r="E116" s="180" t="s">
        <v>1664</v>
      </c>
      <c r="F116" s="181">
        <v>2.4818226285714284</v>
      </c>
      <c r="G116" s="181">
        <v>3.1438571428571427</v>
      </c>
      <c r="H116" s="181">
        <v>3.6846399999999999</v>
      </c>
      <c r="I116" s="181">
        <v>4.2161714285714282</v>
      </c>
      <c r="J116" s="181">
        <v>4.7048571428571426</v>
      </c>
      <c r="K116" s="181">
        <v>5.5910541714285715</v>
      </c>
      <c r="L116" s="181">
        <v>6.4610715428571419</v>
      </c>
      <c r="M116" s="181">
        <v>7.3220169142857134</v>
      </c>
      <c r="N116" s="181">
        <v>8.1405311999999999</v>
      </c>
      <c r="O116" s="181">
        <v>8.9016402285714289</v>
      </c>
    </row>
    <row r="117" spans="1:15" hidden="1" x14ac:dyDescent="0.25">
      <c r="A117" s="180" t="s">
        <v>1660</v>
      </c>
      <c r="B117" s="180" t="s">
        <v>1661</v>
      </c>
      <c r="C117" s="180" t="s">
        <v>1674</v>
      </c>
      <c r="D117" s="180" t="s">
        <v>1694</v>
      </c>
      <c r="E117" s="180" t="s">
        <v>1664</v>
      </c>
      <c r="F117" s="181">
        <v>0.94473885714285721</v>
      </c>
      <c r="G117" s="181">
        <v>1.0420946285714285</v>
      </c>
      <c r="H117" s="181">
        <v>1.2186114285714285</v>
      </c>
      <c r="I117" s="181">
        <v>1.236955657142857</v>
      </c>
      <c r="J117" s="181">
        <v>1.4262020571428571</v>
      </c>
      <c r="K117" s="181">
        <v>1.6433359999999999</v>
      </c>
      <c r="L117" s="181">
        <v>1.8581359999999998</v>
      </c>
      <c r="M117" s="181">
        <v>2.0655067428571425</v>
      </c>
      <c r="N117" s="181">
        <v>2.2583876571428569</v>
      </c>
      <c r="O117" s="181">
        <v>2.441445714285714</v>
      </c>
    </row>
    <row r="118" spans="1:15" hidden="1" x14ac:dyDescent="0.25">
      <c r="A118" s="180" t="s">
        <v>1660</v>
      </c>
      <c r="B118" s="180" t="s">
        <v>1661</v>
      </c>
      <c r="C118" s="180" t="s">
        <v>1675</v>
      </c>
      <c r="D118" s="180" t="s">
        <v>1694</v>
      </c>
      <c r="E118" s="180" t="s">
        <v>1664</v>
      </c>
      <c r="F118" s="181">
        <v>0.33178714285714284</v>
      </c>
      <c r="G118" s="181">
        <v>0.48815828571428566</v>
      </c>
      <c r="H118" s="181">
        <v>0.53014685714285703</v>
      </c>
      <c r="I118" s="181">
        <v>0.64708857142857146</v>
      </c>
      <c r="J118" s="181">
        <v>0.74954399999999999</v>
      </c>
      <c r="K118" s="181">
        <v>1.0551209142857143</v>
      </c>
      <c r="L118" s="181">
        <v>1.3943359999999998</v>
      </c>
      <c r="M118" s="181">
        <v>1.7598813714285713</v>
      </c>
      <c r="N118" s="181">
        <v>2.1393010285714285</v>
      </c>
      <c r="O118" s="181">
        <v>2.5182994285714284</v>
      </c>
    </row>
    <row r="119" spans="1:15" hidden="1" x14ac:dyDescent="0.25">
      <c r="A119" s="180" t="s">
        <v>1660</v>
      </c>
      <c r="B119" s="180" t="s">
        <v>1661</v>
      </c>
      <c r="C119" s="180" t="s">
        <v>1676</v>
      </c>
      <c r="D119" s="180" t="s">
        <v>1694</v>
      </c>
      <c r="E119" s="180" t="s">
        <v>1664</v>
      </c>
      <c r="F119" s="181">
        <v>0.45665971428571428</v>
      </c>
      <c r="G119" s="181">
        <v>0.50515914285714281</v>
      </c>
      <c r="H119" s="181">
        <v>0.55853371428571419</v>
      </c>
      <c r="I119" s="181">
        <v>0.60148199999999996</v>
      </c>
      <c r="J119" s="181">
        <v>0.66298485714285715</v>
      </c>
      <c r="K119" s="181">
        <v>0.71864028571428573</v>
      </c>
      <c r="L119" s="181">
        <v>0.77198857142857147</v>
      </c>
      <c r="M119" s="181">
        <v>0.82495828571428564</v>
      </c>
      <c r="N119" s="181">
        <v>0.87792542857142852</v>
      </c>
      <c r="O119" s="181">
        <v>0.92874828571428558</v>
      </c>
    </row>
    <row r="120" spans="1:15" hidden="1" x14ac:dyDescent="0.25">
      <c r="A120" s="180" t="s">
        <v>1660</v>
      </c>
      <c r="B120" s="180" t="s">
        <v>1661</v>
      </c>
      <c r="C120" s="180" t="s">
        <v>1677</v>
      </c>
      <c r="D120" s="180" t="s">
        <v>1694</v>
      </c>
      <c r="E120" s="180" t="s">
        <v>1664</v>
      </c>
      <c r="F120" s="181">
        <v>0.38900657142857137</v>
      </c>
      <c r="G120" s="181">
        <v>0.46497028571428567</v>
      </c>
      <c r="H120" s="181">
        <v>0.56197057142857132</v>
      </c>
      <c r="I120" s="181">
        <v>0.6056651428571429</v>
      </c>
      <c r="J120" s="181">
        <v>0.73804971428571431</v>
      </c>
      <c r="K120" s="181">
        <v>0.90837514285714283</v>
      </c>
      <c r="L120" s="181">
        <v>1.0843030857142857</v>
      </c>
      <c r="M120" s="181">
        <v>1.2661445714285713</v>
      </c>
      <c r="N120" s="181">
        <v>1.4471167999999999</v>
      </c>
      <c r="O120" s="181">
        <v>1.6135245714285713</v>
      </c>
    </row>
    <row r="121" spans="1:15" hidden="1" x14ac:dyDescent="0.25">
      <c r="A121" s="180" t="s">
        <v>1660</v>
      </c>
      <c r="B121" s="180" t="s">
        <v>1661</v>
      </c>
      <c r="C121" s="180" t="s">
        <v>1678</v>
      </c>
      <c r="D121" s="180" t="s">
        <v>1694</v>
      </c>
      <c r="E121" s="180" t="s">
        <v>1664</v>
      </c>
      <c r="F121" s="181">
        <v>8.5369999999999994E-3</v>
      </c>
      <c r="G121" s="181">
        <v>2.523730357142857E-2</v>
      </c>
      <c r="H121" s="181">
        <v>4.4407200000000001E-2</v>
      </c>
      <c r="I121" s="181">
        <v>5.8660885714285717E-2</v>
      </c>
      <c r="J121" s="181">
        <v>8.9132857142857139E-2</v>
      </c>
      <c r="K121" s="181">
        <v>0.14366454285714284</v>
      </c>
      <c r="L121" s="181">
        <v>0.22025519999999998</v>
      </c>
      <c r="M121" s="181">
        <v>0.34299057142857142</v>
      </c>
      <c r="N121" s="181">
        <v>0.53861314285714279</v>
      </c>
      <c r="O121" s="181">
        <v>0.83491028571428572</v>
      </c>
    </row>
    <row r="122" spans="1:15" hidden="1" x14ac:dyDescent="0.25">
      <c r="A122" s="180" t="s">
        <v>1660</v>
      </c>
      <c r="B122" s="180" t="s">
        <v>1661</v>
      </c>
      <c r="C122" s="180" t="s">
        <v>1679</v>
      </c>
      <c r="D122" s="180" t="s">
        <v>1694</v>
      </c>
      <c r="E122" s="180" t="s">
        <v>1664</v>
      </c>
      <c r="F122" s="181">
        <v>0.97759942857142867</v>
      </c>
      <c r="G122" s="181">
        <v>1.3604771428571427</v>
      </c>
      <c r="H122" s="181">
        <v>1.2915209142857142</v>
      </c>
      <c r="I122" s="181">
        <v>1.3571462857142855</v>
      </c>
      <c r="J122" s="181">
        <v>1.6773085714285714</v>
      </c>
      <c r="K122" s="181">
        <v>2.0299583999999999</v>
      </c>
      <c r="L122" s="181">
        <v>2.3854822857142857</v>
      </c>
      <c r="M122" s="181">
        <v>2.7412559999999999</v>
      </c>
      <c r="N122" s="181">
        <v>3.0892484571428569</v>
      </c>
      <c r="O122" s="181">
        <v>3.424308571428571</v>
      </c>
    </row>
    <row r="123" spans="1:15" hidden="1" x14ac:dyDescent="0.25">
      <c r="A123" s="180" t="s">
        <v>1660</v>
      </c>
      <c r="B123" s="180" t="s">
        <v>1661</v>
      </c>
      <c r="C123" s="180" t="s">
        <v>1680</v>
      </c>
      <c r="D123" s="180" t="s">
        <v>1694</v>
      </c>
      <c r="E123" s="180" t="s">
        <v>1664</v>
      </c>
      <c r="F123" s="181">
        <v>3.2129428571428573E-2</v>
      </c>
      <c r="G123" s="181">
        <v>6.4695657142857146E-2</v>
      </c>
      <c r="H123" s="181">
        <v>0.12104257142857143</v>
      </c>
      <c r="I123" s="181">
        <v>0.17189417142857141</v>
      </c>
      <c r="J123" s="181">
        <v>0.24242785714285717</v>
      </c>
      <c r="K123" s="181">
        <v>0.42884857142857141</v>
      </c>
      <c r="L123" s="181">
        <v>0.70077999999999996</v>
      </c>
      <c r="M123" s="181">
        <v>1.0939885714285715</v>
      </c>
      <c r="N123" s="181">
        <v>1.6283917714285714</v>
      </c>
      <c r="O123" s="181">
        <v>2.3160745142857144</v>
      </c>
    </row>
    <row r="124" spans="1:15" hidden="1" x14ac:dyDescent="0.25">
      <c r="A124" s="180" t="s">
        <v>1660</v>
      </c>
      <c r="B124" s="180" t="s">
        <v>1661</v>
      </c>
      <c r="C124" s="180" t="s">
        <v>1681</v>
      </c>
      <c r="D124" s="180" t="s">
        <v>1694</v>
      </c>
      <c r="E124" s="180" t="s">
        <v>1664</v>
      </c>
      <c r="F124" s="181">
        <v>1.2304999999999999</v>
      </c>
      <c r="G124" s="181">
        <v>1.5301705142857143</v>
      </c>
      <c r="H124" s="181">
        <v>1.6617803428571429</v>
      </c>
      <c r="I124" s="181">
        <v>1.7034397714285714</v>
      </c>
      <c r="J124" s="181">
        <v>1.9080537142857144</v>
      </c>
      <c r="K124" s="181">
        <v>2.141546285714286</v>
      </c>
      <c r="L124" s="181">
        <v>2.3184706285714287</v>
      </c>
      <c r="M124" s="181">
        <v>2.4553885714285713</v>
      </c>
      <c r="N124" s="181">
        <v>2.5528667428571428</v>
      </c>
      <c r="O124" s="181">
        <v>2.6226107428571428</v>
      </c>
    </row>
    <row r="125" spans="1:15" hidden="1" x14ac:dyDescent="0.25">
      <c r="A125" s="180" t="s">
        <v>1660</v>
      </c>
      <c r="B125" s="180" t="s">
        <v>1661</v>
      </c>
      <c r="C125" s="180" t="s">
        <v>1682</v>
      </c>
      <c r="D125" s="180" t="s">
        <v>1694</v>
      </c>
      <c r="E125" s="180" t="s">
        <v>1664</v>
      </c>
      <c r="F125" s="181">
        <v>0.25308160000000002</v>
      </c>
      <c r="G125" s="181">
        <v>0.31110971428571427</v>
      </c>
      <c r="H125" s="181">
        <v>0.34840342857142859</v>
      </c>
      <c r="I125" s="181">
        <v>0.34601285714285712</v>
      </c>
      <c r="J125" s="181">
        <v>0.38922628571428569</v>
      </c>
      <c r="K125" s="181">
        <v>0.48111599999999999</v>
      </c>
      <c r="L125" s="181">
        <v>0.57181171428571431</v>
      </c>
      <c r="M125" s="181">
        <v>0.66082057142857131</v>
      </c>
      <c r="N125" s="181">
        <v>0.74521971428571432</v>
      </c>
      <c r="O125" s="181">
        <v>0.8238482857142857</v>
      </c>
    </row>
    <row r="126" spans="1:15" hidden="1" x14ac:dyDescent="0.25">
      <c r="A126" s="180" t="s">
        <v>1660</v>
      </c>
      <c r="B126" s="180" t="s">
        <v>1661</v>
      </c>
      <c r="C126" s="180" t="s">
        <v>1683</v>
      </c>
      <c r="D126" s="180" t="s">
        <v>1694</v>
      </c>
      <c r="E126" s="180" t="s">
        <v>1664</v>
      </c>
      <c r="F126" s="181">
        <v>0.62760742857142848</v>
      </c>
      <c r="G126" s="181">
        <v>1.0155062857142856</v>
      </c>
      <c r="H126" s="181">
        <v>1.5422454857142858</v>
      </c>
      <c r="I126" s="181">
        <v>1.9432070857142858</v>
      </c>
      <c r="J126" s="181">
        <v>2.7817734857142855</v>
      </c>
      <c r="K126" s="181">
        <v>3.6434914285714286</v>
      </c>
      <c r="L126" s="181">
        <v>4.5106998857142857</v>
      </c>
      <c r="M126" s="181">
        <v>5.3927172571428574</v>
      </c>
      <c r="N126" s="181">
        <v>6.2526628571428571</v>
      </c>
      <c r="O126" s="181">
        <v>7.0587515428571423</v>
      </c>
    </row>
    <row r="127" spans="1:15" hidden="1" x14ac:dyDescent="0.25">
      <c r="A127" s="180" t="s">
        <v>1660</v>
      </c>
      <c r="B127" s="180" t="s">
        <v>1661</v>
      </c>
      <c r="C127" s="180" t="s">
        <v>1684</v>
      </c>
      <c r="D127" s="180" t="s">
        <v>1694</v>
      </c>
      <c r="E127" s="180" t="s">
        <v>1664</v>
      </c>
      <c r="F127" s="181">
        <v>6.9773028571428572E-2</v>
      </c>
      <c r="G127" s="181">
        <v>0.13851962857142855</v>
      </c>
      <c r="H127" s="181">
        <v>0.22585545714285715</v>
      </c>
      <c r="I127" s="181">
        <v>0.29752657142857142</v>
      </c>
      <c r="J127" s="181">
        <v>0.38812200000000002</v>
      </c>
      <c r="K127" s="181">
        <v>0.52883542857142851</v>
      </c>
      <c r="L127" s="181">
        <v>0.66345799999999999</v>
      </c>
      <c r="M127" s="181">
        <v>0.78235599999999994</v>
      </c>
      <c r="N127" s="181">
        <v>0.88131885714285707</v>
      </c>
      <c r="O127" s="181">
        <v>0.95795714285714284</v>
      </c>
    </row>
    <row r="128" spans="1:15" hidden="1" x14ac:dyDescent="0.25">
      <c r="A128" s="180" t="s">
        <v>1660</v>
      </c>
      <c r="B128" s="180" t="s">
        <v>1661</v>
      </c>
      <c r="C128" s="180" t="s">
        <v>1685</v>
      </c>
      <c r="D128" s="180" t="s">
        <v>1694</v>
      </c>
      <c r="E128" s="180" t="s">
        <v>1664</v>
      </c>
      <c r="F128" s="181">
        <v>0.49258857142857143</v>
      </c>
      <c r="G128" s="181">
        <v>0.58194371428571423</v>
      </c>
      <c r="H128" s="181">
        <v>0.83463628571428572</v>
      </c>
      <c r="I128" s="181">
        <v>0.93894114285714292</v>
      </c>
      <c r="J128" s="181">
        <v>1.0921094857142857</v>
      </c>
      <c r="K128" s="181">
        <v>1.2419682285714286</v>
      </c>
      <c r="L128" s="181">
        <v>1.3756356571428572</v>
      </c>
      <c r="M128" s="181">
        <v>1.5016432</v>
      </c>
      <c r="N128" s="181">
        <v>1.6153277714285714</v>
      </c>
      <c r="O128" s="181">
        <v>1.7154474285714285</v>
      </c>
    </row>
    <row r="129" spans="1:15" hidden="1" x14ac:dyDescent="0.25">
      <c r="A129" s="180" t="s">
        <v>1660</v>
      </c>
      <c r="B129" s="180" t="s">
        <v>1661</v>
      </c>
      <c r="C129" s="180" t="s">
        <v>1686</v>
      </c>
      <c r="D129" s="180" t="s">
        <v>1694</v>
      </c>
      <c r="E129" s="180" t="s">
        <v>1664</v>
      </c>
      <c r="F129" s="181">
        <v>0.17535054285714285</v>
      </c>
      <c r="G129" s="181">
        <v>0.22794899999999998</v>
      </c>
      <c r="H129" s="181">
        <v>0.20944688571428571</v>
      </c>
      <c r="I129" s="181">
        <v>0.23982514285714285</v>
      </c>
      <c r="J129" s="181">
        <v>0.30304371428571425</v>
      </c>
      <c r="K129" s="181">
        <v>0.38127285714285714</v>
      </c>
      <c r="L129" s="181">
        <v>0.45652799999999999</v>
      </c>
      <c r="M129" s="181">
        <v>0.52493914285714283</v>
      </c>
      <c r="N129" s="181">
        <v>0.58384657142857144</v>
      </c>
      <c r="O129" s="181">
        <v>0.63413142857142846</v>
      </c>
    </row>
    <row r="130" spans="1:15" hidden="1" x14ac:dyDescent="0.25">
      <c r="A130" s="180" t="s">
        <v>1660</v>
      </c>
      <c r="B130" s="180" t="s">
        <v>1661</v>
      </c>
      <c r="C130" s="180" t="s">
        <v>18</v>
      </c>
      <c r="D130" s="180" t="s">
        <v>1694</v>
      </c>
      <c r="E130" s="180" t="s">
        <v>1664</v>
      </c>
      <c r="F130" s="181">
        <v>6.5107542857142855</v>
      </c>
      <c r="G130" s="181">
        <v>6.7564457142857135</v>
      </c>
      <c r="H130" s="181">
        <v>7.2709572571428565</v>
      </c>
      <c r="I130" s="181">
        <v>7.6556255999999996</v>
      </c>
      <c r="J130" s="181">
        <v>8.2396690285714289</v>
      </c>
      <c r="K130" s="181">
        <v>8.7614226285714292</v>
      </c>
      <c r="L130" s="181">
        <v>9.2258084571428576</v>
      </c>
      <c r="M130" s="181">
        <v>9.650019657142856</v>
      </c>
      <c r="N130" s="181">
        <v>10.036771657142856</v>
      </c>
      <c r="O130" s="181">
        <v>10.390219885714286</v>
      </c>
    </row>
    <row r="131" spans="1:15" hidden="1" x14ac:dyDescent="0.25">
      <c r="A131" s="180" t="s">
        <v>1660</v>
      </c>
      <c r="B131" s="180" t="s">
        <v>1661</v>
      </c>
      <c r="C131" s="180" t="s">
        <v>1687</v>
      </c>
      <c r="D131" s="180" t="s">
        <v>1694</v>
      </c>
      <c r="E131" s="180" t="s">
        <v>1664</v>
      </c>
      <c r="F131" s="181">
        <v>1.5949028571428568E-2</v>
      </c>
      <c r="G131" s="181">
        <v>3.238794285714286E-2</v>
      </c>
      <c r="H131" s="181">
        <v>5.6252742857142851E-2</v>
      </c>
      <c r="I131" s="181">
        <v>7.2887942857142854E-2</v>
      </c>
      <c r="J131" s="181">
        <v>0.11543951428571426</v>
      </c>
      <c r="K131" s="181">
        <v>0.25169094285714283</v>
      </c>
      <c r="L131" s="181">
        <v>0.48858999999999997</v>
      </c>
      <c r="M131" s="181">
        <v>0.88593685714285719</v>
      </c>
      <c r="N131" s="181">
        <v>1.5162683428571428</v>
      </c>
      <c r="O131" s="181">
        <v>2.4593757714285713</v>
      </c>
    </row>
    <row r="132" spans="1:15" hidden="1" x14ac:dyDescent="0.25">
      <c r="A132" s="180" t="s">
        <v>1660</v>
      </c>
      <c r="B132" s="180" t="s">
        <v>1661</v>
      </c>
      <c r="C132" s="180" t="s">
        <v>1688</v>
      </c>
      <c r="D132" s="180" t="s">
        <v>1694</v>
      </c>
      <c r="E132" s="180" t="s">
        <v>1664</v>
      </c>
      <c r="F132" s="181">
        <v>6.8784054857142856</v>
      </c>
      <c r="G132" s="181">
        <v>7.1348571428571432</v>
      </c>
      <c r="H132" s="181">
        <v>7.4059113142857136</v>
      </c>
      <c r="I132" s="181">
        <v>7.3068287999999999</v>
      </c>
      <c r="J132" s="181">
        <v>8.0376173714285706</v>
      </c>
      <c r="K132" s="181">
        <v>8.5028059428571421</v>
      </c>
      <c r="L132" s="181">
        <v>8.9766573714285709</v>
      </c>
      <c r="M132" s="181">
        <v>9.4685942857142855</v>
      </c>
      <c r="N132" s="181">
        <v>9.9498258285714289</v>
      </c>
      <c r="O132" s="181">
        <v>10.402054399999999</v>
      </c>
    </row>
    <row r="133" spans="1:15" x14ac:dyDescent="0.25">
      <c r="A133" s="180" t="s">
        <v>1660</v>
      </c>
      <c r="B133" s="180" t="s">
        <v>1661</v>
      </c>
      <c r="C133" s="180" t="s">
        <v>1689</v>
      </c>
      <c r="D133" s="180" t="s">
        <v>1663</v>
      </c>
      <c r="E133" s="180" t="s">
        <v>1664</v>
      </c>
      <c r="F133" s="181">
        <v>45.69754331428571</v>
      </c>
      <c r="G133" s="181">
        <v>58.834113828571425</v>
      </c>
      <c r="H133" s="181">
        <v>72.975455085714273</v>
      </c>
      <c r="I133" s="181">
        <v>83.560345599999991</v>
      </c>
      <c r="J133" s="181">
        <v>100.59163062857142</v>
      </c>
      <c r="K133" s="181">
        <v>117.12528822857143</v>
      </c>
      <c r="L133" s="181">
        <v>132.88671817142856</v>
      </c>
      <c r="M133" s="181">
        <v>148.72412159999999</v>
      </c>
      <c r="N133" s="181">
        <v>164.51951177142854</v>
      </c>
      <c r="O133" s="181">
        <v>180.09923291428569</v>
      </c>
    </row>
    <row r="134" spans="1:15" hidden="1" x14ac:dyDescent="0.25">
      <c r="A134" s="180" t="s">
        <v>1660</v>
      </c>
      <c r="B134" s="180" t="s">
        <v>1661</v>
      </c>
      <c r="C134" s="180" t="s">
        <v>1662</v>
      </c>
      <c r="D134" s="180" t="s">
        <v>1690</v>
      </c>
      <c r="E134" s="180" t="s">
        <v>1664</v>
      </c>
      <c r="F134" s="181">
        <v>3.1374770285714284</v>
      </c>
      <c r="G134" s="181">
        <v>4.1921714285714282</v>
      </c>
      <c r="H134" s="181">
        <v>4.4630655999999993</v>
      </c>
      <c r="I134" s="181">
        <v>4.4962002285714284</v>
      </c>
      <c r="J134" s="181">
        <v>5.2801572571428563</v>
      </c>
      <c r="K134" s="181">
        <v>6.1458340571428565</v>
      </c>
      <c r="L134" s="181">
        <v>6.9360315428571422</v>
      </c>
      <c r="M134" s="181">
        <v>7.7034514285714275</v>
      </c>
      <c r="N134" s="181">
        <v>8.4242633142857155</v>
      </c>
      <c r="O134" s="181">
        <v>9.0782710857142863</v>
      </c>
    </row>
    <row r="135" spans="1:15" hidden="1" x14ac:dyDescent="0.25">
      <c r="A135" s="180" t="s">
        <v>1660</v>
      </c>
      <c r="B135" s="180" t="s">
        <v>1661</v>
      </c>
      <c r="C135" s="180" t="s">
        <v>1665</v>
      </c>
      <c r="D135" s="180" t="s">
        <v>1690</v>
      </c>
      <c r="E135" s="180" t="s">
        <v>1664</v>
      </c>
      <c r="F135" s="181">
        <v>1.8780870857142855</v>
      </c>
      <c r="G135" s="181">
        <v>1.9912340571428571</v>
      </c>
      <c r="H135" s="181">
        <v>2.1417412571428569</v>
      </c>
      <c r="I135" s="181">
        <v>2.2363876571428571</v>
      </c>
      <c r="J135" s="181">
        <v>2.3972822857142853</v>
      </c>
      <c r="K135" s="181">
        <v>2.5476340571428571</v>
      </c>
      <c r="L135" s="181">
        <v>2.6959042285714285</v>
      </c>
      <c r="M135" s="181">
        <v>2.8419570285714286</v>
      </c>
      <c r="N135" s="181">
        <v>2.983471542857143</v>
      </c>
      <c r="O135" s="181">
        <v>3.1193801142857143</v>
      </c>
    </row>
    <row r="136" spans="1:15" hidden="1" x14ac:dyDescent="0.25">
      <c r="A136" s="180" t="s">
        <v>1660</v>
      </c>
      <c r="B136" s="180" t="s">
        <v>1661</v>
      </c>
      <c r="C136" s="180" t="s">
        <v>1666</v>
      </c>
      <c r="D136" s="180" t="s">
        <v>1690</v>
      </c>
      <c r="E136" s="180" t="s">
        <v>1664</v>
      </c>
      <c r="F136" s="181">
        <v>3.4093599999999995</v>
      </c>
      <c r="G136" s="181">
        <v>4.0385028571428574</v>
      </c>
      <c r="H136" s="181">
        <v>4.6486143999999996</v>
      </c>
      <c r="I136" s="181">
        <v>4.9721942857142851</v>
      </c>
      <c r="J136" s="181">
        <v>5.8133659428571427</v>
      </c>
      <c r="K136" s="181">
        <v>6.4346230857142857</v>
      </c>
      <c r="L136" s="181">
        <v>6.9707145142857145</v>
      </c>
      <c r="M136" s="181">
        <v>7.4131341714285712</v>
      </c>
      <c r="N136" s="181">
        <v>7.7561343999999997</v>
      </c>
      <c r="O136" s="181">
        <v>8.0289453714285717</v>
      </c>
    </row>
    <row r="137" spans="1:15" hidden="1" x14ac:dyDescent="0.25">
      <c r="A137" s="180" t="s">
        <v>1660</v>
      </c>
      <c r="B137" s="180" t="s">
        <v>1661</v>
      </c>
      <c r="C137" s="180" t="s">
        <v>1667</v>
      </c>
      <c r="D137" s="180" t="s">
        <v>1690</v>
      </c>
      <c r="E137" s="180" t="s">
        <v>1664</v>
      </c>
      <c r="F137" s="181">
        <v>10.630297599999999</v>
      </c>
      <c r="G137" s="181">
        <v>26.165200457142856</v>
      </c>
      <c r="H137" s="181">
        <v>41.836141714285716</v>
      </c>
      <c r="I137" s="181">
        <v>56.330313142857143</v>
      </c>
      <c r="J137" s="181">
        <v>69.216972799999994</v>
      </c>
      <c r="K137" s="181">
        <v>77.739198171428569</v>
      </c>
      <c r="L137" s="181">
        <v>82.747172571428564</v>
      </c>
      <c r="M137" s="181">
        <v>85.601631085714288</v>
      </c>
      <c r="N137" s="181">
        <v>86.821917257142857</v>
      </c>
      <c r="O137" s="181">
        <v>86.573999542857138</v>
      </c>
    </row>
    <row r="138" spans="1:15" hidden="1" x14ac:dyDescent="0.25">
      <c r="A138" s="180" t="s">
        <v>1660</v>
      </c>
      <c r="B138" s="180" t="s">
        <v>1661</v>
      </c>
      <c r="C138" s="180" t="s">
        <v>1668</v>
      </c>
      <c r="D138" s="180" t="s">
        <v>1690</v>
      </c>
      <c r="E138" s="180" t="s">
        <v>1664</v>
      </c>
      <c r="F138" s="181">
        <v>6.9460883928571422E-3</v>
      </c>
      <c r="G138" s="181">
        <v>2.187279464285714E-2</v>
      </c>
      <c r="H138" s="181">
        <v>2.2906242285714287</v>
      </c>
      <c r="I138" s="181">
        <v>2.5726352000000001</v>
      </c>
      <c r="J138" s="181">
        <v>3.4772285714285709</v>
      </c>
      <c r="K138" s="181">
        <v>5.4394857142857145</v>
      </c>
      <c r="L138" s="181">
        <v>8.0804059428571424</v>
      </c>
      <c r="M138" s="181">
        <v>11.581516799999999</v>
      </c>
      <c r="N138" s="181">
        <v>15.904394971428571</v>
      </c>
      <c r="O138" s="181">
        <v>20.866080914285714</v>
      </c>
    </row>
    <row r="139" spans="1:15" hidden="1" x14ac:dyDescent="0.25">
      <c r="A139" s="180" t="s">
        <v>1660</v>
      </c>
      <c r="B139" s="180" t="s">
        <v>1661</v>
      </c>
      <c r="C139" s="180" t="s">
        <v>1669</v>
      </c>
      <c r="D139" s="180" t="s">
        <v>1690</v>
      </c>
      <c r="E139" s="180" t="s">
        <v>1664</v>
      </c>
      <c r="F139" s="181">
        <v>0.85436971428571418</v>
      </c>
      <c r="G139" s="181">
        <v>2.4376681142857142</v>
      </c>
      <c r="H139" s="181">
        <v>5.0724</v>
      </c>
      <c r="I139" s="181">
        <v>6.7456086857142861</v>
      </c>
      <c r="J139" s="181">
        <v>14.390476799999998</v>
      </c>
      <c r="K139" s="181">
        <v>21.751467885714288</v>
      </c>
      <c r="L139" s="181">
        <v>30.1905152</v>
      </c>
      <c r="M139" s="181">
        <v>39.509628342857141</v>
      </c>
      <c r="N139" s="181">
        <v>49.165001142857143</v>
      </c>
      <c r="O139" s="181">
        <v>58.733458285714278</v>
      </c>
    </row>
    <row r="140" spans="1:15" hidden="1" x14ac:dyDescent="0.25">
      <c r="A140" s="180" t="s">
        <v>1660</v>
      </c>
      <c r="B140" s="180" t="s">
        <v>1661</v>
      </c>
      <c r="C140" s="180" t="s">
        <v>1670</v>
      </c>
      <c r="D140" s="180" t="s">
        <v>1690</v>
      </c>
      <c r="E140" s="180" t="s">
        <v>1664</v>
      </c>
      <c r="F140" s="181">
        <v>0.54412999999999989</v>
      </c>
      <c r="G140" s="181">
        <v>1.0095805714285713</v>
      </c>
      <c r="H140" s="181">
        <v>1.6671300571428571</v>
      </c>
      <c r="I140" s="181">
        <v>2.396112</v>
      </c>
      <c r="J140" s="181">
        <v>3.7115371428571424</v>
      </c>
      <c r="K140" s="181">
        <v>5.3992141714285706</v>
      </c>
      <c r="L140" s="181">
        <v>7.1622884571428571</v>
      </c>
      <c r="M140" s="181">
        <v>8.9609974857142856</v>
      </c>
      <c r="N140" s="181">
        <v>10.650908342857143</v>
      </c>
      <c r="O140" s="181">
        <v>12.161554285714285</v>
      </c>
    </row>
    <row r="141" spans="1:15" hidden="1" x14ac:dyDescent="0.25">
      <c r="A141" s="180" t="s">
        <v>1660</v>
      </c>
      <c r="B141" s="180" t="s">
        <v>1661</v>
      </c>
      <c r="C141" s="180" t="s">
        <v>1671</v>
      </c>
      <c r="D141" s="180" t="s">
        <v>1690</v>
      </c>
      <c r="E141" s="180" t="s">
        <v>1664</v>
      </c>
      <c r="F141" s="181">
        <v>7.9323026285714278</v>
      </c>
      <c r="G141" s="181">
        <v>7.9957028571428577</v>
      </c>
      <c r="H141" s="181">
        <v>8.2042340571428571</v>
      </c>
      <c r="I141" s="181">
        <v>8.0667026285714289</v>
      </c>
      <c r="J141" s="181">
        <v>8.1499739428571427</v>
      </c>
      <c r="K141" s="181">
        <v>8.2540690285714273</v>
      </c>
      <c r="L141" s="181">
        <v>8.2792283428571434</v>
      </c>
      <c r="M141" s="181">
        <v>8.2553225142857141</v>
      </c>
      <c r="N141" s="181">
        <v>8.2180086857142847</v>
      </c>
      <c r="O141" s="181">
        <v>8.1593709714285723</v>
      </c>
    </row>
    <row r="142" spans="1:15" hidden="1" x14ac:dyDescent="0.25">
      <c r="A142" s="180" t="s">
        <v>1660</v>
      </c>
      <c r="B142" s="180" t="s">
        <v>1661</v>
      </c>
      <c r="C142" s="180" t="s">
        <v>1672</v>
      </c>
      <c r="D142" s="180" t="s">
        <v>1690</v>
      </c>
      <c r="E142" s="180" t="s">
        <v>1664</v>
      </c>
      <c r="F142" s="181">
        <v>5.3019999999999996</v>
      </c>
      <c r="G142" s="181">
        <v>5.9502171428571424</v>
      </c>
      <c r="H142" s="181">
        <v>6.4637430857142855</v>
      </c>
      <c r="I142" s="181">
        <v>6.8625627428571425</v>
      </c>
      <c r="J142" s="181">
        <v>7.2961801142857139</v>
      </c>
      <c r="K142" s="181">
        <v>7.5916772571428579</v>
      </c>
      <c r="L142" s="181">
        <v>7.7665481142857145</v>
      </c>
      <c r="M142" s="181">
        <v>7.832142628571428</v>
      </c>
      <c r="N142" s="181">
        <v>7.8064804571428565</v>
      </c>
      <c r="O142" s="181">
        <v>7.7009261714285717</v>
      </c>
    </row>
    <row r="143" spans="1:15" hidden="1" x14ac:dyDescent="0.25">
      <c r="A143" s="180" t="s">
        <v>1660</v>
      </c>
      <c r="B143" s="180" t="s">
        <v>1661</v>
      </c>
      <c r="C143" s="180" t="s">
        <v>1673</v>
      </c>
      <c r="D143" s="180" t="s">
        <v>1690</v>
      </c>
      <c r="E143" s="180" t="s">
        <v>1664</v>
      </c>
      <c r="F143" s="181">
        <v>7.7399204571428575</v>
      </c>
      <c r="G143" s="181">
        <v>9.8045686857142851</v>
      </c>
      <c r="H143" s="181">
        <v>11.491082971428572</v>
      </c>
      <c r="I143" s="181">
        <v>13.148739657142857</v>
      </c>
      <c r="J143" s="181">
        <v>14.672771657142857</v>
      </c>
      <c r="K143" s="181">
        <v>17.4365056</v>
      </c>
      <c r="L143" s="181">
        <v>20.149781942857143</v>
      </c>
      <c r="M143" s="181">
        <v>22.834768457142857</v>
      </c>
      <c r="N143" s="181">
        <v>25.387417599999999</v>
      </c>
      <c r="O143" s="181">
        <v>27.761042285714286</v>
      </c>
    </row>
    <row r="144" spans="1:15" hidden="1" x14ac:dyDescent="0.25">
      <c r="A144" s="180" t="s">
        <v>1660</v>
      </c>
      <c r="B144" s="180" t="s">
        <v>1661</v>
      </c>
      <c r="C144" s="180" t="s">
        <v>1674</v>
      </c>
      <c r="D144" s="180" t="s">
        <v>1690</v>
      </c>
      <c r="E144" s="180" t="s">
        <v>1664</v>
      </c>
      <c r="F144" s="181">
        <v>2.9463058285714281</v>
      </c>
      <c r="G144" s="181">
        <v>3.2499227428571427</v>
      </c>
      <c r="H144" s="181">
        <v>3.8004141714285709</v>
      </c>
      <c r="I144" s="181">
        <v>3.8576256</v>
      </c>
      <c r="J144" s="181">
        <v>4.4478171428571427</v>
      </c>
      <c r="K144" s="181">
        <v>5.1249801142857141</v>
      </c>
      <c r="L144" s="181">
        <v>5.7948658285714281</v>
      </c>
      <c r="M144" s="181">
        <v>6.441579885714285</v>
      </c>
      <c r="N144" s="181">
        <v>7.0431085714285713</v>
      </c>
      <c r="O144" s="181">
        <v>7.6139999999999999</v>
      </c>
    </row>
    <row r="145" spans="1:15" hidden="1" x14ac:dyDescent="0.25">
      <c r="A145" s="180" t="s">
        <v>1660</v>
      </c>
      <c r="B145" s="180" t="s">
        <v>1661</v>
      </c>
      <c r="C145" s="180" t="s">
        <v>1675</v>
      </c>
      <c r="D145" s="180" t="s">
        <v>1690</v>
      </c>
      <c r="E145" s="180" t="s">
        <v>1664</v>
      </c>
      <c r="F145" s="181">
        <v>1.0347257142857142</v>
      </c>
      <c r="G145" s="181">
        <v>1.5223922285714284</v>
      </c>
      <c r="H145" s="181">
        <v>1.6533388571428571</v>
      </c>
      <c r="I145" s="181">
        <v>2.0180390857142854</v>
      </c>
      <c r="J145" s="181">
        <v>2.3375606857142857</v>
      </c>
      <c r="K145" s="181">
        <v>3.2905458285714282</v>
      </c>
      <c r="L145" s="181">
        <v>4.3484370285714284</v>
      </c>
      <c r="M145" s="181">
        <v>5.4884429714285714</v>
      </c>
      <c r="N145" s="181">
        <v>6.671717028571428</v>
      </c>
      <c r="O145" s="181">
        <v>7.8536795428571429</v>
      </c>
    </row>
    <row r="146" spans="1:15" hidden="1" x14ac:dyDescent="0.25">
      <c r="A146" s="180" t="s">
        <v>1660</v>
      </c>
      <c r="B146" s="180" t="s">
        <v>1661</v>
      </c>
      <c r="C146" s="180" t="s">
        <v>1676</v>
      </c>
      <c r="D146" s="180" t="s">
        <v>1690</v>
      </c>
      <c r="E146" s="180" t="s">
        <v>1664</v>
      </c>
      <c r="F146" s="181">
        <v>1.4241594285714285</v>
      </c>
      <c r="G146" s="181">
        <v>1.5754119999999998</v>
      </c>
      <c r="H146" s="181">
        <v>1.7418674285714284</v>
      </c>
      <c r="I146" s="181">
        <v>1.8758082285714286</v>
      </c>
      <c r="J146" s="181">
        <v>2.0676141714285712</v>
      </c>
      <c r="K146" s="181">
        <v>2.2411835428571427</v>
      </c>
      <c r="L146" s="181">
        <v>2.4075577142857139</v>
      </c>
      <c r="M146" s="181">
        <v>2.5727510857142852</v>
      </c>
      <c r="N146" s="181">
        <v>2.7379364571428573</v>
      </c>
      <c r="O146" s="181">
        <v>2.8964342857142853</v>
      </c>
    </row>
    <row r="147" spans="1:15" hidden="1" x14ac:dyDescent="0.25">
      <c r="A147" s="180" t="s">
        <v>1660</v>
      </c>
      <c r="B147" s="180" t="s">
        <v>1661</v>
      </c>
      <c r="C147" s="180" t="s">
        <v>1677</v>
      </c>
      <c r="D147" s="180" t="s">
        <v>1690</v>
      </c>
      <c r="E147" s="180" t="s">
        <v>1664</v>
      </c>
      <c r="F147" s="181">
        <v>1.2131731428571428</v>
      </c>
      <c r="G147" s="181">
        <v>1.4500771428571428</v>
      </c>
      <c r="H147" s="181">
        <v>1.7525865142857142</v>
      </c>
      <c r="I147" s="181">
        <v>1.8888537142857145</v>
      </c>
      <c r="J147" s="181">
        <v>2.3017147428571425</v>
      </c>
      <c r="K147" s="181">
        <v>2.8328992</v>
      </c>
      <c r="L147" s="181">
        <v>3.3815570285714287</v>
      </c>
      <c r="M147" s="181">
        <v>3.9486541714285708</v>
      </c>
      <c r="N147" s="181">
        <v>4.5130427428571425</v>
      </c>
      <c r="O147" s="181">
        <v>5.0320086857142856</v>
      </c>
    </row>
    <row r="148" spans="1:15" hidden="1" x14ac:dyDescent="0.25">
      <c r="A148" s="180" t="s">
        <v>1660</v>
      </c>
      <c r="B148" s="180" t="s">
        <v>1661</v>
      </c>
      <c r="C148" s="180" t="s">
        <v>1678</v>
      </c>
      <c r="D148" s="180" t="s">
        <v>1690</v>
      </c>
      <c r="E148" s="180" t="s">
        <v>1664</v>
      </c>
      <c r="F148" s="181">
        <v>2.6623866071428571E-2</v>
      </c>
      <c r="G148" s="181">
        <v>7.870617142857142E-2</v>
      </c>
      <c r="H148" s="181">
        <v>0.13849022857142856</v>
      </c>
      <c r="I148" s="181">
        <v>0.18294242857142859</v>
      </c>
      <c r="J148" s="181">
        <v>0.2779736285714286</v>
      </c>
      <c r="K148" s="181">
        <v>0.44803857142857145</v>
      </c>
      <c r="L148" s="181">
        <v>0.68689771428571422</v>
      </c>
      <c r="M148" s="181">
        <v>1.0696657142857142</v>
      </c>
      <c r="N148" s="181">
        <v>1.679742857142857</v>
      </c>
      <c r="O148" s="181">
        <v>2.6037878857142855</v>
      </c>
    </row>
    <row r="149" spans="1:15" hidden="1" x14ac:dyDescent="0.25">
      <c r="A149" s="180" t="s">
        <v>1660</v>
      </c>
      <c r="B149" s="180" t="s">
        <v>1661</v>
      </c>
      <c r="C149" s="180" t="s">
        <v>1679</v>
      </c>
      <c r="D149" s="180" t="s">
        <v>1690</v>
      </c>
      <c r="E149" s="180" t="s">
        <v>1664</v>
      </c>
      <c r="F149" s="181">
        <v>3.0487858285714284</v>
      </c>
      <c r="G149" s="181">
        <v>4.2428457142857141</v>
      </c>
      <c r="H149" s="181">
        <v>4.0277942857142861</v>
      </c>
      <c r="I149" s="181">
        <v>4.2324571428571431</v>
      </c>
      <c r="J149" s="181">
        <v>5.2309284571428565</v>
      </c>
      <c r="K149" s="181">
        <v>6.3307172571428563</v>
      </c>
      <c r="L149" s="181">
        <v>7.4394687999999993</v>
      </c>
      <c r="M149" s="181">
        <v>8.5490029714285711</v>
      </c>
      <c r="N149" s="181">
        <v>9.6342683428571423</v>
      </c>
      <c r="O149" s="181">
        <v>10.6792</v>
      </c>
    </row>
    <row r="150" spans="1:15" hidden="1" x14ac:dyDescent="0.25">
      <c r="A150" s="180" t="s">
        <v>1660</v>
      </c>
      <c r="B150" s="180" t="s">
        <v>1661</v>
      </c>
      <c r="C150" s="180" t="s">
        <v>1680</v>
      </c>
      <c r="D150" s="180" t="s">
        <v>1690</v>
      </c>
      <c r="E150" s="180" t="s">
        <v>1664</v>
      </c>
      <c r="F150" s="181">
        <v>0.1002002857142857</v>
      </c>
      <c r="G150" s="181">
        <v>0.20176274285714285</v>
      </c>
      <c r="H150" s="181">
        <v>0.3774885714285714</v>
      </c>
      <c r="I150" s="181">
        <v>0.53607657142857146</v>
      </c>
      <c r="J150" s="181">
        <v>0.75604628571428567</v>
      </c>
      <c r="K150" s="181">
        <v>1.3374262857142856</v>
      </c>
      <c r="L150" s="181">
        <v>2.1854834285714282</v>
      </c>
      <c r="M150" s="181">
        <v>3.4117599999999997</v>
      </c>
      <c r="N150" s="181">
        <v>5.0783743999999995</v>
      </c>
      <c r="O150" s="181">
        <v>7.2230116571428571</v>
      </c>
    </row>
    <row r="151" spans="1:15" hidden="1" x14ac:dyDescent="0.25">
      <c r="A151" s="180" t="s">
        <v>1660</v>
      </c>
      <c r="B151" s="180" t="s">
        <v>1661</v>
      </c>
      <c r="C151" s="180" t="s">
        <v>1681</v>
      </c>
      <c r="D151" s="180" t="s">
        <v>1690</v>
      </c>
      <c r="E151" s="180" t="s">
        <v>1664</v>
      </c>
      <c r="F151" s="181">
        <v>3.8374911999999997</v>
      </c>
      <c r="G151" s="181">
        <v>4.7720571428571423</v>
      </c>
      <c r="H151" s="181">
        <v>5.1825028571428566</v>
      </c>
      <c r="I151" s="181">
        <v>5.3124228571428569</v>
      </c>
      <c r="J151" s="181">
        <v>5.950539885714285</v>
      </c>
      <c r="K151" s="181">
        <v>6.6787200000000002</v>
      </c>
      <c r="L151" s="181">
        <v>7.2304859428571424</v>
      </c>
      <c r="M151" s="181">
        <v>7.6574829714285721</v>
      </c>
      <c r="N151" s="181">
        <v>7.9614829714285715</v>
      </c>
      <c r="O151" s="181">
        <v>8.1789888000000008</v>
      </c>
    </row>
    <row r="152" spans="1:15" hidden="1" x14ac:dyDescent="0.25">
      <c r="A152" s="180" t="s">
        <v>1660</v>
      </c>
      <c r="B152" s="180" t="s">
        <v>1661</v>
      </c>
      <c r="C152" s="180" t="s">
        <v>1682</v>
      </c>
      <c r="D152" s="180" t="s">
        <v>1690</v>
      </c>
      <c r="E152" s="180" t="s">
        <v>1664</v>
      </c>
      <c r="F152" s="181">
        <v>0.78927142857142851</v>
      </c>
      <c r="G152" s="181">
        <v>0.97024022857142855</v>
      </c>
      <c r="H152" s="181">
        <v>1.0865462857142856</v>
      </c>
      <c r="I152" s="181">
        <v>1.0790908571428572</v>
      </c>
      <c r="J152" s="181">
        <v>1.213858057142857</v>
      </c>
      <c r="K152" s="181">
        <v>1.5004291428571428</v>
      </c>
      <c r="L152" s="181">
        <v>1.7832774857142855</v>
      </c>
      <c r="M152" s="181">
        <v>2.0608637714285711</v>
      </c>
      <c r="N152" s="181">
        <v>2.3240749714285713</v>
      </c>
      <c r="O152" s="181">
        <v>2.5692893714285714</v>
      </c>
    </row>
    <row r="153" spans="1:15" hidden="1" x14ac:dyDescent="0.25">
      <c r="A153" s="180" t="s">
        <v>1660</v>
      </c>
      <c r="B153" s="180" t="s">
        <v>1661</v>
      </c>
      <c r="C153" s="180" t="s">
        <v>1683</v>
      </c>
      <c r="D153" s="180" t="s">
        <v>1690</v>
      </c>
      <c r="E153" s="180" t="s">
        <v>1664</v>
      </c>
      <c r="F153" s="181">
        <v>1.9572836571428569</v>
      </c>
      <c r="G153" s="181">
        <v>3.167002971428571</v>
      </c>
      <c r="H153" s="181">
        <v>4.8097142857142856</v>
      </c>
      <c r="I153" s="181">
        <v>6.0601714285714285</v>
      </c>
      <c r="J153" s="181">
        <v>8.6753599999999995</v>
      </c>
      <c r="K153" s="181">
        <v>11.362753828571428</v>
      </c>
      <c r="L153" s="181">
        <v>14.067265828571427</v>
      </c>
      <c r="M153" s="181">
        <v>16.817962057142854</v>
      </c>
      <c r="N153" s="181">
        <v>19.499830857142854</v>
      </c>
      <c r="O153" s="181">
        <v>22.013730742857142</v>
      </c>
    </row>
    <row r="154" spans="1:15" hidden="1" x14ac:dyDescent="0.25">
      <c r="A154" s="180" t="s">
        <v>1660</v>
      </c>
      <c r="B154" s="180" t="s">
        <v>1661</v>
      </c>
      <c r="C154" s="180" t="s">
        <v>1684</v>
      </c>
      <c r="D154" s="180" t="s">
        <v>1690</v>
      </c>
      <c r="E154" s="180" t="s">
        <v>1664</v>
      </c>
      <c r="F154" s="181">
        <v>0.21759725714285713</v>
      </c>
      <c r="G154" s="181">
        <v>0.43199342857142853</v>
      </c>
      <c r="H154" s="181">
        <v>0.70436285714285718</v>
      </c>
      <c r="I154" s="181">
        <v>0.92787914285714279</v>
      </c>
      <c r="J154" s="181">
        <v>1.2104142857142857</v>
      </c>
      <c r="K154" s="181">
        <v>1.6492497142857143</v>
      </c>
      <c r="L154" s="181">
        <v>2.069089142857143</v>
      </c>
      <c r="M154" s="181">
        <v>2.4398900571428572</v>
      </c>
      <c r="N154" s="181">
        <v>2.7485202285714285</v>
      </c>
      <c r="O154" s="181">
        <v>2.9875257142857143</v>
      </c>
    </row>
    <row r="155" spans="1:15" hidden="1" x14ac:dyDescent="0.25">
      <c r="A155" s="180" t="s">
        <v>1660</v>
      </c>
      <c r="B155" s="180" t="s">
        <v>1661</v>
      </c>
      <c r="C155" s="180" t="s">
        <v>1685</v>
      </c>
      <c r="D155" s="180" t="s">
        <v>1690</v>
      </c>
      <c r="E155" s="180" t="s">
        <v>1664</v>
      </c>
      <c r="F155" s="181">
        <v>1.5362089142857143</v>
      </c>
      <c r="G155" s="181">
        <v>1.8148754285714286</v>
      </c>
      <c r="H155" s="181">
        <v>2.6029334857142858</v>
      </c>
      <c r="I155" s="181">
        <v>2.928222857142857</v>
      </c>
      <c r="J155" s="181">
        <v>3.4058998857142857</v>
      </c>
      <c r="K155" s="181">
        <v>3.8732571428571427</v>
      </c>
      <c r="L155" s="181">
        <v>4.2901170285714283</v>
      </c>
      <c r="M155" s="181">
        <v>4.6830911999999998</v>
      </c>
      <c r="N155" s="181">
        <v>5.0376315428571425</v>
      </c>
      <c r="O155" s="181">
        <v>5.3498715428571426</v>
      </c>
    </row>
    <row r="156" spans="1:15" hidden="1" x14ac:dyDescent="0.25">
      <c r="A156" s="180" t="s">
        <v>1660</v>
      </c>
      <c r="B156" s="180" t="s">
        <v>1661</v>
      </c>
      <c r="C156" s="180" t="s">
        <v>1686</v>
      </c>
      <c r="D156" s="180" t="s">
        <v>1690</v>
      </c>
      <c r="E156" s="180" t="s">
        <v>1664</v>
      </c>
      <c r="F156" s="181">
        <v>0.54685600000000001</v>
      </c>
      <c r="G156" s="181">
        <v>0.71089171428571429</v>
      </c>
      <c r="H156" s="181">
        <v>0.65319028571428572</v>
      </c>
      <c r="I156" s="181">
        <v>0.74792914285714274</v>
      </c>
      <c r="J156" s="181">
        <v>0.94508542857142852</v>
      </c>
      <c r="K156" s="181">
        <v>1.1890539428571427</v>
      </c>
      <c r="L156" s="181">
        <v>1.4237485714285714</v>
      </c>
      <c r="M156" s="181">
        <v>1.6370985142857144</v>
      </c>
      <c r="N156" s="181">
        <v>1.8208093714285714</v>
      </c>
      <c r="O156" s="181">
        <v>1.9776297142857142</v>
      </c>
    </row>
    <row r="157" spans="1:15" hidden="1" x14ac:dyDescent="0.25">
      <c r="A157" s="180" t="s">
        <v>1660</v>
      </c>
      <c r="B157" s="180" t="s">
        <v>1661</v>
      </c>
      <c r="C157" s="180" t="s">
        <v>18</v>
      </c>
      <c r="D157" s="180" t="s">
        <v>1690</v>
      </c>
      <c r="E157" s="180" t="s">
        <v>1664</v>
      </c>
      <c r="F157" s="181">
        <v>20.304722285714284</v>
      </c>
      <c r="G157" s="181">
        <v>21.070944914285715</v>
      </c>
      <c r="H157" s="181">
        <v>22.67552914285714</v>
      </c>
      <c r="I157" s="181">
        <v>23.87517074285714</v>
      </c>
      <c r="J157" s="181">
        <v>25.696590628571428</v>
      </c>
      <c r="K157" s="181">
        <v>27.323757714285712</v>
      </c>
      <c r="L157" s="181">
        <v>28.772000914285712</v>
      </c>
      <c r="M157" s="181">
        <v>30.094972342857144</v>
      </c>
      <c r="N157" s="181">
        <v>31.301112685714283</v>
      </c>
      <c r="O157" s="181">
        <v>32.403401142857142</v>
      </c>
    </row>
    <row r="158" spans="1:15" hidden="1" x14ac:dyDescent="0.25">
      <c r="A158" s="180" t="s">
        <v>1660</v>
      </c>
      <c r="B158" s="180" t="s">
        <v>1661</v>
      </c>
      <c r="C158" s="180" t="s">
        <v>1687</v>
      </c>
      <c r="D158" s="180" t="s">
        <v>1690</v>
      </c>
      <c r="E158" s="180" t="s">
        <v>1664</v>
      </c>
      <c r="F158" s="181">
        <v>4.9739342857142856E-2</v>
      </c>
      <c r="G158" s="181">
        <v>0.10100648571428571</v>
      </c>
      <c r="H158" s="181">
        <v>0.17543231428571426</v>
      </c>
      <c r="I158" s="181">
        <v>0.22731151428571428</v>
      </c>
      <c r="J158" s="181">
        <v>0.36001485714285714</v>
      </c>
      <c r="K158" s="181">
        <v>0.78493457142857137</v>
      </c>
      <c r="L158" s="181">
        <v>1.5237380571428571</v>
      </c>
      <c r="M158" s="181">
        <v>2.7629215999999999</v>
      </c>
      <c r="N158" s="181">
        <v>4.7286998857142857</v>
      </c>
      <c r="O158" s="181">
        <v>7.6699172571428562</v>
      </c>
    </row>
    <row r="159" spans="1:15" hidden="1" x14ac:dyDescent="0.25">
      <c r="A159" s="180" t="s">
        <v>1660</v>
      </c>
      <c r="B159" s="180" t="s">
        <v>1661</v>
      </c>
      <c r="C159" s="180" t="s">
        <v>1688</v>
      </c>
      <c r="D159" s="180" t="s">
        <v>1690</v>
      </c>
      <c r="E159" s="180" t="s">
        <v>1664</v>
      </c>
      <c r="F159" s="181">
        <v>21.451296914285713</v>
      </c>
      <c r="G159" s="181">
        <v>22.251079314285715</v>
      </c>
      <c r="H159" s="181">
        <v>23.096402285714284</v>
      </c>
      <c r="I159" s="181">
        <v>22.787399314285711</v>
      </c>
      <c r="J159" s="181">
        <v>25.066472228571428</v>
      </c>
      <c r="K159" s="181">
        <v>26.517222399999998</v>
      </c>
      <c r="L159" s="181">
        <v>27.995000685714285</v>
      </c>
      <c r="M159" s="181">
        <v>29.529172114285711</v>
      </c>
      <c r="N159" s="181">
        <v>31.029972114285712</v>
      </c>
      <c r="O159" s="181">
        <v>32.440312685714282</v>
      </c>
    </row>
    <row r="160" spans="1:15" hidden="1" x14ac:dyDescent="0.25">
      <c r="A160" s="180" t="s">
        <v>1660</v>
      </c>
      <c r="B160" s="180" t="s">
        <v>1661</v>
      </c>
      <c r="C160" s="180" t="s">
        <v>1662</v>
      </c>
      <c r="D160" s="180" t="s">
        <v>1695</v>
      </c>
      <c r="E160" s="180" t="s">
        <v>1664</v>
      </c>
      <c r="F160" s="181">
        <v>1.0571933714285713</v>
      </c>
      <c r="G160" s="181">
        <v>1.4125794285714284</v>
      </c>
      <c r="H160" s="181">
        <v>1.5038592</v>
      </c>
      <c r="I160" s="181">
        <v>1.5150239999999999</v>
      </c>
      <c r="J160" s="181">
        <v>1.7791837714285714</v>
      </c>
      <c r="K160" s="181">
        <v>2.0708786285714282</v>
      </c>
      <c r="L160" s="181">
        <v>2.3371410285714287</v>
      </c>
      <c r="M160" s="181">
        <v>2.5957277714285714</v>
      </c>
      <c r="N160" s="181">
        <v>2.8386105142857141</v>
      </c>
      <c r="O160" s="181">
        <v>3.058982857142857</v>
      </c>
    </row>
    <row r="161" spans="1:15" hidden="1" x14ac:dyDescent="0.25">
      <c r="A161" s="180" t="s">
        <v>1660</v>
      </c>
      <c r="B161" s="180" t="s">
        <v>1661</v>
      </c>
      <c r="C161" s="180" t="s">
        <v>1665</v>
      </c>
      <c r="D161" s="180" t="s">
        <v>1695</v>
      </c>
      <c r="E161" s="180" t="s">
        <v>1664</v>
      </c>
      <c r="F161" s="181">
        <v>0.63283371428571422</v>
      </c>
      <c r="G161" s="181">
        <v>0.67095914285714287</v>
      </c>
      <c r="H161" s="181">
        <v>0.72167371428571425</v>
      </c>
      <c r="I161" s="181">
        <v>0.7535654285714285</v>
      </c>
      <c r="J161" s="181">
        <v>0.80777999999999994</v>
      </c>
      <c r="K161" s="181">
        <v>0.85844199999999993</v>
      </c>
      <c r="L161" s="181">
        <v>0.90840257142857139</v>
      </c>
      <c r="M161" s="181">
        <v>0.95761599999999991</v>
      </c>
      <c r="N161" s="181">
        <v>1.0052999999999999</v>
      </c>
      <c r="O161" s="181">
        <v>1.0510950857142858</v>
      </c>
    </row>
    <row r="162" spans="1:15" hidden="1" x14ac:dyDescent="0.25">
      <c r="A162" s="180" t="s">
        <v>1660</v>
      </c>
      <c r="B162" s="180" t="s">
        <v>1661</v>
      </c>
      <c r="C162" s="180" t="s">
        <v>1666</v>
      </c>
      <c r="D162" s="180" t="s">
        <v>1695</v>
      </c>
      <c r="E162" s="180" t="s">
        <v>1664</v>
      </c>
      <c r="F162" s="181">
        <v>1.1488057142857142</v>
      </c>
      <c r="G162" s="181">
        <v>1.3607997714285713</v>
      </c>
      <c r="H162" s="181">
        <v>1.5663811428571428</v>
      </c>
      <c r="I162" s="181">
        <v>1.6754127999999999</v>
      </c>
      <c r="J162" s="181">
        <v>1.9588516571428574</v>
      </c>
      <c r="K162" s="181">
        <v>2.1681878857142856</v>
      </c>
      <c r="L162" s="181">
        <v>2.3488272000000001</v>
      </c>
      <c r="M162" s="181">
        <v>2.4979037714285712</v>
      </c>
      <c r="N162" s="181">
        <v>2.6134793142857142</v>
      </c>
      <c r="O162" s="181">
        <v>2.7054052571428571</v>
      </c>
    </row>
    <row r="163" spans="1:15" hidden="1" x14ac:dyDescent="0.25">
      <c r="A163" s="180" t="s">
        <v>1660</v>
      </c>
      <c r="B163" s="180" t="s">
        <v>1661</v>
      </c>
      <c r="C163" s="180" t="s">
        <v>1667</v>
      </c>
      <c r="D163" s="180" t="s">
        <v>1695</v>
      </c>
      <c r="E163" s="180" t="s">
        <v>1664</v>
      </c>
      <c r="F163" s="181">
        <v>3.5819485714285713</v>
      </c>
      <c r="G163" s="181">
        <v>8.8165339428571432</v>
      </c>
      <c r="H163" s="181">
        <v>14.096959999999999</v>
      </c>
      <c r="I163" s="181">
        <v>18.980871314285711</v>
      </c>
      <c r="J163" s="181">
        <v>23.323104914285715</v>
      </c>
      <c r="K163" s="181">
        <v>26.1947264</v>
      </c>
      <c r="L163" s="181">
        <v>27.88219794285714</v>
      </c>
      <c r="M163" s="181">
        <v>28.844028342857143</v>
      </c>
      <c r="N163" s="181">
        <v>29.255200914285712</v>
      </c>
      <c r="O163" s="181">
        <v>29.171686399999999</v>
      </c>
    </row>
    <row r="164" spans="1:15" hidden="1" x14ac:dyDescent="0.25">
      <c r="A164" s="180" t="s">
        <v>1660</v>
      </c>
      <c r="B164" s="180" t="s">
        <v>1661</v>
      </c>
      <c r="C164" s="180" t="s">
        <v>1668</v>
      </c>
      <c r="D164" s="180" t="s">
        <v>1695</v>
      </c>
      <c r="E164" s="180" t="s">
        <v>1664</v>
      </c>
      <c r="F164" s="181">
        <v>2.3405299107142857E-3</v>
      </c>
      <c r="G164" s="181">
        <v>7.3701799107142854E-3</v>
      </c>
      <c r="H164" s="181">
        <v>0.77184085714285711</v>
      </c>
      <c r="I164" s="181">
        <v>0.8668662857142857</v>
      </c>
      <c r="J164" s="181">
        <v>1.1716748571428572</v>
      </c>
      <c r="K164" s="181">
        <v>1.8328697142857144</v>
      </c>
      <c r="L164" s="181">
        <v>2.7227455999999997</v>
      </c>
      <c r="M164" s="181">
        <v>3.9024685714285714</v>
      </c>
      <c r="N164" s="181">
        <v>5.3590884571428568</v>
      </c>
      <c r="O164" s="181">
        <v>7.0309627428571417</v>
      </c>
    </row>
    <row r="165" spans="1:15" hidden="1" x14ac:dyDescent="0.25">
      <c r="A165" s="180" t="s">
        <v>1660</v>
      </c>
      <c r="B165" s="180" t="s">
        <v>1661</v>
      </c>
      <c r="C165" s="180" t="s">
        <v>1669</v>
      </c>
      <c r="D165" s="180" t="s">
        <v>1695</v>
      </c>
      <c r="E165" s="180" t="s">
        <v>1664</v>
      </c>
      <c r="F165" s="181">
        <v>0.28788542857142857</v>
      </c>
      <c r="G165" s="181">
        <v>0.82138800000000001</v>
      </c>
      <c r="H165" s="181">
        <v>1.7091785142857141</v>
      </c>
      <c r="I165" s="181">
        <v>2.2729764571428572</v>
      </c>
      <c r="J165" s="181">
        <v>4.8489654857142854</v>
      </c>
      <c r="K165" s="181">
        <v>7.329300114285715</v>
      </c>
      <c r="L165" s="181">
        <v>10.172891428571429</v>
      </c>
      <c r="M165" s="181">
        <v>13.313025828571428</v>
      </c>
      <c r="N165" s="181">
        <v>16.566469485714283</v>
      </c>
      <c r="O165" s="181">
        <v>19.790623085714284</v>
      </c>
    </row>
    <row r="166" spans="1:15" hidden="1" x14ac:dyDescent="0.25">
      <c r="A166" s="180" t="s">
        <v>1660</v>
      </c>
      <c r="B166" s="180" t="s">
        <v>1661</v>
      </c>
      <c r="C166" s="180" t="s">
        <v>1670</v>
      </c>
      <c r="D166" s="180" t="s">
        <v>1695</v>
      </c>
      <c r="E166" s="180" t="s">
        <v>1664</v>
      </c>
      <c r="F166" s="181">
        <v>0.18334819999999999</v>
      </c>
      <c r="G166" s="181">
        <v>0.34018485714285712</v>
      </c>
      <c r="H166" s="181">
        <v>0.56175028571428565</v>
      </c>
      <c r="I166" s="181">
        <v>0.80738542857142848</v>
      </c>
      <c r="J166" s="181">
        <v>1.2506272</v>
      </c>
      <c r="K166" s="181">
        <v>1.8192999999999999</v>
      </c>
      <c r="L166" s="181">
        <v>2.4133801142857139</v>
      </c>
      <c r="M166" s="181">
        <v>3.0194655999999997</v>
      </c>
      <c r="N166" s="181">
        <v>3.5888941714285711</v>
      </c>
      <c r="O166" s="181">
        <v>4.0979145142857147</v>
      </c>
    </row>
    <row r="167" spans="1:15" hidden="1" x14ac:dyDescent="0.25">
      <c r="A167" s="180" t="s">
        <v>1660</v>
      </c>
      <c r="B167" s="180" t="s">
        <v>1661</v>
      </c>
      <c r="C167" s="180" t="s">
        <v>1671</v>
      </c>
      <c r="D167" s="180" t="s">
        <v>1695</v>
      </c>
      <c r="E167" s="180" t="s">
        <v>1664</v>
      </c>
      <c r="F167" s="181">
        <v>2.6728406857142857</v>
      </c>
      <c r="G167" s="181">
        <v>2.6942045714285712</v>
      </c>
      <c r="H167" s="181">
        <v>2.7644704</v>
      </c>
      <c r="I167" s="181">
        <v>2.7181282285714281</v>
      </c>
      <c r="J167" s="181">
        <v>2.7461869714285712</v>
      </c>
      <c r="K167" s="181">
        <v>2.781262857142857</v>
      </c>
      <c r="L167" s="181">
        <v>2.7897398857142854</v>
      </c>
      <c r="M167" s="181">
        <v>2.7816845714285714</v>
      </c>
      <c r="N167" s="181">
        <v>2.7691110857142855</v>
      </c>
      <c r="O167" s="181">
        <v>2.7493529142857143</v>
      </c>
    </row>
    <row r="168" spans="1:15" hidden="1" x14ac:dyDescent="0.25">
      <c r="A168" s="180" t="s">
        <v>1660</v>
      </c>
      <c r="B168" s="180" t="s">
        <v>1661</v>
      </c>
      <c r="C168" s="180" t="s">
        <v>1672</v>
      </c>
      <c r="D168" s="180" t="s">
        <v>1695</v>
      </c>
      <c r="E168" s="180" t="s">
        <v>1664</v>
      </c>
      <c r="F168" s="181">
        <v>1.7865434285714283</v>
      </c>
      <c r="G168" s="181">
        <v>2.0049647999999998</v>
      </c>
      <c r="H168" s="181">
        <v>2.1780002285714284</v>
      </c>
      <c r="I168" s="181">
        <v>2.3123858285714287</v>
      </c>
      <c r="J168" s="181">
        <v>2.4584957714285713</v>
      </c>
      <c r="K168" s="181">
        <v>2.558065142857143</v>
      </c>
      <c r="L168" s="181">
        <v>2.616989257142857</v>
      </c>
      <c r="M168" s="181">
        <v>2.6390911999999997</v>
      </c>
      <c r="N168" s="181">
        <v>2.6304445714285714</v>
      </c>
      <c r="O168" s="181">
        <v>2.5948774857142856</v>
      </c>
    </row>
    <row r="169" spans="1:15" hidden="1" x14ac:dyDescent="0.25">
      <c r="A169" s="180" t="s">
        <v>1660</v>
      </c>
      <c r="B169" s="180" t="s">
        <v>1661</v>
      </c>
      <c r="C169" s="180" t="s">
        <v>1673</v>
      </c>
      <c r="D169" s="180" t="s">
        <v>1695</v>
      </c>
      <c r="E169" s="180" t="s">
        <v>1664</v>
      </c>
      <c r="F169" s="181">
        <v>2.6080169142857144</v>
      </c>
      <c r="G169" s="181">
        <v>3.3037142857142854</v>
      </c>
      <c r="H169" s="181">
        <v>3.871994514285714</v>
      </c>
      <c r="I169" s="181">
        <v>4.4305545142857135</v>
      </c>
      <c r="J169" s="181">
        <v>4.9440859428571429</v>
      </c>
      <c r="K169" s="181">
        <v>5.8753426285714285</v>
      </c>
      <c r="L169" s="181">
        <v>6.7896000000000001</v>
      </c>
      <c r="M169" s="181">
        <v>7.6943231999999995</v>
      </c>
      <c r="N169" s="181">
        <v>8.5544575999999992</v>
      </c>
      <c r="O169" s="181">
        <v>9.3542655999999997</v>
      </c>
    </row>
    <row r="170" spans="1:15" hidden="1" x14ac:dyDescent="0.25">
      <c r="A170" s="180" t="s">
        <v>1660</v>
      </c>
      <c r="B170" s="180" t="s">
        <v>1661</v>
      </c>
      <c r="C170" s="180" t="s">
        <v>1674</v>
      </c>
      <c r="D170" s="180" t="s">
        <v>1695</v>
      </c>
      <c r="E170" s="180" t="s">
        <v>1664</v>
      </c>
      <c r="F170" s="181">
        <v>0.99277657142857145</v>
      </c>
      <c r="G170" s="181">
        <v>1.0950822857142857</v>
      </c>
      <c r="H170" s="181">
        <v>1.280574857142857</v>
      </c>
      <c r="I170" s="181">
        <v>1.2998516571428571</v>
      </c>
      <c r="J170" s="181">
        <v>1.4987205714285714</v>
      </c>
      <c r="K170" s="181">
        <v>1.7268954285714284</v>
      </c>
      <c r="L170" s="181">
        <v>1.9526176</v>
      </c>
      <c r="M170" s="181">
        <v>2.1705325714285713</v>
      </c>
      <c r="N170" s="181">
        <v>2.3732207999999999</v>
      </c>
      <c r="O170" s="181">
        <v>2.5655867428571426</v>
      </c>
    </row>
    <row r="171" spans="1:15" hidden="1" x14ac:dyDescent="0.25">
      <c r="A171" s="180" t="s">
        <v>1660</v>
      </c>
      <c r="B171" s="180" t="s">
        <v>1661</v>
      </c>
      <c r="C171" s="180" t="s">
        <v>1675</v>
      </c>
      <c r="D171" s="180" t="s">
        <v>1695</v>
      </c>
      <c r="E171" s="180" t="s">
        <v>1664</v>
      </c>
      <c r="F171" s="181">
        <v>0.34865771428571424</v>
      </c>
      <c r="G171" s="181">
        <v>0.51297999999999999</v>
      </c>
      <c r="H171" s="181">
        <v>0.55710342857142858</v>
      </c>
      <c r="I171" s="181">
        <v>0.67999142857142847</v>
      </c>
      <c r="J171" s="181">
        <v>0.7876562857142857</v>
      </c>
      <c r="K171" s="181">
        <v>1.1087708571428569</v>
      </c>
      <c r="L171" s="181">
        <v>1.4652342857142857</v>
      </c>
      <c r="M171" s="181">
        <v>1.8493668571428572</v>
      </c>
      <c r="N171" s="181">
        <v>2.2480790857142856</v>
      </c>
      <c r="O171" s="181">
        <v>2.6463485714285713</v>
      </c>
    </row>
    <row r="172" spans="1:15" hidden="1" x14ac:dyDescent="0.25">
      <c r="A172" s="180" t="s">
        <v>1660</v>
      </c>
      <c r="B172" s="180" t="s">
        <v>1661</v>
      </c>
      <c r="C172" s="180" t="s">
        <v>1676</v>
      </c>
      <c r="D172" s="180" t="s">
        <v>1695</v>
      </c>
      <c r="E172" s="180" t="s">
        <v>1664</v>
      </c>
      <c r="F172" s="181">
        <v>0.4798797142857143</v>
      </c>
      <c r="G172" s="181">
        <v>0.53084542857142858</v>
      </c>
      <c r="H172" s="181">
        <v>0.58693371428571428</v>
      </c>
      <c r="I172" s="181">
        <v>0.63206571428571423</v>
      </c>
      <c r="J172" s="181">
        <v>0.69669599999999987</v>
      </c>
      <c r="K172" s="181">
        <v>0.75518142857142856</v>
      </c>
      <c r="L172" s="181">
        <v>0.81124228571428569</v>
      </c>
      <c r="M172" s="181">
        <v>0.86690514285714282</v>
      </c>
      <c r="N172" s="181">
        <v>0.92256571428571432</v>
      </c>
      <c r="O172" s="181">
        <v>0.97597279999999997</v>
      </c>
    </row>
    <row r="173" spans="1:15" hidden="1" x14ac:dyDescent="0.25">
      <c r="A173" s="180" t="s">
        <v>1660</v>
      </c>
      <c r="B173" s="180" t="s">
        <v>1661</v>
      </c>
      <c r="C173" s="180" t="s">
        <v>1677</v>
      </c>
      <c r="D173" s="180" t="s">
        <v>1695</v>
      </c>
      <c r="E173" s="180" t="s">
        <v>1664</v>
      </c>
      <c r="F173" s="181">
        <v>0.40878657142857144</v>
      </c>
      <c r="G173" s="181">
        <v>0.48861285714285713</v>
      </c>
      <c r="H173" s="181">
        <v>0.59054542857142855</v>
      </c>
      <c r="I173" s="181">
        <v>0.63646142857142851</v>
      </c>
      <c r="J173" s="181">
        <v>0.7755777142857142</v>
      </c>
      <c r="K173" s="181">
        <v>0.95456371428571418</v>
      </c>
      <c r="L173" s="181">
        <v>1.1394371428571428</v>
      </c>
      <c r="M173" s="181">
        <v>1.3305248000000001</v>
      </c>
      <c r="N173" s="181">
        <v>1.5206991999999999</v>
      </c>
      <c r="O173" s="181">
        <v>1.695568</v>
      </c>
    </row>
    <row r="174" spans="1:15" hidden="1" x14ac:dyDescent="0.25">
      <c r="A174" s="180" t="s">
        <v>1660</v>
      </c>
      <c r="B174" s="180" t="s">
        <v>1661</v>
      </c>
      <c r="C174" s="180" t="s">
        <v>1678</v>
      </c>
      <c r="D174" s="180" t="s">
        <v>1695</v>
      </c>
      <c r="E174" s="180" t="s">
        <v>1664</v>
      </c>
      <c r="F174" s="181">
        <v>8.9710857142857141E-3</v>
      </c>
      <c r="G174" s="181">
        <v>2.652055357142857E-2</v>
      </c>
      <c r="H174" s="181">
        <v>4.6665199999999997E-2</v>
      </c>
      <c r="I174" s="181">
        <v>6.1643657142857147E-2</v>
      </c>
      <c r="J174" s="181">
        <v>9.3665028571428569E-2</v>
      </c>
      <c r="K174" s="181">
        <v>0.15096951428571426</v>
      </c>
      <c r="L174" s="181">
        <v>0.23145462857142854</v>
      </c>
      <c r="M174" s="181">
        <v>0.36043085714285711</v>
      </c>
      <c r="N174" s="181">
        <v>0.56600028571428562</v>
      </c>
      <c r="O174" s="181">
        <v>0.87736314285714279</v>
      </c>
    </row>
    <row r="175" spans="1:15" hidden="1" x14ac:dyDescent="0.25">
      <c r="A175" s="180" t="s">
        <v>1660</v>
      </c>
      <c r="B175" s="180" t="s">
        <v>1661</v>
      </c>
      <c r="C175" s="180" t="s">
        <v>1679</v>
      </c>
      <c r="D175" s="180" t="s">
        <v>1695</v>
      </c>
      <c r="E175" s="180" t="s">
        <v>1664</v>
      </c>
      <c r="F175" s="181">
        <v>1.0273076571428572</v>
      </c>
      <c r="G175" s="181">
        <v>1.4296539428571426</v>
      </c>
      <c r="H175" s="181">
        <v>1.3571914285714286</v>
      </c>
      <c r="I175" s="181">
        <v>1.4261537142857144</v>
      </c>
      <c r="J175" s="181">
        <v>1.7625954285714285</v>
      </c>
      <c r="K175" s="181">
        <v>2.1331766857142855</v>
      </c>
      <c r="L175" s="181">
        <v>2.5067775999999995</v>
      </c>
      <c r="M175" s="181">
        <v>2.8806427428571428</v>
      </c>
      <c r="N175" s="181">
        <v>3.2463286857142859</v>
      </c>
      <c r="O175" s="181">
        <v>3.5984256000000001</v>
      </c>
    </row>
    <row r="176" spans="1:15" hidden="1" x14ac:dyDescent="0.25">
      <c r="A176" s="180" t="s">
        <v>1660</v>
      </c>
      <c r="B176" s="180" t="s">
        <v>1661</v>
      </c>
      <c r="C176" s="180" t="s">
        <v>1680</v>
      </c>
      <c r="D176" s="180" t="s">
        <v>1695</v>
      </c>
      <c r="E176" s="180" t="s">
        <v>1664</v>
      </c>
      <c r="F176" s="181">
        <v>3.376314285714286E-2</v>
      </c>
      <c r="G176" s="181">
        <v>6.7985257142857136E-2</v>
      </c>
      <c r="H176" s="181">
        <v>0.12719725714285715</v>
      </c>
      <c r="I176" s="181">
        <v>0.18063454285714287</v>
      </c>
      <c r="J176" s="181">
        <v>0.25475468571428572</v>
      </c>
      <c r="K176" s="181">
        <v>0.4506545714285714</v>
      </c>
      <c r="L176" s="181">
        <v>0.73641285714285709</v>
      </c>
      <c r="M176" s="181">
        <v>1.1496150857142857</v>
      </c>
      <c r="N176" s="181">
        <v>1.7111914285714285</v>
      </c>
      <c r="O176" s="181">
        <v>2.4338409142857143</v>
      </c>
    </row>
    <row r="177" spans="1:15" hidden="1" x14ac:dyDescent="0.25">
      <c r="A177" s="180" t="s">
        <v>1660</v>
      </c>
      <c r="B177" s="180" t="s">
        <v>1661</v>
      </c>
      <c r="C177" s="180" t="s">
        <v>1681</v>
      </c>
      <c r="D177" s="180" t="s">
        <v>1695</v>
      </c>
      <c r="E177" s="180" t="s">
        <v>1664</v>
      </c>
      <c r="F177" s="181">
        <v>1.2930676571428572</v>
      </c>
      <c r="G177" s="181">
        <v>1.6079757714285714</v>
      </c>
      <c r="H177" s="181">
        <v>1.7462777142857142</v>
      </c>
      <c r="I177" s="181">
        <v>1.7900550857142856</v>
      </c>
      <c r="J177" s="181">
        <v>2.0050731428571429</v>
      </c>
      <c r="K177" s="181">
        <v>2.2504384000000002</v>
      </c>
      <c r="L177" s="181">
        <v>2.4363590857142854</v>
      </c>
      <c r="M177" s="181">
        <v>2.5802388571428572</v>
      </c>
      <c r="N177" s="181">
        <v>2.6826738285714282</v>
      </c>
      <c r="O177" s="181">
        <v>2.755963657142857</v>
      </c>
    </row>
    <row r="178" spans="1:15" hidden="1" x14ac:dyDescent="0.25">
      <c r="A178" s="180" t="s">
        <v>1660</v>
      </c>
      <c r="B178" s="180" t="s">
        <v>1661</v>
      </c>
      <c r="C178" s="180" t="s">
        <v>1682</v>
      </c>
      <c r="D178" s="180" t="s">
        <v>1695</v>
      </c>
      <c r="E178" s="180" t="s">
        <v>1664</v>
      </c>
      <c r="F178" s="181">
        <v>0.26595014285714286</v>
      </c>
      <c r="G178" s="181">
        <v>0.32692885714285708</v>
      </c>
      <c r="H178" s="181">
        <v>0.36611885714285713</v>
      </c>
      <c r="I178" s="181">
        <v>0.36360685714285712</v>
      </c>
      <c r="J178" s="181">
        <v>0.40901742857142853</v>
      </c>
      <c r="K178" s="181">
        <v>0.50557942857142857</v>
      </c>
      <c r="L178" s="181">
        <v>0.60088685714285706</v>
      </c>
      <c r="M178" s="181">
        <v>0.69442142857142852</v>
      </c>
      <c r="N178" s="181">
        <v>0.78311228571428571</v>
      </c>
      <c r="O178" s="181">
        <v>0.86573885714285714</v>
      </c>
    </row>
    <row r="179" spans="1:15" hidden="1" x14ac:dyDescent="0.25">
      <c r="A179" s="180" t="s">
        <v>1660</v>
      </c>
      <c r="B179" s="180" t="s">
        <v>1661</v>
      </c>
      <c r="C179" s="180" t="s">
        <v>1683</v>
      </c>
      <c r="D179" s="180" t="s">
        <v>1695</v>
      </c>
      <c r="E179" s="180" t="s">
        <v>1664</v>
      </c>
      <c r="F179" s="181">
        <v>0.65951942857142853</v>
      </c>
      <c r="G179" s="181">
        <v>1.0671419428571427</v>
      </c>
      <c r="H179" s="181">
        <v>1.6206645714285712</v>
      </c>
      <c r="I179" s="181">
        <v>2.0420141714285713</v>
      </c>
      <c r="J179" s="181">
        <v>2.9232201142857144</v>
      </c>
      <c r="K179" s="181">
        <v>3.8287542857142851</v>
      </c>
      <c r="L179" s="181">
        <v>4.7400571428571423</v>
      </c>
      <c r="M179" s="181">
        <v>5.6669229714285709</v>
      </c>
      <c r="N179" s="181">
        <v>6.5705942857142858</v>
      </c>
      <c r="O179" s="181">
        <v>7.4176713142857142</v>
      </c>
    </row>
    <row r="180" spans="1:15" hidden="1" x14ac:dyDescent="0.25">
      <c r="A180" s="180" t="s">
        <v>1660</v>
      </c>
      <c r="B180" s="180" t="s">
        <v>1661</v>
      </c>
      <c r="C180" s="180" t="s">
        <v>1684</v>
      </c>
      <c r="D180" s="180" t="s">
        <v>1695</v>
      </c>
      <c r="E180" s="180" t="s">
        <v>1664</v>
      </c>
      <c r="F180" s="181">
        <v>7.3320799999999992E-2</v>
      </c>
      <c r="G180" s="181">
        <v>0.14556299999999997</v>
      </c>
      <c r="H180" s="181">
        <v>0.23733962857142857</v>
      </c>
      <c r="I180" s="181">
        <v>0.31265485714285712</v>
      </c>
      <c r="J180" s="181">
        <v>0.40785714285714281</v>
      </c>
      <c r="K180" s="181">
        <v>0.55572542857142848</v>
      </c>
      <c r="L180" s="181">
        <v>0.69719314285714284</v>
      </c>
      <c r="M180" s="181">
        <v>0.82213685714285711</v>
      </c>
      <c r="N180" s="181">
        <v>0.92613171428571417</v>
      </c>
      <c r="O180" s="181">
        <v>1.0066668571428572</v>
      </c>
    </row>
    <row r="181" spans="1:15" hidden="1" x14ac:dyDescent="0.25">
      <c r="A181" s="180" t="s">
        <v>1660</v>
      </c>
      <c r="B181" s="180" t="s">
        <v>1661</v>
      </c>
      <c r="C181" s="180" t="s">
        <v>1685</v>
      </c>
      <c r="D181" s="180" t="s">
        <v>1695</v>
      </c>
      <c r="E181" s="180" t="s">
        <v>1664</v>
      </c>
      <c r="F181" s="181">
        <v>0.51763542857142852</v>
      </c>
      <c r="G181" s="181">
        <v>0.61153399999999991</v>
      </c>
      <c r="H181" s="181">
        <v>0.87707542857142862</v>
      </c>
      <c r="I181" s="181">
        <v>0.986683657142857</v>
      </c>
      <c r="J181" s="181">
        <v>1.1476405714285713</v>
      </c>
      <c r="K181" s="181">
        <v>1.3051190857142856</v>
      </c>
      <c r="L181" s="181">
        <v>1.4455830857142857</v>
      </c>
      <c r="M181" s="181">
        <v>1.5779977142857142</v>
      </c>
      <c r="N181" s="181">
        <v>1.6974628571428569</v>
      </c>
      <c r="O181" s="181">
        <v>1.8026737142857141</v>
      </c>
    </row>
    <row r="182" spans="1:15" hidden="1" x14ac:dyDescent="0.25">
      <c r="A182" s="180" t="s">
        <v>1660</v>
      </c>
      <c r="B182" s="180" t="s">
        <v>1661</v>
      </c>
      <c r="C182" s="180" t="s">
        <v>1686</v>
      </c>
      <c r="D182" s="180" t="s">
        <v>1695</v>
      </c>
      <c r="E182" s="180" t="s">
        <v>1664</v>
      </c>
      <c r="F182" s="181">
        <v>0.1842666857142857</v>
      </c>
      <c r="G182" s="181">
        <v>0.23953962857142855</v>
      </c>
      <c r="H182" s="181">
        <v>0.22009671428571428</v>
      </c>
      <c r="I182" s="181">
        <v>0.25201962857142857</v>
      </c>
      <c r="J182" s="181">
        <v>0.31845257142857142</v>
      </c>
      <c r="K182" s="181">
        <v>0.40065942857142856</v>
      </c>
      <c r="L182" s="181">
        <v>0.47974142857142854</v>
      </c>
      <c r="M182" s="181">
        <v>0.55163114285714288</v>
      </c>
      <c r="N182" s="181">
        <v>0.61353342857142856</v>
      </c>
      <c r="O182" s="181">
        <v>0.66637514285714283</v>
      </c>
    </row>
    <row r="183" spans="1:15" hidden="1" x14ac:dyDescent="0.25">
      <c r="A183" s="180" t="s">
        <v>1660</v>
      </c>
      <c r="B183" s="180" t="s">
        <v>1661</v>
      </c>
      <c r="C183" s="180" t="s">
        <v>18</v>
      </c>
      <c r="D183" s="180" t="s">
        <v>1695</v>
      </c>
      <c r="E183" s="180" t="s">
        <v>1664</v>
      </c>
      <c r="F183" s="181">
        <v>6.8418084571428563</v>
      </c>
      <c r="G183" s="181">
        <v>7.0999913142857141</v>
      </c>
      <c r="H183" s="181">
        <v>7.6406683428571425</v>
      </c>
      <c r="I183" s="181">
        <v>8.0448941714285702</v>
      </c>
      <c r="J183" s="181">
        <v>8.6586340571428568</v>
      </c>
      <c r="K183" s="181">
        <v>9.2069174857142855</v>
      </c>
      <c r="L183" s="181">
        <v>9.694917485714285</v>
      </c>
      <c r="M183" s="181">
        <v>10.140700342857143</v>
      </c>
      <c r="N183" s="181">
        <v>10.5471168</v>
      </c>
      <c r="O183" s="181">
        <v>10.9185344</v>
      </c>
    </row>
    <row r="184" spans="1:15" hidden="1" x14ac:dyDescent="0.25">
      <c r="A184" s="180" t="s">
        <v>1660</v>
      </c>
      <c r="B184" s="180" t="s">
        <v>1661</v>
      </c>
      <c r="C184" s="180" t="s">
        <v>1687</v>
      </c>
      <c r="D184" s="180" t="s">
        <v>1695</v>
      </c>
      <c r="E184" s="180" t="s">
        <v>1664</v>
      </c>
      <c r="F184" s="181">
        <v>1.6759996428571428E-2</v>
      </c>
      <c r="G184" s="181">
        <v>3.4034799999999997E-2</v>
      </c>
      <c r="H184" s="181">
        <v>5.9113057142857132E-2</v>
      </c>
      <c r="I184" s="181">
        <v>7.659408571428572E-2</v>
      </c>
      <c r="J184" s="181">
        <v>0.12130934285714286</v>
      </c>
      <c r="K184" s="181">
        <v>0.26448879999999997</v>
      </c>
      <c r="L184" s="181">
        <v>0.5134334285714286</v>
      </c>
      <c r="M184" s="181">
        <v>0.93098457142857138</v>
      </c>
      <c r="N184" s="181">
        <v>1.5933666285714285</v>
      </c>
      <c r="O184" s="181">
        <v>2.5844285714285715</v>
      </c>
    </row>
    <row r="185" spans="1:15" hidden="1" x14ac:dyDescent="0.25">
      <c r="A185" s="180" t="s">
        <v>1660</v>
      </c>
      <c r="B185" s="180" t="s">
        <v>1661</v>
      </c>
      <c r="C185" s="180" t="s">
        <v>1688</v>
      </c>
      <c r="D185" s="180" t="s">
        <v>1695</v>
      </c>
      <c r="E185" s="180" t="s">
        <v>1664</v>
      </c>
      <c r="F185" s="181">
        <v>7.2281545142857135</v>
      </c>
      <c r="G185" s="181">
        <v>7.4976457142857145</v>
      </c>
      <c r="H185" s="181">
        <v>7.7824831999999997</v>
      </c>
      <c r="I185" s="181">
        <v>7.6783625142857135</v>
      </c>
      <c r="J185" s="181">
        <v>8.4463113142857136</v>
      </c>
      <c r="K185" s="181">
        <v>8.9351515428571417</v>
      </c>
      <c r="L185" s="181">
        <v>9.4330971428571413</v>
      </c>
      <c r="M185" s="181">
        <v>9.9500489142857145</v>
      </c>
      <c r="N185" s="181">
        <v>10.45574857142857</v>
      </c>
      <c r="O185" s="181">
        <v>10.930971428571429</v>
      </c>
    </row>
    <row r="186" spans="1:15" x14ac:dyDescent="0.25">
      <c r="A186" s="180" t="s">
        <v>1660</v>
      </c>
      <c r="B186" s="180" t="s">
        <v>1661</v>
      </c>
      <c r="C186" s="180" t="s">
        <v>1689</v>
      </c>
      <c r="D186" s="180" t="s">
        <v>1695</v>
      </c>
      <c r="E186" s="180" t="s">
        <v>1664</v>
      </c>
      <c r="F186" s="181">
        <v>34.342370742857142</v>
      </c>
      <c r="G186" s="181">
        <v>44.214743771428573</v>
      </c>
      <c r="H186" s="181">
        <v>54.842170514285712</v>
      </c>
      <c r="I186" s="181">
        <v>62.796858514285709</v>
      </c>
      <c r="J186" s="181">
        <v>75.596141714285707</v>
      </c>
      <c r="K186" s="181">
        <v>88.021430857142846</v>
      </c>
      <c r="L186" s="181">
        <v>99.866367999999994</v>
      </c>
      <c r="M186" s="181">
        <v>111.76842971428572</v>
      </c>
      <c r="N186" s="181">
        <v>123.63891565714286</v>
      </c>
      <c r="O186" s="181">
        <v>135.34728777142857</v>
      </c>
    </row>
    <row r="187" spans="1:15" hidden="1" x14ac:dyDescent="0.25">
      <c r="A187" s="180" t="s">
        <v>1660</v>
      </c>
      <c r="B187" s="180" t="s">
        <v>1661</v>
      </c>
      <c r="C187" s="180" t="s">
        <v>1662</v>
      </c>
      <c r="D187" s="180" t="s">
        <v>1696</v>
      </c>
      <c r="E187" s="180" t="s">
        <v>1664</v>
      </c>
      <c r="F187" s="181">
        <v>0.57975114285714291</v>
      </c>
      <c r="G187" s="181">
        <v>0.77464028571428567</v>
      </c>
      <c r="H187" s="181">
        <v>0.82469714285714291</v>
      </c>
      <c r="I187" s="181">
        <v>0.83081971428571422</v>
      </c>
      <c r="J187" s="181">
        <v>0.97568137142857148</v>
      </c>
      <c r="K187" s="181">
        <v>1.1356432000000001</v>
      </c>
      <c r="L187" s="181">
        <v>1.2816580571428571</v>
      </c>
      <c r="M187" s="181">
        <v>1.4234637714285714</v>
      </c>
      <c r="N187" s="181">
        <v>1.5566573714285714</v>
      </c>
      <c r="O187" s="181">
        <v>1.6775065142857142</v>
      </c>
    </row>
    <row r="188" spans="1:15" hidden="1" x14ac:dyDescent="0.25">
      <c r="A188" s="180" t="s">
        <v>1660</v>
      </c>
      <c r="B188" s="180" t="s">
        <v>1661</v>
      </c>
      <c r="C188" s="180" t="s">
        <v>1665</v>
      </c>
      <c r="D188" s="180" t="s">
        <v>1696</v>
      </c>
      <c r="E188" s="180" t="s">
        <v>1664</v>
      </c>
      <c r="F188" s="181">
        <v>0.34703799999999996</v>
      </c>
      <c r="G188" s="181">
        <v>0.36794542857142859</v>
      </c>
      <c r="H188" s="181">
        <v>0.3957565714285714</v>
      </c>
      <c r="I188" s="181">
        <v>0.4132454285714286</v>
      </c>
      <c r="J188" s="181">
        <v>0.44297599999999998</v>
      </c>
      <c r="K188" s="181">
        <v>0.47075857142857142</v>
      </c>
      <c r="L188" s="181">
        <v>0.49815628571428566</v>
      </c>
      <c r="M188" s="181">
        <v>0.52514428571428573</v>
      </c>
      <c r="N188" s="181">
        <v>0.55129371428571428</v>
      </c>
      <c r="O188" s="181">
        <v>0.5764071428571429</v>
      </c>
    </row>
    <row r="189" spans="1:15" hidden="1" x14ac:dyDescent="0.25">
      <c r="A189" s="180" t="s">
        <v>1660</v>
      </c>
      <c r="B189" s="180" t="s">
        <v>1661</v>
      </c>
      <c r="C189" s="180" t="s">
        <v>1666</v>
      </c>
      <c r="D189" s="180" t="s">
        <v>1696</v>
      </c>
      <c r="E189" s="180" t="s">
        <v>1664</v>
      </c>
      <c r="F189" s="181">
        <v>0.62999028571428572</v>
      </c>
      <c r="G189" s="181">
        <v>0.74624514285714283</v>
      </c>
      <c r="H189" s="181">
        <v>0.85898314285714283</v>
      </c>
      <c r="I189" s="181">
        <v>0.91877485714285712</v>
      </c>
      <c r="J189" s="181">
        <v>1.0742091428571428</v>
      </c>
      <c r="K189" s="181">
        <v>1.1890066285714285</v>
      </c>
      <c r="L189" s="181">
        <v>1.2880665142857142</v>
      </c>
      <c r="M189" s="181">
        <v>1.3698182857142855</v>
      </c>
      <c r="N189" s="181">
        <v>1.4331986285714287</v>
      </c>
      <c r="O189" s="181">
        <v>1.4836093714285714</v>
      </c>
    </row>
    <row r="190" spans="1:15" hidden="1" x14ac:dyDescent="0.25">
      <c r="A190" s="180" t="s">
        <v>1660</v>
      </c>
      <c r="B190" s="180" t="s">
        <v>1661</v>
      </c>
      <c r="C190" s="180" t="s">
        <v>1667</v>
      </c>
      <c r="D190" s="180" t="s">
        <v>1696</v>
      </c>
      <c r="E190" s="180" t="s">
        <v>1664</v>
      </c>
      <c r="F190" s="181">
        <v>1.9642944</v>
      </c>
      <c r="G190" s="181">
        <v>4.8348745142857146</v>
      </c>
      <c r="H190" s="181">
        <v>7.730591085714285</v>
      </c>
      <c r="I190" s="181">
        <v>10.408865828571427</v>
      </c>
      <c r="J190" s="181">
        <v>12.790090971428571</v>
      </c>
      <c r="K190" s="181">
        <v>14.3648512</v>
      </c>
      <c r="L190" s="181">
        <v>15.290240000000001</v>
      </c>
      <c r="M190" s="181">
        <v>15.817691428571427</v>
      </c>
      <c r="N190" s="181">
        <v>16.04318354285714</v>
      </c>
      <c r="O190" s="181">
        <v>15.997370514285715</v>
      </c>
    </row>
    <row r="191" spans="1:15" hidden="1" x14ac:dyDescent="0.25">
      <c r="A191" s="180" t="s">
        <v>1660</v>
      </c>
      <c r="B191" s="180" t="s">
        <v>1661</v>
      </c>
      <c r="C191" s="180" t="s">
        <v>1668</v>
      </c>
      <c r="D191" s="180" t="s">
        <v>1696</v>
      </c>
      <c r="E191" s="180" t="s">
        <v>1664</v>
      </c>
      <c r="F191" s="181">
        <v>1.2835165178571428E-3</v>
      </c>
      <c r="G191" s="181">
        <v>4.0417116071428567E-3</v>
      </c>
      <c r="H191" s="181">
        <v>0.42326742857142852</v>
      </c>
      <c r="I191" s="181">
        <v>0.4753782857142857</v>
      </c>
      <c r="J191" s="181">
        <v>0.64253142857142853</v>
      </c>
      <c r="K191" s="181">
        <v>1.0051222857142856</v>
      </c>
      <c r="L191" s="181">
        <v>1.4931188571428571</v>
      </c>
      <c r="M191" s="181">
        <v>2.140062857142857</v>
      </c>
      <c r="N191" s="181">
        <v>2.9388543999999999</v>
      </c>
      <c r="O191" s="181">
        <v>3.855688685714286</v>
      </c>
    </row>
    <row r="192" spans="1:15" hidden="1" x14ac:dyDescent="0.25">
      <c r="A192" s="180" t="s">
        <v>1660</v>
      </c>
      <c r="B192" s="180" t="s">
        <v>1661</v>
      </c>
      <c r="C192" s="180" t="s">
        <v>1669</v>
      </c>
      <c r="D192" s="180" t="s">
        <v>1696</v>
      </c>
      <c r="E192" s="180" t="s">
        <v>1664</v>
      </c>
      <c r="F192" s="181">
        <v>0.15787271428571428</v>
      </c>
      <c r="G192" s="181">
        <v>0.45043857142857141</v>
      </c>
      <c r="H192" s="181">
        <v>0.93729142857142855</v>
      </c>
      <c r="I192" s="181">
        <v>1.2464710857142856</v>
      </c>
      <c r="J192" s="181">
        <v>2.6591103999999999</v>
      </c>
      <c r="K192" s="181">
        <v>4.0192941714285713</v>
      </c>
      <c r="L192" s="181">
        <v>5.5786829714285711</v>
      </c>
      <c r="M192" s="181">
        <v>7.3006912000000002</v>
      </c>
      <c r="N192" s="181">
        <v>9.0848374857142851</v>
      </c>
      <c r="O192" s="181">
        <v>10.852922514285714</v>
      </c>
    </row>
    <row r="193" spans="1:15" hidden="1" x14ac:dyDescent="0.25">
      <c r="A193" s="180" t="s">
        <v>1660</v>
      </c>
      <c r="B193" s="180" t="s">
        <v>1661</v>
      </c>
      <c r="C193" s="180" t="s">
        <v>1670</v>
      </c>
      <c r="D193" s="180" t="s">
        <v>1696</v>
      </c>
      <c r="E193" s="180" t="s">
        <v>1664</v>
      </c>
      <c r="F193" s="181">
        <v>0.10054579999999999</v>
      </c>
      <c r="G193" s="181">
        <v>0.18655294285714286</v>
      </c>
      <c r="H193" s="181">
        <v>0.3080565714285714</v>
      </c>
      <c r="I193" s="181">
        <v>0.44275999999999999</v>
      </c>
      <c r="J193" s="181">
        <v>0.68582771428571421</v>
      </c>
      <c r="K193" s="181">
        <v>0.99768091428571437</v>
      </c>
      <c r="L193" s="181">
        <v>1.3234665142857143</v>
      </c>
      <c r="M193" s="181">
        <v>1.6558363428571428</v>
      </c>
      <c r="N193" s="181">
        <v>1.9681028571428572</v>
      </c>
      <c r="O193" s="181">
        <v>2.2472436571428571</v>
      </c>
    </row>
    <row r="194" spans="1:15" hidden="1" x14ac:dyDescent="0.25">
      <c r="A194" s="180" t="s">
        <v>1660</v>
      </c>
      <c r="B194" s="180" t="s">
        <v>1661</v>
      </c>
      <c r="C194" s="180" t="s">
        <v>1671</v>
      </c>
      <c r="D194" s="180" t="s">
        <v>1696</v>
      </c>
      <c r="E194" s="180" t="s">
        <v>1664</v>
      </c>
      <c r="F194" s="181">
        <v>1.4657514285714286</v>
      </c>
      <c r="G194" s="181">
        <v>1.4774672</v>
      </c>
      <c r="H194" s="181">
        <v>1.5159999999999998</v>
      </c>
      <c r="I194" s="181">
        <v>1.4905865142857142</v>
      </c>
      <c r="J194" s="181">
        <v>1.5059737142857144</v>
      </c>
      <c r="K194" s="181">
        <v>1.5252085714285715</v>
      </c>
      <c r="L194" s="181">
        <v>1.5298577142857144</v>
      </c>
      <c r="M194" s="181">
        <v>1.5254399999999999</v>
      </c>
      <c r="N194" s="181">
        <v>1.5185449142857141</v>
      </c>
      <c r="O194" s="181">
        <v>1.5077097142857141</v>
      </c>
    </row>
    <row r="195" spans="1:15" hidden="1" x14ac:dyDescent="0.25">
      <c r="A195" s="180" t="s">
        <v>1660</v>
      </c>
      <c r="B195" s="180" t="s">
        <v>1661</v>
      </c>
      <c r="C195" s="180" t="s">
        <v>1672</v>
      </c>
      <c r="D195" s="180" t="s">
        <v>1696</v>
      </c>
      <c r="E195" s="180" t="s">
        <v>1664</v>
      </c>
      <c r="F195" s="181">
        <v>0.97971748571428574</v>
      </c>
      <c r="G195" s="181">
        <v>1.0994969142857143</v>
      </c>
      <c r="H195" s="181">
        <v>1.1943874285714284</v>
      </c>
      <c r="I195" s="181">
        <v>1.2680825142857144</v>
      </c>
      <c r="J195" s="181">
        <v>1.3482074285714285</v>
      </c>
      <c r="K195" s="181">
        <v>1.402810057142857</v>
      </c>
      <c r="L195" s="181">
        <v>1.4351232</v>
      </c>
      <c r="M195" s="181">
        <v>1.4472436571428571</v>
      </c>
      <c r="N195" s="181">
        <v>1.4425019428571428</v>
      </c>
      <c r="O195" s="181">
        <v>1.4229974857142855</v>
      </c>
    </row>
    <row r="196" spans="1:15" hidden="1" x14ac:dyDescent="0.25">
      <c r="A196" s="180" t="s">
        <v>1660</v>
      </c>
      <c r="B196" s="180" t="s">
        <v>1661</v>
      </c>
      <c r="C196" s="180" t="s">
        <v>1673</v>
      </c>
      <c r="D196" s="180" t="s">
        <v>1696</v>
      </c>
      <c r="E196" s="180" t="s">
        <v>1664</v>
      </c>
      <c r="F196" s="181">
        <v>1.4302028571428571</v>
      </c>
      <c r="G196" s="181">
        <v>1.8117140571428569</v>
      </c>
      <c r="H196" s="181">
        <v>2.1233526857142855</v>
      </c>
      <c r="I196" s="181">
        <v>2.4296585142857139</v>
      </c>
      <c r="J196" s="181">
        <v>2.7112729142857139</v>
      </c>
      <c r="K196" s="181">
        <v>3.2219629714285714</v>
      </c>
      <c r="L196" s="181">
        <v>3.7233284571428573</v>
      </c>
      <c r="M196" s="181">
        <v>4.2194688000000005</v>
      </c>
      <c r="N196" s="181">
        <v>4.6911542857142852</v>
      </c>
      <c r="O196" s="181">
        <v>5.1297572571428569</v>
      </c>
    </row>
    <row r="197" spans="1:15" hidden="1" x14ac:dyDescent="0.25">
      <c r="A197" s="180" t="s">
        <v>1660</v>
      </c>
      <c r="B197" s="180" t="s">
        <v>1661</v>
      </c>
      <c r="C197" s="180" t="s">
        <v>1674</v>
      </c>
      <c r="D197" s="180" t="s">
        <v>1696</v>
      </c>
      <c r="E197" s="180" t="s">
        <v>1664</v>
      </c>
      <c r="F197" s="181">
        <v>0.54442571428571429</v>
      </c>
      <c r="G197" s="181">
        <v>0.60052914285714287</v>
      </c>
      <c r="H197" s="181">
        <v>0.70225057142857139</v>
      </c>
      <c r="I197" s="181">
        <v>0.71282199999999996</v>
      </c>
      <c r="J197" s="181">
        <v>0.82187914285714281</v>
      </c>
      <c r="K197" s="181">
        <v>0.94700742857142861</v>
      </c>
      <c r="L197" s="181">
        <v>1.0707902857142857</v>
      </c>
      <c r="M197" s="181">
        <v>1.1902919999999999</v>
      </c>
      <c r="N197" s="181">
        <v>1.3014436571428571</v>
      </c>
      <c r="O197" s="181">
        <v>1.406934857142857</v>
      </c>
    </row>
    <row r="198" spans="1:15" hidden="1" x14ac:dyDescent="0.25">
      <c r="A198" s="180" t="s">
        <v>1660</v>
      </c>
      <c r="B198" s="180" t="s">
        <v>1661</v>
      </c>
      <c r="C198" s="180" t="s">
        <v>1675</v>
      </c>
      <c r="D198" s="180" t="s">
        <v>1696</v>
      </c>
      <c r="E198" s="180" t="s">
        <v>1664</v>
      </c>
      <c r="F198" s="181">
        <v>0.19119934285714285</v>
      </c>
      <c r="G198" s="181">
        <v>0.28131165714285711</v>
      </c>
      <c r="H198" s="181">
        <v>0.30550828571428568</v>
      </c>
      <c r="I198" s="181">
        <v>0.37289857142857141</v>
      </c>
      <c r="J198" s="181">
        <v>0.4319405714285714</v>
      </c>
      <c r="K198" s="181">
        <v>0.60803571428571423</v>
      </c>
      <c r="L198" s="181">
        <v>0.80351571428571422</v>
      </c>
      <c r="M198" s="181">
        <v>1.0141691428571429</v>
      </c>
      <c r="N198" s="181">
        <v>1.2328177142857144</v>
      </c>
      <c r="O198" s="181">
        <v>1.4512234285714285</v>
      </c>
    </row>
    <row r="199" spans="1:15" hidden="1" x14ac:dyDescent="0.25">
      <c r="A199" s="180" t="s">
        <v>1660</v>
      </c>
      <c r="B199" s="180" t="s">
        <v>1661</v>
      </c>
      <c r="C199" s="180" t="s">
        <v>1676</v>
      </c>
      <c r="D199" s="180" t="s">
        <v>1696</v>
      </c>
      <c r="E199" s="180" t="s">
        <v>1664</v>
      </c>
      <c r="F199" s="181">
        <v>0.26315991428571428</v>
      </c>
      <c r="G199" s="181">
        <v>0.29110885714285717</v>
      </c>
      <c r="H199" s="181">
        <v>0.32186685714285712</v>
      </c>
      <c r="I199" s="181">
        <v>0.34661685714285712</v>
      </c>
      <c r="J199" s="181">
        <v>0.38205914285714282</v>
      </c>
      <c r="K199" s="181">
        <v>0.41413171428571427</v>
      </c>
      <c r="L199" s="181">
        <v>0.44487485714285713</v>
      </c>
      <c r="M199" s="181">
        <v>0.47539971428571426</v>
      </c>
      <c r="N199" s="181">
        <v>0.50592314285714279</v>
      </c>
      <c r="O199" s="181">
        <v>0.5352108571428571</v>
      </c>
    </row>
    <row r="200" spans="1:15" hidden="1" x14ac:dyDescent="0.25">
      <c r="A200" s="180" t="s">
        <v>1660</v>
      </c>
      <c r="B200" s="180" t="s">
        <v>1661</v>
      </c>
      <c r="C200" s="180" t="s">
        <v>1677</v>
      </c>
      <c r="D200" s="180" t="s">
        <v>1696</v>
      </c>
      <c r="E200" s="180" t="s">
        <v>1664</v>
      </c>
      <c r="F200" s="181">
        <v>0.22417331428571427</v>
      </c>
      <c r="G200" s="181">
        <v>0.26794905714285711</v>
      </c>
      <c r="H200" s="181">
        <v>0.32384742857142856</v>
      </c>
      <c r="I200" s="181">
        <v>0.34902742857142854</v>
      </c>
      <c r="J200" s="181">
        <v>0.42531685714285711</v>
      </c>
      <c r="K200" s="181">
        <v>0.52347057142857134</v>
      </c>
      <c r="L200" s="181">
        <v>0.6248528571428571</v>
      </c>
      <c r="M200" s="181">
        <v>0.72964285714285704</v>
      </c>
      <c r="N200" s="181">
        <v>0.83393171428571422</v>
      </c>
      <c r="O200" s="181">
        <v>0.92982771428571431</v>
      </c>
    </row>
    <row r="201" spans="1:15" hidden="1" x14ac:dyDescent="0.25">
      <c r="A201" s="180" t="s">
        <v>1660</v>
      </c>
      <c r="B201" s="180" t="s">
        <v>1661</v>
      </c>
      <c r="C201" s="180" t="s">
        <v>1678</v>
      </c>
      <c r="D201" s="180" t="s">
        <v>1696</v>
      </c>
      <c r="E201" s="180" t="s">
        <v>1664</v>
      </c>
      <c r="F201" s="181">
        <v>4.9196285714285708E-3</v>
      </c>
      <c r="G201" s="181">
        <v>1.4543531249999998E-2</v>
      </c>
      <c r="H201" s="181">
        <v>2.5590589285714282E-2</v>
      </c>
      <c r="I201" s="181">
        <v>3.3804571428571427E-2</v>
      </c>
      <c r="J201" s="181">
        <v>5.1364685714285714E-2</v>
      </c>
      <c r="K201" s="181">
        <v>8.2789742857142842E-2</v>
      </c>
      <c r="L201" s="181">
        <v>0.12692674285714287</v>
      </c>
      <c r="M201" s="181">
        <v>0.19765562857142857</v>
      </c>
      <c r="N201" s="181">
        <v>0.31038742857142854</v>
      </c>
      <c r="O201" s="181">
        <v>0.48113485714285714</v>
      </c>
    </row>
    <row r="202" spans="1:15" hidden="1" x14ac:dyDescent="0.25">
      <c r="A202" s="180" t="s">
        <v>1660</v>
      </c>
      <c r="B202" s="180" t="s">
        <v>1661</v>
      </c>
      <c r="C202" s="180" t="s">
        <v>1679</v>
      </c>
      <c r="D202" s="180" t="s">
        <v>1696</v>
      </c>
      <c r="E202" s="180" t="s">
        <v>1664</v>
      </c>
      <c r="F202" s="181">
        <v>0.5633622857142857</v>
      </c>
      <c r="G202" s="181">
        <v>0.78400400000000003</v>
      </c>
      <c r="H202" s="181">
        <v>0.74426628571428566</v>
      </c>
      <c r="I202" s="181">
        <v>0.78208428571428568</v>
      </c>
      <c r="J202" s="181">
        <v>0.96658457142857124</v>
      </c>
      <c r="K202" s="181">
        <v>1.1698066285714284</v>
      </c>
      <c r="L202" s="181">
        <v>1.3746845714285714</v>
      </c>
      <c r="M202" s="181">
        <v>1.579706857142857</v>
      </c>
      <c r="N202" s="181">
        <v>1.7802451428571429</v>
      </c>
      <c r="O202" s="181">
        <v>1.9733305142857145</v>
      </c>
    </row>
    <row r="203" spans="1:15" hidden="1" x14ac:dyDescent="0.25">
      <c r="A203" s="180" t="s">
        <v>1660</v>
      </c>
      <c r="B203" s="180" t="s">
        <v>1661</v>
      </c>
      <c r="C203" s="180" t="s">
        <v>1680</v>
      </c>
      <c r="D203" s="180" t="s">
        <v>1696</v>
      </c>
      <c r="E203" s="180" t="s">
        <v>1664</v>
      </c>
      <c r="F203" s="181">
        <v>1.8515267857142855E-2</v>
      </c>
      <c r="G203" s="181">
        <v>3.7282257142857142E-2</v>
      </c>
      <c r="H203" s="181">
        <v>6.9753342857142853E-2</v>
      </c>
      <c r="I203" s="181">
        <v>9.9057657142857136E-2</v>
      </c>
      <c r="J203" s="181">
        <v>0.1397042</v>
      </c>
      <c r="K203" s="181">
        <v>0.24713314285714283</v>
      </c>
      <c r="L203" s="181">
        <v>0.40383942857142857</v>
      </c>
      <c r="M203" s="181">
        <v>0.63043399999999994</v>
      </c>
      <c r="N203" s="181">
        <v>0.93839542857142855</v>
      </c>
      <c r="O203" s="181">
        <v>1.3346870857142856</v>
      </c>
    </row>
    <row r="204" spans="1:15" hidden="1" x14ac:dyDescent="0.25">
      <c r="A204" s="180" t="s">
        <v>1660</v>
      </c>
      <c r="B204" s="180" t="s">
        <v>1661</v>
      </c>
      <c r="C204" s="180" t="s">
        <v>1681</v>
      </c>
      <c r="D204" s="180" t="s">
        <v>1696</v>
      </c>
      <c r="E204" s="180" t="s">
        <v>1664</v>
      </c>
      <c r="F204" s="181">
        <v>0.70910171428571422</v>
      </c>
      <c r="G204" s="181">
        <v>0.88179314285714283</v>
      </c>
      <c r="H204" s="181">
        <v>0.95763628571428561</v>
      </c>
      <c r="I204" s="181">
        <v>0.98164342857142861</v>
      </c>
      <c r="J204" s="181">
        <v>1.0995563428571427</v>
      </c>
      <c r="K204" s="181">
        <v>1.2341114285714285</v>
      </c>
      <c r="L204" s="181">
        <v>1.336068</v>
      </c>
      <c r="M204" s="181">
        <v>1.4149697142857143</v>
      </c>
      <c r="N204" s="181">
        <v>1.4711437714285713</v>
      </c>
      <c r="O204" s="181">
        <v>1.5113350857142855</v>
      </c>
    </row>
    <row r="205" spans="1:15" hidden="1" x14ac:dyDescent="0.25">
      <c r="A205" s="180" t="s">
        <v>1660</v>
      </c>
      <c r="B205" s="180" t="s">
        <v>1661</v>
      </c>
      <c r="C205" s="180" t="s">
        <v>1682</v>
      </c>
      <c r="D205" s="180" t="s">
        <v>1696</v>
      </c>
      <c r="E205" s="180" t="s">
        <v>1664</v>
      </c>
      <c r="F205" s="181">
        <v>0.14584365714285716</v>
      </c>
      <c r="G205" s="181">
        <v>0.17928357142857143</v>
      </c>
      <c r="H205" s="181">
        <v>0.20077485714285714</v>
      </c>
      <c r="I205" s="181">
        <v>0.19939725714285714</v>
      </c>
      <c r="J205" s="181">
        <v>0.22429988571428572</v>
      </c>
      <c r="K205" s="181">
        <v>0.27725322857142859</v>
      </c>
      <c r="L205" s="181">
        <v>0.32951857142857138</v>
      </c>
      <c r="M205" s="181">
        <v>0.38081171428571431</v>
      </c>
      <c r="N205" s="181">
        <v>0.4294485714285714</v>
      </c>
      <c r="O205" s="181">
        <v>0.47475999999999996</v>
      </c>
    </row>
    <row r="206" spans="1:15" hidden="1" x14ac:dyDescent="0.25">
      <c r="A206" s="180" t="s">
        <v>1660</v>
      </c>
      <c r="B206" s="180" t="s">
        <v>1661</v>
      </c>
      <c r="C206" s="180" t="s">
        <v>1683</v>
      </c>
      <c r="D206" s="180" t="s">
        <v>1696</v>
      </c>
      <c r="E206" s="180" t="s">
        <v>1664</v>
      </c>
      <c r="F206" s="181">
        <v>0.36167199999999999</v>
      </c>
      <c r="G206" s="181">
        <v>0.58520685714285703</v>
      </c>
      <c r="H206" s="181">
        <v>0.8887517142857142</v>
      </c>
      <c r="I206" s="181">
        <v>1.1198142857142857</v>
      </c>
      <c r="J206" s="181">
        <v>1.603056</v>
      </c>
      <c r="K206" s="181">
        <v>2.0996393142857142</v>
      </c>
      <c r="L206" s="181">
        <v>2.5993862857142855</v>
      </c>
      <c r="M206" s="181">
        <v>3.1076685714285714</v>
      </c>
      <c r="N206" s="181">
        <v>3.6032315428571429</v>
      </c>
      <c r="O206" s="181">
        <v>4.0677540571428565</v>
      </c>
    </row>
    <row r="207" spans="1:15" hidden="1" x14ac:dyDescent="0.25">
      <c r="A207" s="180" t="s">
        <v>1660</v>
      </c>
      <c r="B207" s="180" t="s">
        <v>1661</v>
      </c>
      <c r="C207" s="180" t="s">
        <v>1684</v>
      </c>
      <c r="D207" s="180" t="s">
        <v>1696</v>
      </c>
      <c r="E207" s="180" t="s">
        <v>1664</v>
      </c>
      <c r="F207" s="181">
        <v>4.0208199999999999E-2</v>
      </c>
      <c r="G207" s="181">
        <v>7.9824885714285712E-2</v>
      </c>
      <c r="H207" s="181">
        <v>0.13015399999999999</v>
      </c>
      <c r="I207" s="181">
        <v>0.17145594285714286</v>
      </c>
      <c r="J207" s="181">
        <v>0.22366354285714285</v>
      </c>
      <c r="K207" s="181">
        <v>0.3047528571428571</v>
      </c>
      <c r="L207" s="181">
        <v>0.38233171428571427</v>
      </c>
      <c r="M207" s="181">
        <v>0.45084942857142857</v>
      </c>
      <c r="N207" s="181">
        <v>0.50787885714285708</v>
      </c>
      <c r="O207" s="181">
        <v>0.55204314285714284</v>
      </c>
    </row>
    <row r="208" spans="1:15" hidden="1" x14ac:dyDescent="0.25">
      <c r="A208" s="180" t="s">
        <v>1660</v>
      </c>
      <c r="B208" s="180" t="s">
        <v>1661</v>
      </c>
      <c r="C208" s="180" t="s">
        <v>1685</v>
      </c>
      <c r="D208" s="180" t="s">
        <v>1696</v>
      </c>
      <c r="E208" s="180" t="s">
        <v>1664</v>
      </c>
      <c r="F208" s="181">
        <v>0.28386468571428569</v>
      </c>
      <c r="G208" s="181">
        <v>0.33535742857142858</v>
      </c>
      <c r="H208" s="181">
        <v>0.48097685714285715</v>
      </c>
      <c r="I208" s="181">
        <v>0.54108457142857147</v>
      </c>
      <c r="J208" s="181">
        <v>0.62935114285714289</v>
      </c>
      <c r="K208" s="181">
        <v>0.71571057142857142</v>
      </c>
      <c r="L208" s="181">
        <v>0.79273914285714286</v>
      </c>
      <c r="M208" s="181">
        <v>0.86535371428571428</v>
      </c>
      <c r="N208" s="181">
        <v>0.93086685714285711</v>
      </c>
      <c r="O208" s="181">
        <v>0.98856319999999986</v>
      </c>
    </row>
    <row r="209" spans="1:15" hidden="1" x14ac:dyDescent="0.25">
      <c r="A209" s="180" t="s">
        <v>1660</v>
      </c>
      <c r="B209" s="180" t="s">
        <v>1661</v>
      </c>
      <c r="C209" s="180" t="s">
        <v>1686</v>
      </c>
      <c r="D209" s="180" t="s">
        <v>1696</v>
      </c>
      <c r="E209" s="180" t="s">
        <v>1664</v>
      </c>
      <c r="F209" s="181">
        <v>0.10104948571428571</v>
      </c>
      <c r="G209" s="181">
        <v>0.13136045714285713</v>
      </c>
      <c r="H209" s="181">
        <v>0.12069820000000001</v>
      </c>
      <c r="I209" s="181">
        <v>0.13820434285714284</v>
      </c>
      <c r="J209" s="181">
        <v>0.17463537142857141</v>
      </c>
      <c r="K209" s="181">
        <v>0.21971654285714284</v>
      </c>
      <c r="L209" s="181">
        <v>0.26308397142857143</v>
      </c>
      <c r="M209" s="181">
        <v>0.30250742857142854</v>
      </c>
      <c r="N209" s="181">
        <v>0.33645399999999998</v>
      </c>
      <c r="O209" s="181">
        <v>0.36543171428571425</v>
      </c>
    </row>
    <row r="210" spans="1:15" hidden="1" x14ac:dyDescent="0.25">
      <c r="A210" s="180" t="s">
        <v>1660</v>
      </c>
      <c r="B210" s="180" t="s">
        <v>1661</v>
      </c>
      <c r="C210" s="180" t="s">
        <v>18</v>
      </c>
      <c r="D210" s="180" t="s">
        <v>1696</v>
      </c>
      <c r="E210" s="180" t="s">
        <v>1664</v>
      </c>
      <c r="F210" s="181">
        <v>3.75196</v>
      </c>
      <c r="G210" s="181">
        <v>3.8935455999999995</v>
      </c>
      <c r="H210" s="181">
        <v>4.1900429714285714</v>
      </c>
      <c r="I210" s="181">
        <v>4.4117170285714282</v>
      </c>
      <c r="J210" s="181">
        <v>4.748282971428571</v>
      </c>
      <c r="K210" s="181">
        <v>5.0489545142857137</v>
      </c>
      <c r="L210" s="181">
        <v>5.3165686857142855</v>
      </c>
      <c r="M210" s="181">
        <v>5.5610285714285714</v>
      </c>
      <c r="N210" s="181">
        <v>5.783903085714285</v>
      </c>
      <c r="O210" s="181">
        <v>5.9875830857142853</v>
      </c>
    </row>
    <row r="211" spans="1:15" hidden="1" x14ac:dyDescent="0.25">
      <c r="A211" s="180" t="s">
        <v>1660</v>
      </c>
      <c r="B211" s="180" t="s">
        <v>1661</v>
      </c>
      <c r="C211" s="180" t="s">
        <v>1687</v>
      </c>
      <c r="D211" s="180" t="s">
        <v>1696</v>
      </c>
      <c r="E211" s="180" t="s">
        <v>1664</v>
      </c>
      <c r="F211" s="181">
        <v>9.1909660714285715E-3</v>
      </c>
      <c r="G211" s="181">
        <v>1.8664242857142858E-2</v>
      </c>
      <c r="H211" s="181">
        <v>3.2416857142857143E-2</v>
      </c>
      <c r="I211" s="181">
        <v>4.2003228571428575E-2</v>
      </c>
      <c r="J211" s="181">
        <v>6.6524485714285708E-2</v>
      </c>
      <c r="K211" s="181">
        <v>0.14504225714285715</v>
      </c>
      <c r="L211" s="181">
        <v>0.28156031428571432</v>
      </c>
      <c r="M211" s="181">
        <v>0.51053999999999999</v>
      </c>
      <c r="N211" s="181">
        <v>0.87378171428571427</v>
      </c>
      <c r="O211" s="181">
        <v>1.4172674285714286</v>
      </c>
    </row>
    <row r="212" spans="1:15" hidden="1" x14ac:dyDescent="0.25">
      <c r="A212" s="180" t="s">
        <v>1660</v>
      </c>
      <c r="B212" s="180" t="s">
        <v>1661</v>
      </c>
      <c r="C212" s="180" t="s">
        <v>1688</v>
      </c>
      <c r="D212" s="180" t="s">
        <v>1696</v>
      </c>
      <c r="E212" s="180" t="s">
        <v>1664</v>
      </c>
      <c r="F212" s="181">
        <v>3.9638258285714283</v>
      </c>
      <c r="G212" s="181">
        <v>4.111611428571428</v>
      </c>
      <c r="H212" s="181">
        <v>4.2678143999999998</v>
      </c>
      <c r="I212" s="181">
        <v>4.2107145142857139</v>
      </c>
      <c r="J212" s="181">
        <v>4.6318486857142851</v>
      </c>
      <c r="K212" s="181">
        <v>4.899922742857143</v>
      </c>
      <c r="L212" s="181">
        <v>5.1729883428571428</v>
      </c>
      <c r="M212" s="181">
        <v>5.4564772571428568</v>
      </c>
      <c r="N212" s="181">
        <v>5.7337970285714288</v>
      </c>
      <c r="O212" s="181">
        <v>5.9944054857142861</v>
      </c>
    </row>
    <row r="213" spans="1:15" x14ac:dyDescent="0.25">
      <c r="A213" s="180" t="s">
        <v>1660</v>
      </c>
      <c r="B213" s="180" t="s">
        <v>1661</v>
      </c>
      <c r="C213" s="180" t="s">
        <v>1689</v>
      </c>
      <c r="D213" s="180" t="s">
        <v>1694</v>
      </c>
      <c r="E213" s="180" t="s">
        <v>1664</v>
      </c>
      <c r="F213" s="181">
        <v>32.680656457142852</v>
      </c>
      <c r="G213" s="181">
        <v>42.075315199999999</v>
      </c>
      <c r="H213" s="181">
        <v>52.188514742857137</v>
      </c>
      <c r="I213" s="181">
        <v>59.758284799999998</v>
      </c>
      <c r="J213" s="181">
        <v>71.938260114285711</v>
      </c>
      <c r="K213" s="181">
        <v>83.762314971428566</v>
      </c>
      <c r="L213" s="181">
        <v>95.034111999999993</v>
      </c>
      <c r="M213" s="181">
        <v>106.36028342857142</v>
      </c>
      <c r="N213" s="181">
        <v>117.6563712</v>
      </c>
      <c r="O213" s="181">
        <v>128.79822262857141</v>
      </c>
    </row>
    <row r="214" spans="1:15" x14ac:dyDescent="0.25">
      <c r="A214" s="180" t="s">
        <v>1660</v>
      </c>
      <c r="B214" s="180" t="s">
        <v>1661</v>
      </c>
      <c r="C214" s="180" t="s">
        <v>1689</v>
      </c>
      <c r="D214" s="180" t="s">
        <v>1691</v>
      </c>
      <c r="E214" s="180" t="s">
        <v>1664</v>
      </c>
      <c r="F214" s="181">
        <v>29.357200457142856</v>
      </c>
      <c r="G214" s="181">
        <v>37.796458057142857</v>
      </c>
      <c r="H214" s="181">
        <v>46.881199542857139</v>
      </c>
      <c r="I214" s="181">
        <v>53.681170285714288</v>
      </c>
      <c r="J214" s="181">
        <v>64.62251154285714</v>
      </c>
      <c r="K214" s="181">
        <v>75.244112457142862</v>
      </c>
      <c r="L214" s="181">
        <v>85.369629257142847</v>
      </c>
      <c r="M214" s="181">
        <v>95.543968914285713</v>
      </c>
      <c r="N214" s="181">
        <v>105.69131154285714</v>
      </c>
      <c r="O214" s="181">
        <v>115.70008502857142</v>
      </c>
    </row>
    <row r="215" spans="1:15" x14ac:dyDescent="0.25">
      <c r="A215" s="180" t="s">
        <v>1660</v>
      </c>
      <c r="B215" s="180" t="s">
        <v>1661</v>
      </c>
      <c r="C215" s="180" t="s">
        <v>1689</v>
      </c>
      <c r="D215" s="180" t="s">
        <v>1696</v>
      </c>
      <c r="E215" s="180" t="s">
        <v>1664</v>
      </c>
      <c r="F215" s="181">
        <v>18.832923428571426</v>
      </c>
      <c r="G215" s="181">
        <v>24.246794971428567</v>
      </c>
      <c r="H215" s="181">
        <v>30.074742857142855</v>
      </c>
      <c r="I215" s="181">
        <v>34.436999314285714</v>
      </c>
      <c r="J215" s="181">
        <v>41.455941485714284</v>
      </c>
      <c r="K215" s="181">
        <v>48.269827657142855</v>
      </c>
      <c r="L215" s="181">
        <v>54.765429028571425</v>
      </c>
      <c r="M215" s="181">
        <v>61.292372114285719</v>
      </c>
      <c r="N215" s="181">
        <v>67.801973028571425</v>
      </c>
      <c r="O215" s="181">
        <v>74.22271634285714</v>
      </c>
    </row>
    <row r="216" spans="1:15" x14ac:dyDescent="0.25">
      <c r="A216" s="180" t="s">
        <v>1660</v>
      </c>
      <c r="B216" s="180" t="s">
        <v>1661</v>
      </c>
      <c r="C216" s="180" t="s">
        <v>1689</v>
      </c>
      <c r="D216" s="180" t="s">
        <v>1692</v>
      </c>
      <c r="E216" s="180" t="s">
        <v>1664</v>
      </c>
      <c r="F216" s="181">
        <v>12.186005942857141</v>
      </c>
      <c r="G216" s="181">
        <v>15.689100799999999</v>
      </c>
      <c r="H216" s="181">
        <v>19.460123428571425</v>
      </c>
      <c r="I216" s="181">
        <v>22.28275382857143</v>
      </c>
      <c r="J216" s="181">
        <v>26.824437028571428</v>
      </c>
      <c r="K216" s="181">
        <v>31.233400685714287</v>
      </c>
      <c r="L216" s="181">
        <v>35.436456228571423</v>
      </c>
      <c r="M216" s="181">
        <v>39.659772342857146</v>
      </c>
      <c r="N216" s="181">
        <v>43.871857371428568</v>
      </c>
      <c r="O216" s="181">
        <v>48.026455771428566</v>
      </c>
    </row>
    <row r="217" spans="1:15" x14ac:dyDescent="0.25">
      <c r="A217" s="180" t="s">
        <v>1660</v>
      </c>
      <c r="B217" s="180" t="s">
        <v>1661</v>
      </c>
      <c r="C217" s="180" t="s">
        <v>1689</v>
      </c>
      <c r="D217" s="180" t="s">
        <v>1693</v>
      </c>
      <c r="E217" s="180" t="s">
        <v>1664</v>
      </c>
      <c r="F217" s="181">
        <v>1.9386829714285714</v>
      </c>
      <c r="G217" s="181">
        <v>2.4959933714285714</v>
      </c>
      <c r="H217" s="181">
        <v>3.0959286857142856</v>
      </c>
      <c r="I217" s="181">
        <v>3.5449828571428572</v>
      </c>
      <c r="J217" s="181">
        <v>4.2675227428571425</v>
      </c>
      <c r="K217" s="181">
        <v>4.9689513142857145</v>
      </c>
      <c r="L217" s="181">
        <v>5.6376173714285711</v>
      </c>
      <c r="M217" s="181">
        <v>6.3095085714285712</v>
      </c>
      <c r="N217" s="181">
        <v>6.9796141714285715</v>
      </c>
      <c r="O217" s="181">
        <v>7.6405714285714295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36"/>
  <sheetViews>
    <sheetView workbookViewId="0">
      <selection activeCell="B48" sqref="B48"/>
    </sheetView>
  </sheetViews>
  <sheetFormatPr defaultRowHeight="15" x14ac:dyDescent="0.25"/>
  <cols>
    <col min="1" max="1" width="27.42578125" customWidth="1"/>
    <col min="2" max="2" width="31" bestFit="1" customWidth="1"/>
    <col min="3" max="3" width="20" customWidth="1"/>
    <col min="4" max="4" width="6" customWidth="1"/>
    <col min="5" max="6" width="5.7109375" bestFit="1" customWidth="1"/>
    <col min="7" max="7" width="5" customWidth="1"/>
    <col min="8" max="8" width="5.28515625" bestFit="1" customWidth="1"/>
    <col min="9" max="9" width="4.140625" bestFit="1" customWidth="1"/>
    <col min="10" max="10" width="3.5703125" bestFit="1" customWidth="1"/>
    <col min="11" max="11" width="9.7109375" bestFit="1" customWidth="1"/>
  </cols>
  <sheetData>
    <row r="3" spans="1:11" x14ac:dyDescent="0.25">
      <c r="A3" s="164" t="s">
        <v>1743</v>
      </c>
      <c r="D3" s="164" t="s">
        <v>1643</v>
      </c>
    </row>
    <row r="4" spans="1:11" x14ac:dyDescent="0.25">
      <c r="A4" s="164" t="s">
        <v>1428</v>
      </c>
      <c r="B4" s="164" t="s">
        <v>1584</v>
      </c>
      <c r="C4" s="164" t="s">
        <v>1642</v>
      </c>
      <c r="D4" t="s">
        <v>1530</v>
      </c>
      <c r="E4" t="s">
        <v>1386</v>
      </c>
      <c r="F4" t="s">
        <v>333</v>
      </c>
      <c r="G4" t="s">
        <v>1418</v>
      </c>
      <c r="H4" t="s">
        <v>869</v>
      </c>
      <c r="I4" t="s">
        <v>866</v>
      </c>
      <c r="J4" t="s">
        <v>864</v>
      </c>
      <c r="K4" t="s">
        <v>1723</v>
      </c>
    </row>
    <row r="5" spans="1:11" x14ac:dyDescent="0.25">
      <c r="A5" t="s">
        <v>1402</v>
      </c>
      <c r="B5" t="s">
        <v>1404</v>
      </c>
      <c r="C5" s="210" t="s">
        <v>1351</v>
      </c>
      <c r="D5" s="165"/>
      <c r="E5" s="165"/>
      <c r="F5" s="165"/>
      <c r="G5" s="165"/>
      <c r="H5" s="212">
        <v>0.82162162162162167</v>
      </c>
      <c r="I5" s="165"/>
      <c r="J5" s="165"/>
      <c r="K5" s="165"/>
    </row>
    <row r="6" spans="1:11" x14ac:dyDescent="0.25">
      <c r="C6" t="s">
        <v>1347</v>
      </c>
      <c r="D6" s="165"/>
      <c r="E6" s="165"/>
      <c r="F6" s="165"/>
      <c r="G6" s="165"/>
      <c r="H6" s="212">
        <v>0.85246376811594193</v>
      </c>
      <c r="I6" s="165"/>
      <c r="J6" s="165"/>
      <c r="K6" s="165"/>
    </row>
    <row r="7" spans="1:11" x14ac:dyDescent="0.25">
      <c r="C7" t="s">
        <v>865</v>
      </c>
      <c r="D7" s="165"/>
      <c r="E7" s="165"/>
      <c r="F7" s="165"/>
      <c r="G7" s="165"/>
      <c r="H7" s="212">
        <v>1</v>
      </c>
      <c r="I7" s="165"/>
      <c r="J7" s="165"/>
      <c r="K7" s="165"/>
    </row>
    <row r="8" spans="1:11" x14ac:dyDescent="0.25">
      <c r="C8" s="211" t="s">
        <v>867</v>
      </c>
      <c r="D8" s="165"/>
      <c r="E8" s="165"/>
      <c r="F8" s="165"/>
      <c r="G8" s="165"/>
      <c r="H8" s="212">
        <v>1</v>
      </c>
      <c r="I8" s="165"/>
      <c r="J8" s="165"/>
      <c r="K8" s="165"/>
    </row>
    <row r="9" spans="1:11" x14ac:dyDescent="0.25">
      <c r="A9" t="s">
        <v>1528</v>
      </c>
      <c r="B9" t="s">
        <v>1718</v>
      </c>
      <c r="C9" t="s">
        <v>865</v>
      </c>
      <c r="D9" s="165"/>
      <c r="E9" s="165"/>
      <c r="F9" s="165"/>
      <c r="G9" s="165"/>
      <c r="H9" s="212"/>
      <c r="I9" s="165"/>
      <c r="J9" s="212">
        <v>1.375</v>
      </c>
      <c r="K9" s="165"/>
    </row>
    <row r="10" spans="1:11" x14ac:dyDescent="0.25">
      <c r="C10" s="211" t="s">
        <v>867</v>
      </c>
      <c r="D10" s="165"/>
      <c r="E10" s="165"/>
      <c r="F10" s="165"/>
      <c r="G10" s="165"/>
      <c r="H10" s="212"/>
      <c r="I10" s="165"/>
      <c r="J10" s="212">
        <v>1</v>
      </c>
      <c r="K10" s="165"/>
    </row>
    <row r="11" spans="1:11" x14ac:dyDescent="0.25">
      <c r="A11" t="s">
        <v>1408</v>
      </c>
      <c r="B11" t="s">
        <v>1719</v>
      </c>
      <c r="C11" s="211" t="s">
        <v>867</v>
      </c>
      <c r="D11" s="212">
        <v>5.161290322580645</v>
      </c>
      <c r="E11" s="165"/>
      <c r="F11" s="165"/>
      <c r="G11" s="165"/>
      <c r="H11" s="212"/>
      <c r="I11" s="165"/>
      <c r="J11" s="212"/>
      <c r="K11" s="212">
        <v>2.4615384615384617</v>
      </c>
    </row>
    <row r="12" spans="1:11" x14ac:dyDescent="0.25">
      <c r="A12" t="s">
        <v>1411</v>
      </c>
      <c r="B12" t="s">
        <v>1625</v>
      </c>
      <c r="C12" t="s">
        <v>862</v>
      </c>
      <c r="D12" s="165"/>
      <c r="E12" s="165"/>
      <c r="F12" s="212">
        <v>1.3116474291710387</v>
      </c>
      <c r="G12" s="165"/>
      <c r="H12" s="212"/>
      <c r="I12" s="165"/>
      <c r="J12" s="212">
        <v>1.3774104683195592</v>
      </c>
      <c r="K12" s="165"/>
    </row>
    <row r="13" spans="1:11" x14ac:dyDescent="0.25">
      <c r="C13" s="211" t="s">
        <v>867</v>
      </c>
      <c r="D13" s="165"/>
      <c r="E13" s="165"/>
      <c r="F13" s="212">
        <v>1.3011542497376705</v>
      </c>
      <c r="G13" s="165"/>
      <c r="H13" s="212">
        <v>0.9285714285714286</v>
      </c>
      <c r="I13" s="165"/>
      <c r="J13" s="212">
        <v>1.1474813065722156</v>
      </c>
      <c r="K13" s="165"/>
    </row>
    <row r="14" spans="1:11" x14ac:dyDescent="0.25">
      <c r="B14" t="s">
        <v>1722</v>
      </c>
      <c r="C14" s="211" t="s">
        <v>867</v>
      </c>
      <c r="D14" s="212">
        <v>0.99</v>
      </c>
      <c r="E14" s="165"/>
      <c r="F14" s="212"/>
      <c r="G14" s="165"/>
      <c r="H14" s="212"/>
      <c r="I14" s="165"/>
      <c r="J14" s="212"/>
      <c r="K14" s="165"/>
    </row>
    <row r="15" spans="1:11" x14ac:dyDescent="0.25">
      <c r="A15" t="s">
        <v>1398</v>
      </c>
      <c r="B15" t="s">
        <v>1628</v>
      </c>
      <c r="C15" t="s">
        <v>1135</v>
      </c>
      <c r="D15" s="165"/>
      <c r="E15" s="165"/>
      <c r="F15" s="212"/>
      <c r="G15" s="165"/>
      <c r="H15" s="212"/>
      <c r="I15" s="212">
        <v>0.79999999999999993</v>
      </c>
      <c r="J15" s="212"/>
      <c r="K15" s="165"/>
    </row>
    <row r="16" spans="1:11" x14ac:dyDescent="0.25">
      <c r="C16" s="211" t="s">
        <v>867</v>
      </c>
      <c r="D16" s="165"/>
      <c r="E16" s="165"/>
      <c r="F16" s="212">
        <v>0.79746835443037967</v>
      </c>
      <c r="G16" s="165"/>
      <c r="H16" s="212"/>
      <c r="I16" s="212">
        <v>0.95000880023086243</v>
      </c>
      <c r="J16" s="212"/>
      <c r="K16" s="165"/>
    </row>
    <row r="17" spans="2:11" x14ac:dyDescent="0.25">
      <c r="B17" t="s">
        <v>1633</v>
      </c>
      <c r="C17" t="s">
        <v>1724</v>
      </c>
      <c r="D17" s="165"/>
      <c r="E17" s="165"/>
      <c r="F17" s="212">
        <v>1.8597902097902097</v>
      </c>
      <c r="G17" s="165"/>
      <c r="H17" s="212"/>
      <c r="I17" s="212"/>
      <c r="J17" s="212"/>
      <c r="K17" s="165"/>
    </row>
    <row r="18" spans="2:11" x14ac:dyDescent="0.25">
      <c r="C18" t="s">
        <v>862</v>
      </c>
      <c r="D18" s="165"/>
      <c r="E18" s="165"/>
      <c r="F18" s="212"/>
      <c r="G18" s="165"/>
      <c r="H18" s="212"/>
      <c r="I18" s="212"/>
      <c r="J18" s="212">
        <v>1.8428571428571425</v>
      </c>
      <c r="K18" s="165"/>
    </row>
    <row r="19" spans="2:11" x14ac:dyDescent="0.25">
      <c r="C19" s="211" t="s">
        <v>867</v>
      </c>
      <c r="D19" s="165"/>
      <c r="E19" s="165"/>
      <c r="F19" s="212">
        <v>1.77116704805492</v>
      </c>
      <c r="G19" s="165"/>
      <c r="H19" s="212">
        <v>1.3478260869565217</v>
      </c>
      <c r="I19" s="212">
        <v>0.9051094890510949</v>
      </c>
      <c r="J19" s="212"/>
      <c r="K19" s="165"/>
    </row>
    <row r="20" spans="2:11" x14ac:dyDescent="0.25">
      <c r="B20" t="s">
        <v>1741</v>
      </c>
      <c r="C20" t="s">
        <v>865</v>
      </c>
      <c r="D20" s="165"/>
      <c r="E20" s="212">
        <v>3.5777777777777779</v>
      </c>
      <c r="F20" s="212"/>
      <c r="G20" s="165"/>
      <c r="H20" s="212"/>
      <c r="I20" s="212"/>
      <c r="J20" s="212"/>
      <c r="K20" s="165"/>
    </row>
    <row r="21" spans="2:11" x14ac:dyDescent="0.25">
      <c r="C21" s="211" t="s">
        <v>867</v>
      </c>
      <c r="D21" s="165"/>
      <c r="E21" s="212">
        <v>2.1562319514915176</v>
      </c>
      <c r="F21" s="212"/>
      <c r="G21" s="165"/>
      <c r="H21" s="212"/>
      <c r="I21" s="212">
        <v>0.97589648434151588</v>
      </c>
      <c r="J21" s="212">
        <v>1.3663911845730028</v>
      </c>
      <c r="K21" s="165"/>
    </row>
    <row r="22" spans="2:11" x14ac:dyDescent="0.25">
      <c r="B22" t="s">
        <v>1742</v>
      </c>
      <c r="C22" s="211" t="s">
        <v>867</v>
      </c>
      <c r="D22" s="165"/>
      <c r="E22" s="212">
        <v>1.1588785046728971</v>
      </c>
      <c r="F22" s="212"/>
      <c r="G22" s="165"/>
      <c r="H22" s="212"/>
      <c r="I22" s="212">
        <v>0.9051094890510949</v>
      </c>
      <c r="J22" s="212"/>
      <c r="K22" s="165"/>
    </row>
    <row r="23" spans="2:11" x14ac:dyDescent="0.25">
      <c r="B23" t="s">
        <v>1636</v>
      </c>
      <c r="C23" s="210" t="s">
        <v>1725</v>
      </c>
      <c r="D23" s="165"/>
      <c r="E23" s="212">
        <v>0.73333333333333339</v>
      </c>
      <c r="F23" s="212"/>
      <c r="G23" s="165"/>
      <c r="H23" s="212"/>
      <c r="I23" s="212"/>
      <c r="J23" s="212">
        <v>0.73333333333333339</v>
      </c>
      <c r="K23" s="165"/>
    </row>
    <row r="24" spans="2:11" x14ac:dyDescent="0.25">
      <c r="C24" s="210" t="s">
        <v>1562</v>
      </c>
      <c r="D24" s="165"/>
      <c r="E24" s="165"/>
      <c r="F24" s="212"/>
      <c r="G24" s="165"/>
      <c r="H24" s="212"/>
      <c r="I24" s="212"/>
      <c r="J24" s="212">
        <v>1.3666666666666665</v>
      </c>
      <c r="K24" s="165"/>
    </row>
    <row r="25" spans="2:11" x14ac:dyDescent="0.25">
      <c r="C25" s="210" t="s">
        <v>1563</v>
      </c>
      <c r="D25" s="165"/>
      <c r="E25" s="165"/>
      <c r="F25" s="212"/>
      <c r="G25" s="165"/>
      <c r="H25" s="212"/>
      <c r="I25" s="212"/>
      <c r="J25" s="212">
        <v>1.3666666666666665</v>
      </c>
      <c r="K25" s="165"/>
    </row>
    <row r="26" spans="2:11" x14ac:dyDescent="0.25">
      <c r="C26" s="210" t="s">
        <v>1726</v>
      </c>
      <c r="D26" s="165"/>
      <c r="E26" s="212">
        <v>1</v>
      </c>
      <c r="F26" s="212"/>
      <c r="G26" s="212">
        <v>0.86</v>
      </c>
      <c r="H26" s="212"/>
      <c r="I26" s="212"/>
      <c r="J26" s="212">
        <v>0.92999999999999994</v>
      </c>
      <c r="K26" s="165"/>
    </row>
    <row r="27" spans="2:11" x14ac:dyDescent="0.25">
      <c r="C27" t="s">
        <v>862</v>
      </c>
      <c r="D27" s="165"/>
      <c r="E27" s="212">
        <v>1.1682242990654206</v>
      </c>
      <c r="F27" s="212"/>
      <c r="G27" s="165"/>
      <c r="H27" s="212"/>
      <c r="I27" s="212"/>
      <c r="J27" s="212">
        <v>1.3774104683195592</v>
      </c>
      <c r="K27" s="165"/>
    </row>
    <row r="28" spans="2:11" x14ac:dyDescent="0.25">
      <c r="C28" s="211" t="s">
        <v>867</v>
      </c>
      <c r="D28" s="212">
        <v>5.161290322580645</v>
      </c>
      <c r="E28" s="212">
        <v>1.1588694747587471</v>
      </c>
      <c r="F28" s="212">
        <v>1.3011542497376705</v>
      </c>
      <c r="G28" s="165"/>
      <c r="H28" s="212"/>
      <c r="I28" s="212">
        <v>0.8575400986032683</v>
      </c>
      <c r="J28" s="212">
        <v>1.1427472019578178</v>
      </c>
      <c r="K28" s="165"/>
    </row>
    <row r="29" spans="2:11" x14ac:dyDescent="0.25">
      <c r="B29" t="s">
        <v>1738</v>
      </c>
      <c r="C29" t="s">
        <v>1589</v>
      </c>
      <c r="D29" s="212"/>
      <c r="E29" s="212"/>
      <c r="F29" s="212"/>
      <c r="G29" s="165"/>
      <c r="H29" s="212">
        <v>0.79734848484848475</v>
      </c>
      <c r="I29" s="212"/>
      <c r="J29" s="212">
        <v>1.5592592592592591</v>
      </c>
      <c r="K29" s="165"/>
    </row>
    <row r="30" spans="2:11" x14ac:dyDescent="0.25">
      <c r="C30" s="211" t="s">
        <v>867</v>
      </c>
      <c r="D30" s="212"/>
      <c r="E30" s="212"/>
      <c r="F30" s="212"/>
      <c r="G30" s="165"/>
      <c r="H30" s="212">
        <v>1.3623188405797102</v>
      </c>
      <c r="I30" s="212">
        <v>0.9051094890510949</v>
      </c>
      <c r="J30" s="212">
        <v>1</v>
      </c>
      <c r="K30" s="165"/>
    </row>
    <row r="31" spans="2:11" x14ac:dyDescent="0.25">
      <c r="B31" t="s">
        <v>1739</v>
      </c>
      <c r="C31" s="211" t="s">
        <v>867</v>
      </c>
      <c r="D31" s="212"/>
      <c r="E31" s="212"/>
      <c r="F31" s="212"/>
      <c r="G31" s="165"/>
      <c r="H31" s="212"/>
      <c r="I31" s="212"/>
      <c r="J31" s="212">
        <v>1.1666666666666667</v>
      </c>
      <c r="K31" s="165"/>
    </row>
    <row r="32" spans="2:11" x14ac:dyDescent="0.25">
      <c r="B32" t="s">
        <v>1737</v>
      </c>
      <c r="C32" s="211" t="s">
        <v>867</v>
      </c>
      <c r="D32" s="212">
        <v>5.161290322580645</v>
      </c>
      <c r="E32" s="212"/>
      <c r="F32" s="212"/>
      <c r="G32" s="165"/>
      <c r="H32" s="212"/>
      <c r="I32" s="212"/>
      <c r="J32" s="212"/>
      <c r="K32" s="165"/>
    </row>
    <row r="33" spans="1:11" x14ac:dyDescent="0.25">
      <c r="B33" t="s">
        <v>1631</v>
      </c>
      <c r="C33" t="s">
        <v>865</v>
      </c>
      <c r="D33" s="212"/>
      <c r="E33" s="212"/>
      <c r="F33" s="212"/>
      <c r="G33" s="165"/>
      <c r="H33" s="212"/>
      <c r="I33" s="212">
        <v>0.56451124174292477</v>
      </c>
      <c r="J33" s="212">
        <v>0.8656258712015612</v>
      </c>
      <c r="K33" s="165"/>
    </row>
    <row r="34" spans="1:11" x14ac:dyDescent="0.25">
      <c r="C34" t="s">
        <v>862</v>
      </c>
      <c r="D34" s="212"/>
      <c r="E34" s="212">
        <v>1.1682242990654206</v>
      </c>
      <c r="F34" s="212"/>
      <c r="G34" s="165"/>
      <c r="H34" s="212"/>
      <c r="I34" s="212"/>
      <c r="J34" s="212">
        <v>1.3885714285714283</v>
      </c>
      <c r="K34" s="165"/>
    </row>
    <row r="35" spans="1:11" x14ac:dyDescent="0.25">
      <c r="C35" s="211" t="s">
        <v>867</v>
      </c>
      <c r="D35" s="212">
        <v>1.9077618288144604</v>
      </c>
      <c r="E35" s="212">
        <v>1.2368332505487816</v>
      </c>
      <c r="F35" s="212"/>
      <c r="G35" s="165"/>
      <c r="H35" s="212"/>
      <c r="I35" s="212">
        <v>0.84119094797996308</v>
      </c>
      <c r="J35" s="212">
        <v>1.2203972498090145</v>
      </c>
      <c r="K35" s="165"/>
    </row>
    <row r="36" spans="1:11" x14ac:dyDescent="0.25">
      <c r="A36" t="s">
        <v>1513</v>
      </c>
      <c r="B36" t="s">
        <v>1710</v>
      </c>
      <c r="C36" s="211" t="s">
        <v>867</v>
      </c>
      <c r="D36" s="165"/>
      <c r="E36" s="165"/>
      <c r="F36" s="212">
        <v>1.3011542497376705</v>
      </c>
      <c r="G36" s="165"/>
      <c r="H36" s="212">
        <v>1.3478260869565217</v>
      </c>
      <c r="I36" s="212">
        <v>0.9051094890510949</v>
      </c>
      <c r="J36" s="212">
        <v>1.3663911845730028</v>
      </c>
      <c r="K36" s="165"/>
    </row>
  </sheetData>
  <conditionalFormatting pivot="1" sqref="D5:K3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tabSelected="1" workbookViewId="0">
      <selection activeCell="F68" sqref="F68"/>
    </sheetView>
  </sheetViews>
  <sheetFormatPr defaultRowHeight="15" x14ac:dyDescent="0.25"/>
  <cols>
    <col min="1" max="1" width="24" bestFit="1" customWidth="1"/>
    <col min="2" max="2" width="30.28515625" customWidth="1"/>
    <col min="3" max="3" width="19.5703125" customWidth="1"/>
    <col min="4" max="4" width="20" customWidth="1"/>
    <col min="5" max="5" width="12" customWidth="1"/>
    <col min="6" max="6" width="20" customWidth="1"/>
  </cols>
  <sheetData>
    <row r="1" spans="1:7" x14ac:dyDescent="0.25">
      <c r="A1" t="s">
        <v>1428</v>
      </c>
      <c r="B1" t="s">
        <v>1584</v>
      </c>
      <c r="C1" t="s">
        <v>1642</v>
      </c>
      <c r="D1" t="s">
        <v>1643</v>
      </c>
      <c r="E1" t="s">
        <v>1644</v>
      </c>
      <c r="F1" t="s">
        <v>1733</v>
      </c>
      <c r="G1" t="s">
        <v>1735</v>
      </c>
    </row>
    <row r="2" spans="1:7" x14ac:dyDescent="0.25">
      <c r="A2" t="s">
        <v>1402</v>
      </c>
      <c r="B2" t="s">
        <v>1740</v>
      </c>
      <c r="C2" t="s">
        <v>1351</v>
      </c>
      <c r="D2" t="s">
        <v>869</v>
      </c>
      <c r="E2" t="s">
        <v>40</v>
      </c>
      <c r="F2">
        <v>0.82162162162162167</v>
      </c>
      <c r="G2" t="s">
        <v>326</v>
      </c>
    </row>
    <row r="3" spans="1:7" x14ac:dyDescent="0.25">
      <c r="A3" t="s">
        <v>1402</v>
      </c>
      <c r="B3" t="s">
        <v>1740</v>
      </c>
      <c r="C3" t="s">
        <v>1347</v>
      </c>
      <c r="D3" t="s">
        <v>869</v>
      </c>
      <c r="E3" t="s">
        <v>40</v>
      </c>
      <c r="F3">
        <v>0.85246376811594193</v>
      </c>
      <c r="G3" t="s">
        <v>326</v>
      </c>
    </row>
    <row r="4" spans="1:7" x14ac:dyDescent="0.25">
      <c r="A4" t="s">
        <v>1402</v>
      </c>
      <c r="B4" t="s">
        <v>1740</v>
      </c>
      <c r="C4" t="s">
        <v>865</v>
      </c>
      <c r="D4" t="s">
        <v>869</v>
      </c>
      <c r="E4" t="s">
        <v>40</v>
      </c>
      <c r="F4">
        <v>1</v>
      </c>
      <c r="G4" t="s">
        <v>326</v>
      </c>
    </row>
    <row r="5" spans="1:7" x14ac:dyDescent="0.25">
      <c r="A5" t="s">
        <v>1402</v>
      </c>
      <c r="B5" t="s">
        <v>1740</v>
      </c>
      <c r="C5" t="s">
        <v>867</v>
      </c>
      <c r="D5" t="s">
        <v>869</v>
      </c>
      <c r="E5" t="s">
        <v>40</v>
      </c>
      <c r="F5">
        <v>1</v>
      </c>
      <c r="G5" t="s">
        <v>326</v>
      </c>
    </row>
    <row r="6" spans="1:7" x14ac:dyDescent="0.25">
      <c r="A6" t="s">
        <v>1528</v>
      </c>
      <c r="B6" t="s">
        <v>1718</v>
      </c>
      <c r="C6" t="s">
        <v>865</v>
      </c>
      <c r="D6" t="s">
        <v>864</v>
      </c>
      <c r="E6" t="s">
        <v>1614</v>
      </c>
      <c r="F6">
        <v>1.375</v>
      </c>
      <c r="G6" t="s">
        <v>1736</v>
      </c>
    </row>
    <row r="7" spans="1:7" x14ac:dyDescent="0.25">
      <c r="A7" t="s">
        <v>1528</v>
      </c>
      <c r="B7" t="s">
        <v>1718</v>
      </c>
      <c r="C7" t="s">
        <v>867</v>
      </c>
      <c r="D7" t="s">
        <v>864</v>
      </c>
      <c r="E7" t="s">
        <v>40</v>
      </c>
      <c r="F7">
        <v>1</v>
      </c>
      <c r="G7" t="s">
        <v>1736</v>
      </c>
    </row>
    <row r="8" spans="1:7" x14ac:dyDescent="0.25">
      <c r="A8" s="165" t="s">
        <v>1408</v>
      </c>
      <c r="B8" t="s">
        <v>1719</v>
      </c>
      <c r="C8" t="s">
        <v>867</v>
      </c>
      <c r="D8" t="s">
        <v>1530</v>
      </c>
      <c r="E8" t="s">
        <v>1614</v>
      </c>
      <c r="F8">
        <v>5.161290322580645</v>
      </c>
      <c r="G8" t="s">
        <v>1736</v>
      </c>
    </row>
    <row r="9" spans="1:7" x14ac:dyDescent="0.25">
      <c r="A9" t="s">
        <v>1408</v>
      </c>
      <c r="B9" t="s">
        <v>1719</v>
      </c>
      <c r="C9" t="s">
        <v>867</v>
      </c>
      <c r="D9" t="s">
        <v>1723</v>
      </c>
      <c r="E9" t="s">
        <v>1614</v>
      </c>
      <c r="F9">
        <v>2.4615384615384617</v>
      </c>
      <c r="G9" t="s">
        <v>1736</v>
      </c>
    </row>
    <row r="10" spans="1:7" x14ac:dyDescent="0.25">
      <c r="A10" t="s">
        <v>1411</v>
      </c>
      <c r="B10" t="s">
        <v>1722</v>
      </c>
      <c r="C10" t="s">
        <v>867</v>
      </c>
      <c r="D10" t="s">
        <v>1530</v>
      </c>
      <c r="E10" t="s">
        <v>40</v>
      </c>
      <c r="F10">
        <v>0.99</v>
      </c>
      <c r="G10" t="s">
        <v>326</v>
      </c>
    </row>
    <row r="11" spans="1:7" x14ac:dyDescent="0.25">
      <c r="A11" t="s">
        <v>1411</v>
      </c>
      <c r="B11" t="s">
        <v>1625</v>
      </c>
      <c r="C11" t="s">
        <v>862</v>
      </c>
      <c r="D11" t="s">
        <v>333</v>
      </c>
      <c r="E11" t="s">
        <v>1614</v>
      </c>
      <c r="F11">
        <v>1.3116474291710387</v>
      </c>
      <c r="G11" t="s">
        <v>326</v>
      </c>
    </row>
    <row r="12" spans="1:7" x14ac:dyDescent="0.25">
      <c r="A12" t="s">
        <v>1411</v>
      </c>
      <c r="B12" t="s">
        <v>1625</v>
      </c>
      <c r="C12" t="s">
        <v>862</v>
      </c>
      <c r="D12" t="s">
        <v>864</v>
      </c>
      <c r="E12" t="s">
        <v>1614</v>
      </c>
      <c r="F12">
        <v>1.3774104683195592</v>
      </c>
      <c r="G12" t="s">
        <v>326</v>
      </c>
    </row>
    <row r="13" spans="1:7" x14ac:dyDescent="0.25">
      <c r="A13" t="s">
        <v>1411</v>
      </c>
      <c r="B13" t="s">
        <v>1625</v>
      </c>
      <c r="C13" t="s">
        <v>867</v>
      </c>
      <c r="D13" t="s">
        <v>333</v>
      </c>
      <c r="E13" t="s">
        <v>1614</v>
      </c>
      <c r="F13">
        <v>1.3011542497376705</v>
      </c>
      <c r="G13" t="s">
        <v>326</v>
      </c>
    </row>
    <row r="14" spans="1:7" x14ac:dyDescent="0.25">
      <c r="A14" t="s">
        <v>1411</v>
      </c>
      <c r="B14" t="s">
        <v>1625</v>
      </c>
      <c r="C14" t="s">
        <v>867</v>
      </c>
      <c r="D14" t="s">
        <v>869</v>
      </c>
      <c r="E14" t="s">
        <v>40</v>
      </c>
      <c r="F14">
        <v>0.9285714285714286</v>
      </c>
      <c r="G14" t="s">
        <v>326</v>
      </c>
    </row>
    <row r="15" spans="1:7" x14ac:dyDescent="0.25">
      <c r="A15" t="s">
        <v>1411</v>
      </c>
      <c r="B15" t="s">
        <v>1625</v>
      </c>
      <c r="C15" t="s">
        <v>867</v>
      </c>
      <c r="D15" t="s">
        <v>864</v>
      </c>
      <c r="E15" t="s">
        <v>1614</v>
      </c>
      <c r="F15">
        <v>1.3663911845730028</v>
      </c>
      <c r="G15" t="s">
        <v>1736</v>
      </c>
    </row>
    <row r="16" spans="1:7" x14ac:dyDescent="0.25">
      <c r="A16" t="s">
        <v>1411</v>
      </c>
      <c r="B16" t="s">
        <v>1625</v>
      </c>
      <c r="C16" t="s">
        <v>867</v>
      </c>
      <c r="D16" t="s">
        <v>864</v>
      </c>
      <c r="E16" t="s">
        <v>40</v>
      </c>
      <c r="F16">
        <v>0.9285714285714286</v>
      </c>
      <c r="G16" t="s">
        <v>326</v>
      </c>
    </row>
    <row r="17" spans="1:7" x14ac:dyDescent="0.25">
      <c r="A17" t="s">
        <v>1398</v>
      </c>
      <c r="B17" t="s">
        <v>1738</v>
      </c>
      <c r="C17" t="s">
        <v>1589</v>
      </c>
      <c r="D17" t="s">
        <v>869</v>
      </c>
      <c r="E17" t="s">
        <v>40</v>
      </c>
      <c r="F17">
        <v>0.79734848484848475</v>
      </c>
      <c r="G17" t="s">
        <v>326</v>
      </c>
    </row>
    <row r="18" spans="1:7" x14ac:dyDescent="0.25">
      <c r="A18" t="s">
        <v>1398</v>
      </c>
      <c r="B18" t="s">
        <v>1738</v>
      </c>
      <c r="C18" t="s">
        <v>1589</v>
      </c>
      <c r="D18" t="s">
        <v>864</v>
      </c>
      <c r="E18" t="s">
        <v>40</v>
      </c>
      <c r="F18">
        <v>1.5592592592592591</v>
      </c>
      <c r="G18" t="s">
        <v>326</v>
      </c>
    </row>
    <row r="19" spans="1:7" x14ac:dyDescent="0.25">
      <c r="A19" t="s">
        <v>1398</v>
      </c>
      <c r="B19" t="s">
        <v>1738</v>
      </c>
      <c r="C19" t="s">
        <v>867</v>
      </c>
      <c r="D19" t="s">
        <v>869</v>
      </c>
      <c r="E19" t="s">
        <v>40</v>
      </c>
      <c r="F19">
        <v>1.3623188405797102</v>
      </c>
      <c r="G19" t="s">
        <v>326</v>
      </c>
    </row>
    <row r="20" spans="1:7" x14ac:dyDescent="0.25">
      <c r="A20" t="s">
        <v>1398</v>
      </c>
      <c r="B20" t="s">
        <v>1738</v>
      </c>
      <c r="C20" t="s">
        <v>867</v>
      </c>
      <c r="D20" t="s">
        <v>866</v>
      </c>
      <c r="E20" t="s">
        <v>1614</v>
      </c>
      <c r="F20">
        <v>0.9051094890510949</v>
      </c>
      <c r="G20" t="s">
        <v>326</v>
      </c>
    </row>
    <row r="21" spans="1:7" x14ac:dyDescent="0.25">
      <c r="A21" t="s">
        <v>1398</v>
      </c>
      <c r="B21" t="s">
        <v>1738</v>
      </c>
      <c r="C21" t="s">
        <v>867</v>
      </c>
      <c r="D21" t="s">
        <v>864</v>
      </c>
      <c r="E21" t="s">
        <v>40</v>
      </c>
      <c r="F21">
        <v>1</v>
      </c>
      <c r="G21" t="s">
        <v>326</v>
      </c>
    </row>
    <row r="22" spans="1:7" x14ac:dyDescent="0.25">
      <c r="A22" t="s">
        <v>1398</v>
      </c>
      <c r="B22" t="s">
        <v>1739</v>
      </c>
      <c r="C22" t="s">
        <v>867</v>
      </c>
      <c r="D22" t="s">
        <v>864</v>
      </c>
      <c r="E22" t="s">
        <v>40</v>
      </c>
      <c r="F22">
        <v>1.1666666666666667</v>
      </c>
      <c r="G22" t="s">
        <v>326</v>
      </c>
    </row>
    <row r="23" spans="1:7" x14ac:dyDescent="0.25">
      <c r="A23" t="s">
        <v>1398</v>
      </c>
      <c r="B23" t="s">
        <v>1633</v>
      </c>
      <c r="C23" t="s">
        <v>1724</v>
      </c>
      <c r="D23" t="s">
        <v>333</v>
      </c>
      <c r="E23" t="s">
        <v>40</v>
      </c>
      <c r="F23">
        <v>1.8597902097902097</v>
      </c>
      <c r="G23" t="s">
        <v>326</v>
      </c>
    </row>
    <row r="24" spans="1:7" x14ac:dyDescent="0.25">
      <c r="A24" t="s">
        <v>1398</v>
      </c>
      <c r="B24" t="s">
        <v>1633</v>
      </c>
      <c r="C24" t="s">
        <v>862</v>
      </c>
      <c r="D24" t="s">
        <v>864</v>
      </c>
      <c r="E24" t="s">
        <v>40</v>
      </c>
      <c r="F24">
        <v>1.8428571428571425</v>
      </c>
      <c r="G24" t="s">
        <v>326</v>
      </c>
    </row>
    <row r="25" spans="1:7" x14ac:dyDescent="0.25">
      <c r="A25" t="s">
        <v>1398</v>
      </c>
      <c r="B25" t="s">
        <v>1633</v>
      </c>
      <c r="C25" t="s">
        <v>867</v>
      </c>
      <c r="D25" t="s">
        <v>333</v>
      </c>
      <c r="E25" t="s">
        <v>40</v>
      </c>
      <c r="F25">
        <v>1.77116704805492</v>
      </c>
      <c r="G25" t="s">
        <v>326</v>
      </c>
    </row>
    <row r="26" spans="1:7" x14ac:dyDescent="0.25">
      <c r="A26" t="s">
        <v>1398</v>
      </c>
      <c r="B26" t="s">
        <v>1633</v>
      </c>
      <c r="C26" t="s">
        <v>867</v>
      </c>
      <c r="D26" t="s">
        <v>869</v>
      </c>
      <c r="E26" t="s">
        <v>1614</v>
      </c>
      <c r="F26">
        <v>1.3478260869565217</v>
      </c>
      <c r="G26" t="s">
        <v>326</v>
      </c>
    </row>
    <row r="27" spans="1:7" x14ac:dyDescent="0.25">
      <c r="A27" t="s">
        <v>1398</v>
      </c>
      <c r="B27" t="s">
        <v>1633</v>
      </c>
      <c r="C27" t="s">
        <v>867</v>
      </c>
      <c r="D27" t="s">
        <v>866</v>
      </c>
      <c r="E27" t="s">
        <v>1614</v>
      </c>
      <c r="F27">
        <v>0.9051094890510949</v>
      </c>
      <c r="G27" t="s">
        <v>326</v>
      </c>
    </row>
    <row r="28" spans="1:7" x14ac:dyDescent="0.25">
      <c r="A28" t="s">
        <v>1398</v>
      </c>
      <c r="B28" t="s">
        <v>1628</v>
      </c>
      <c r="C28" t="s">
        <v>1135</v>
      </c>
      <c r="D28" t="s">
        <v>866</v>
      </c>
      <c r="E28" t="s">
        <v>40</v>
      </c>
      <c r="F28">
        <v>0.79999999999999993</v>
      </c>
      <c r="G28" t="s">
        <v>326</v>
      </c>
    </row>
    <row r="29" spans="1:7" x14ac:dyDescent="0.25">
      <c r="A29" t="s">
        <v>1398</v>
      </c>
      <c r="B29" t="s">
        <v>1628</v>
      </c>
      <c r="C29" t="s">
        <v>867</v>
      </c>
      <c r="D29" t="s">
        <v>333</v>
      </c>
      <c r="E29" t="s">
        <v>40</v>
      </c>
      <c r="F29">
        <v>0.79746835443037967</v>
      </c>
      <c r="G29" t="s">
        <v>326</v>
      </c>
    </row>
    <row r="30" spans="1:7" x14ac:dyDescent="0.25">
      <c r="A30" t="s">
        <v>1398</v>
      </c>
      <c r="B30" t="s">
        <v>1628</v>
      </c>
      <c r="C30" t="s">
        <v>867</v>
      </c>
      <c r="D30" t="s">
        <v>866</v>
      </c>
      <c r="E30" t="s">
        <v>40</v>
      </c>
      <c r="F30">
        <v>0.95000880023086243</v>
      </c>
      <c r="G30" t="s">
        <v>326</v>
      </c>
    </row>
    <row r="31" spans="1:7" x14ac:dyDescent="0.25">
      <c r="A31" t="s">
        <v>1398</v>
      </c>
      <c r="B31" t="s">
        <v>1741</v>
      </c>
      <c r="C31" t="s">
        <v>865</v>
      </c>
      <c r="D31" t="s">
        <v>1386</v>
      </c>
      <c r="E31" t="s">
        <v>40</v>
      </c>
      <c r="F31">
        <v>3.5777777777777779</v>
      </c>
      <c r="G31" t="s">
        <v>326</v>
      </c>
    </row>
    <row r="32" spans="1:7" x14ac:dyDescent="0.25">
      <c r="A32" t="s">
        <v>1398</v>
      </c>
      <c r="B32" t="s">
        <v>1741</v>
      </c>
      <c r="C32" t="s">
        <v>867</v>
      </c>
      <c r="D32" t="s">
        <v>866</v>
      </c>
      <c r="E32" t="s">
        <v>40</v>
      </c>
      <c r="F32">
        <v>0.97589648434151588</v>
      </c>
      <c r="G32" t="s">
        <v>326</v>
      </c>
    </row>
    <row r="33" spans="1:7" x14ac:dyDescent="0.25">
      <c r="A33" t="s">
        <v>1398</v>
      </c>
      <c r="B33" t="s">
        <v>1741</v>
      </c>
      <c r="C33" t="s">
        <v>867</v>
      </c>
      <c r="D33" t="s">
        <v>864</v>
      </c>
      <c r="E33" t="s">
        <v>1614</v>
      </c>
      <c r="F33">
        <v>1.3663911845730028</v>
      </c>
      <c r="G33" t="s">
        <v>326</v>
      </c>
    </row>
    <row r="34" spans="1:7" x14ac:dyDescent="0.25">
      <c r="A34" t="s">
        <v>1398</v>
      </c>
      <c r="B34" t="s">
        <v>1741</v>
      </c>
      <c r="C34" t="s">
        <v>867</v>
      </c>
      <c r="D34" t="s">
        <v>1386</v>
      </c>
      <c r="E34" t="s">
        <v>40</v>
      </c>
      <c r="F34">
        <v>2.1562319514915176</v>
      </c>
      <c r="G34" t="s">
        <v>326</v>
      </c>
    </row>
    <row r="35" spans="1:7" x14ac:dyDescent="0.25">
      <c r="A35" t="s">
        <v>1398</v>
      </c>
      <c r="B35" t="s">
        <v>1742</v>
      </c>
      <c r="C35" t="s">
        <v>867</v>
      </c>
      <c r="D35" t="s">
        <v>866</v>
      </c>
      <c r="E35" t="s">
        <v>1614</v>
      </c>
      <c r="F35">
        <v>0.9051094890510949</v>
      </c>
      <c r="G35" t="s">
        <v>326</v>
      </c>
    </row>
    <row r="36" spans="1:7" x14ac:dyDescent="0.25">
      <c r="A36" t="s">
        <v>1398</v>
      </c>
      <c r="B36" t="s">
        <v>1742</v>
      </c>
      <c r="C36" t="s">
        <v>867</v>
      </c>
      <c r="D36" t="s">
        <v>1386</v>
      </c>
      <c r="E36" t="s">
        <v>1614</v>
      </c>
      <c r="F36">
        <v>1.1588785046728971</v>
      </c>
      <c r="G36" t="s">
        <v>326</v>
      </c>
    </row>
    <row r="37" spans="1:7" x14ac:dyDescent="0.25">
      <c r="A37" t="s">
        <v>1398</v>
      </c>
      <c r="B37" s="167" t="s">
        <v>1737</v>
      </c>
      <c r="C37" t="s">
        <v>867</v>
      </c>
      <c r="D37" t="s">
        <v>1530</v>
      </c>
      <c r="E37" t="s">
        <v>1614</v>
      </c>
      <c r="F37">
        <v>5.161290322580645</v>
      </c>
      <c r="G37" t="s">
        <v>326</v>
      </c>
    </row>
    <row r="38" spans="1:7" x14ac:dyDescent="0.25">
      <c r="A38" t="s">
        <v>1398</v>
      </c>
      <c r="B38" t="s">
        <v>1631</v>
      </c>
      <c r="C38" t="s">
        <v>865</v>
      </c>
      <c r="D38" t="s">
        <v>866</v>
      </c>
      <c r="E38" t="s">
        <v>40</v>
      </c>
      <c r="F38">
        <v>0.56451124174292477</v>
      </c>
      <c r="G38" t="s">
        <v>326</v>
      </c>
    </row>
    <row r="39" spans="1:7" x14ac:dyDescent="0.25">
      <c r="A39" t="s">
        <v>1398</v>
      </c>
      <c r="B39" t="s">
        <v>1631</v>
      </c>
      <c r="C39" t="s">
        <v>865</v>
      </c>
      <c r="D39" t="s">
        <v>864</v>
      </c>
      <c r="E39" t="s">
        <v>40</v>
      </c>
      <c r="F39">
        <v>0.8656258712015612</v>
      </c>
      <c r="G39" t="s">
        <v>326</v>
      </c>
    </row>
    <row r="40" spans="1:7" x14ac:dyDescent="0.25">
      <c r="A40" t="s">
        <v>1398</v>
      </c>
      <c r="B40" t="s">
        <v>1631</v>
      </c>
      <c r="C40" t="s">
        <v>862</v>
      </c>
      <c r="D40" t="s">
        <v>864</v>
      </c>
      <c r="E40" t="s">
        <v>40</v>
      </c>
      <c r="F40">
        <v>1.3885714285714283</v>
      </c>
      <c r="G40" t="s">
        <v>326</v>
      </c>
    </row>
    <row r="41" spans="1:7" x14ac:dyDescent="0.25">
      <c r="A41" t="s">
        <v>1398</v>
      </c>
      <c r="B41" t="s">
        <v>1631</v>
      </c>
      <c r="C41" t="s">
        <v>862</v>
      </c>
      <c r="D41" t="s">
        <v>1386</v>
      </c>
      <c r="E41" t="s">
        <v>1614</v>
      </c>
      <c r="F41">
        <v>1.1682242990654206</v>
      </c>
      <c r="G41" t="s">
        <v>326</v>
      </c>
    </row>
    <row r="42" spans="1:7" x14ac:dyDescent="0.25">
      <c r="A42" t="s">
        <v>1398</v>
      </c>
      <c r="B42" t="s">
        <v>1631</v>
      </c>
      <c r="C42" t="s">
        <v>867</v>
      </c>
      <c r="D42" t="s">
        <v>1386</v>
      </c>
      <c r="E42" t="s">
        <v>40</v>
      </c>
      <c r="F42">
        <v>1.2086330935251799</v>
      </c>
      <c r="G42" t="s">
        <v>326</v>
      </c>
    </row>
    <row r="43" spans="1:7" x14ac:dyDescent="0.25">
      <c r="A43" t="s">
        <v>1398</v>
      </c>
      <c r="B43" t="s">
        <v>1631</v>
      </c>
      <c r="C43" t="s">
        <v>867</v>
      </c>
      <c r="D43" t="s">
        <v>866</v>
      </c>
      <c r="E43" t="s">
        <v>40</v>
      </c>
      <c r="F43">
        <v>0.84119094797996308</v>
      </c>
      <c r="G43" t="s">
        <v>326</v>
      </c>
    </row>
    <row r="44" spans="1:7" x14ac:dyDescent="0.25">
      <c r="A44" t="s">
        <v>1398</v>
      </c>
      <c r="B44" t="s">
        <v>1631</v>
      </c>
      <c r="C44" t="s">
        <v>867</v>
      </c>
      <c r="D44" t="s">
        <v>864</v>
      </c>
      <c r="E44" t="s">
        <v>40</v>
      </c>
      <c r="F44">
        <v>1.2203972498090145</v>
      </c>
      <c r="G44" t="s">
        <v>326</v>
      </c>
    </row>
    <row r="45" spans="1:7" x14ac:dyDescent="0.25">
      <c r="A45" t="s">
        <v>1398</v>
      </c>
      <c r="B45" t="s">
        <v>1631</v>
      </c>
      <c r="C45" t="s">
        <v>867</v>
      </c>
      <c r="D45" t="s">
        <v>1386</v>
      </c>
      <c r="E45" t="s">
        <v>40</v>
      </c>
      <c r="F45">
        <v>1.265033407572383</v>
      </c>
      <c r="G45" t="s">
        <v>326</v>
      </c>
    </row>
    <row r="46" spans="1:7" x14ac:dyDescent="0.25">
      <c r="A46" t="s">
        <v>1398</v>
      </c>
      <c r="B46" t="s">
        <v>1631</v>
      </c>
      <c r="C46" t="s">
        <v>867</v>
      </c>
      <c r="D46" t="s">
        <v>1530</v>
      </c>
      <c r="E46" t="s">
        <v>40</v>
      </c>
      <c r="F46">
        <v>1.9077618288144604</v>
      </c>
      <c r="G46" t="s">
        <v>326</v>
      </c>
    </row>
    <row r="47" spans="1:7" x14ac:dyDescent="0.25">
      <c r="A47" t="s">
        <v>1398</v>
      </c>
      <c r="B47" t="s">
        <v>1636</v>
      </c>
      <c r="C47" t="s">
        <v>1725</v>
      </c>
      <c r="D47" t="s">
        <v>1386</v>
      </c>
      <c r="E47" t="s">
        <v>40</v>
      </c>
      <c r="F47">
        <v>0.73333333333333339</v>
      </c>
      <c r="G47" t="s">
        <v>326</v>
      </c>
    </row>
    <row r="48" spans="1:7" x14ac:dyDescent="0.25">
      <c r="A48" t="s">
        <v>1398</v>
      </c>
      <c r="B48" t="s">
        <v>1636</v>
      </c>
      <c r="C48" t="s">
        <v>1725</v>
      </c>
      <c r="D48" t="s">
        <v>864</v>
      </c>
      <c r="E48" t="s">
        <v>40</v>
      </c>
      <c r="F48">
        <v>0.73333333333333339</v>
      </c>
      <c r="G48" t="s">
        <v>326</v>
      </c>
    </row>
    <row r="49" spans="1:7" x14ac:dyDescent="0.25">
      <c r="A49" t="s">
        <v>1398</v>
      </c>
      <c r="B49" t="s">
        <v>1636</v>
      </c>
      <c r="C49" t="s">
        <v>1726</v>
      </c>
      <c r="D49" t="s">
        <v>1386</v>
      </c>
      <c r="E49" t="s">
        <v>40</v>
      </c>
      <c r="F49">
        <v>1</v>
      </c>
      <c r="G49" t="s">
        <v>326</v>
      </c>
    </row>
    <row r="50" spans="1:7" x14ac:dyDescent="0.25">
      <c r="A50" t="s">
        <v>1398</v>
      </c>
      <c r="B50" t="s">
        <v>1636</v>
      </c>
      <c r="C50" t="s">
        <v>1726</v>
      </c>
      <c r="D50" t="s">
        <v>864</v>
      </c>
      <c r="E50" t="s">
        <v>40</v>
      </c>
      <c r="F50">
        <f>(1+0.86)/2</f>
        <v>0.92999999999999994</v>
      </c>
      <c r="G50" t="s">
        <v>326</v>
      </c>
    </row>
    <row r="51" spans="1:7" x14ac:dyDescent="0.25">
      <c r="A51" t="s">
        <v>1398</v>
      </c>
      <c r="B51" t="s">
        <v>1636</v>
      </c>
      <c r="C51" t="s">
        <v>1562</v>
      </c>
      <c r="D51" t="s">
        <v>864</v>
      </c>
      <c r="E51" t="s">
        <v>40</v>
      </c>
      <c r="F51">
        <v>1.3666666666666665</v>
      </c>
      <c r="G51" t="s">
        <v>326</v>
      </c>
    </row>
    <row r="52" spans="1:7" x14ac:dyDescent="0.25">
      <c r="A52" t="s">
        <v>1398</v>
      </c>
      <c r="B52" t="s">
        <v>1636</v>
      </c>
      <c r="C52" t="s">
        <v>1563</v>
      </c>
      <c r="D52" t="s">
        <v>864</v>
      </c>
      <c r="E52" t="s">
        <v>40</v>
      </c>
      <c r="F52">
        <v>1.3666666666666665</v>
      </c>
      <c r="G52" t="s">
        <v>326</v>
      </c>
    </row>
    <row r="53" spans="1:7" x14ac:dyDescent="0.25">
      <c r="A53" t="s">
        <v>1398</v>
      </c>
      <c r="B53" t="s">
        <v>1636</v>
      </c>
      <c r="C53" t="s">
        <v>1726</v>
      </c>
      <c r="D53" t="s">
        <v>1418</v>
      </c>
      <c r="E53" t="s">
        <v>40</v>
      </c>
      <c r="F53">
        <v>0.86</v>
      </c>
      <c r="G53" t="s">
        <v>326</v>
      </c>
    </row>
    <row r="54" spans="1:7" x14ac:dyDescent="0.25">
      <c r="A54" t="s">
        <v>1398</v>
      </c>
      <c r="B54" t="s">
        <v>1636</v>
      </c>
      <c r="C54" t="s">
        <v>862</v>
      </c>
      <c r="D54" t="s">
        <v>864</v>
      </c>
      <c r="E54" t="s">
        <v>1614</v>
      </c>
      <c r="F54">
        <v>1.3774104683195592</v>
      </c>
      <c r="G54" t="s">
        <v>326</v>
      </c>
    </row>
    <row r="55" spans="1:7" x14ac:dyDescent="0.25">
      <c r="A55" t="s">
        <v>1398</v>
      </c>
      <c r="B55" t="s">
        <v>1636</v>
      </c>
      <c r="C55" t="s">
        <v>862</v>
      </c>
      <c r="D55" t="s">
        <v>1386</v>
      </c>
      <c r="E55" t="s">
        <v>1614</v>
      </c>
      <c r="F55">
        <v>1.1682242990654206</v>
      </c>
      <c r="G55" t="s">
        <v>326</v>
      </c>
    </row>
    <row r="56" spans="1:7" x14ac:dyDescent="0.25">
      <c r="A56" t="s">
        <v>1398</v>
      </c>
      <c r="B56" t="s">
        <v>1636</v>
      </c>
      <c r="C56" t="s">
        <v>867</v>
      </c>
      <c r="D56" t="s">
        <v>1386</v>
      </c>
      <c r="E56" t="s">
        <v>40</v>
      </c>
      <c r="F56">
        <v>1.1834862385321101</v>
      </c>
      <c r="G56" t="s">
        <v>326</v>
      </c>
    </row>
    <row r="57" spans="1:7" x14ac:dyDescent="0.25">
      <c r="A57" t="s">
        <v>1398</v>
      </c>
      <c r="B57" t="s">
        <v>1636</v>
      </c>
      <c r="C57" t="s">
        <v>867</v>
      </c>
      <c r="D57" t="s">
        <v>333</v>
      </c>
      <c r="E57" t="s">
        <v>1614</v>
      </c>
      <c r="F57">
        <v>1.3011542497376705</v>
      </c>
      <c r="G57" t="s">
        <v>326</v>
      </c>
    </row>
    <row r="58" spans="1:7" x14ac:dyDescent="0.25">
      <c r="A58" t="s">
        <v>1398</v>
      </c>
      <c r="B58" t="s">
        <v>1636</v>
      </c>
      <c r="C58" t="s">
        <v>867</v>
      </c>
      <c r="D58" t="s">
        <v>866</v>
      </c>
      <c r="E58" t="s">
        <v>40</v>
      </c>
      <c r="F58">
        <v>0.8575400986032683</v>
      </c>
      <c r="G58" t="s">
        <v>326</v>
      </c>
    </row>
    <row r="59" spans="1:7" x14ac:dyDescent="0.25">
      <c r="A59" t="s">
        <v>1398</v>
      </c>
      <c r="B59" t="s">
        <v>1636</v>
      </c>
      <c r="C59" t="s">
        <v>867</v>
      </c>
      <c r="D59" t="s">
        <v>864</v>
      </c>
      <c r="E59" t="s">
        <v>40</v>
      </c>
      <c r="F59">
        <v>1.1427472019578178</v>
      </c>
      <c r="G59" t="s">
        <v>326</v>
      </c>
    </row>
    <row r="60" spans="1:7" x14ac:dyDescent="0.25">
      <c r="A60" t="s">
        <v>1398</v>
      </c>
      <c r="B60" t="s">
        <v>1636</v>
      </c>
      <c r="C60" t="s">
        <v>867</v>
      </c>
      <c r="D60" t="s">
        <v>1386</v>
      </c>
      <c r="E60" t="s">
        <v>40</v>
      </c>
      <c r="F60">
        <v>1.1342527109853844</v>
      </c>
      <c r="G60" t="s">
        <v>326</v>
      </c>
    </row>
    <row r="61" spans="1:7" x14ac:dyDescent="0.25">
      <c r="A61" t="s">
        <v>1398</v>
      </c>
      <c r="B61" t="s">
        <v>1636</v>
      </c>
      <c r="C61" t="s">
        <v>867</v>
      </c>
      <c r="D61" t="s">
        <v>1530</v>
      </c>
      <c r="E61" t="s">
        <v>1614</v>
      </c>
      <c r="F61">
        <v>5.161290322580645</v>
      </c>
      <c r="G61" t="s">
        <v>326</v>
      </c>
    </row>
    <row r="62" spans="1:7" x14ac:dyDescent="0.25">
      <c r="A62" t="s">
        <v>1513</v>
      </c>
      <c r="B62" t="s">
        <v>1710</v>
      </c>
      <c r="C62" t="s">
        <v>867</v>
      </c>
      <c r="D62" t="s">
        <v>333</v>
      </c>
      <c r="E62" t="s">
        <v>1614</v>
      </c>
      <c r="F62">
        <v>1.3011542497376705</v>
      </c>
      <c r="G62" t="s">
        <v>1736</v>
      </c>
    </row>
    <row r="63" spans="1:7" x14ac:dyDescent="0.25">
      <c r="A63" t="s">
        <v>1513</v>
      </c>
      <c r="B63" t="s">
        <v>1710</v>
      </c>
      <c r="C63" t="s">
        <v>867</v>
      </c>
      <c r="D63" t="s">
        <v>869</v>
      </c>
      <c r="E63" t="s">
        <v>1614</v>
      </c>
      <c r="F63">
        <v>1.3478260869565217</v>
      </c>
      <c r="G63" t="s">
        <v>1736</v>
      </c>
    </row>
    <row r="64" spans="1:7" x14ac:dyDescent="0.25">
      <c r="A64" t="s">
        <v>1513</v>
      </c>
      <c r="B64" t="s">
        <v>1710</v>
      </c>
      <c r="C64" t="s">
        <v>867</v>
      </c>
      <c r="D64" t="s">
        <v>866</v>
      </c>
      <c r="E64" t="s">
        <v>1614</v>
      </c>
      <c r="F64">
        <v>0.9051094890510949</v>
      </c>
      <c r="G64" t="s">
        <v>1736</v>
      </c>
    </row>
    <row r="65" spans="1:7" x14ac:dyDescent="0.25">
      <c r="A65" t="s">
        <v>1513</v>
      </c>
      <c r="B65" t="s">
        <v>1710</v>
      </c>
      <c r="C65" t="s">
        <v>867</v>
      </c>
      <c r="D65" t="s">
        <v>864</v>
      </c>
      <c r="E65" t="s">
        <v>1614</v>
      </c>
      <c r="F65">
        <v>1.3663911845730028</v>
      </c>
      <c r="G65" t="s">
        <v>1736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J42" sqref="J42"/>
    </sheetView>
  </sheetViews>
  <sheetFormatPr defaultRowHeight="15" x14ac:dyDescent="0.25"/>
  <cols>
    <col min="1" max="1" width="56" bestFit="1" customWidth="1"/>
    <col min="2" max="2" width="38.42578125" customWidth="1"/>
  </cols>
  <sheetData>
    <row r="1" spans="1:13" x14ac:dyDescent="0.25">
      <c r="A1" t="s">
        <v>1697</v>
      </c>
      <c r="B1" t="s">
        <v>1713</v>
      </c>
      <c r="C1" t="s">
        <v>333</v>
      </c>
      <c r="D1" t="s">
        <v>869</v>
      </c>
      <c r="E1" t="s">
        <v>866</v>
      </c>
      <c r="F1" t="s">
        <v>864</v>
      </c>
      <c r="G1" t="s">
        <v>1386</v>
      </c>
      <c r="H1" t="s">
        <v>1530</v>
      </c>
      <c r="I1" t="s">
        <v>1617</v>
      </c>
      <c r="J1" t="s">
        <v>1418</v>
      </c>
      <c r="K1" t="s">
        <v>1734</v>
      </c>
      <c r="L1" t="s">
        <v>1723</v>
      </c>
      <c r="M1" t="s">
        <v>1698</v>
      </c>
    </row>
    <row r="2" spans="1:13" x14ac:dyDescent="0.25">
      <c r="A2" t="s">
        <v>1663</v>
      </c>
      <c r="B2" t="s">
        <v>1719</v>
      </c>
      <c r="C2">
        <v>0</v>
      </c>
      <c r="D2">
        <v>0</v>
      </c>
      <c r="E2">
        <v>0</v>
      </c>
      <c r="F2">
        <v>0</v>
      </c>
      <c r="G2">
        <v>0</v>
      </c>
      <c r="H2">
        <v>0.16052984807040974</v>
      </c>
      <c r="I2">
        <v>0</v>
      </c>
      <c r="J2">
        <v>0</v>
      </c>
      <c r="K2">
        <f>L2</f>
        <v>7.399118527800691E-2</v>
      </c>
      <c r="L2">
        <v>7.399118527800691E-2</v>
      </c>
      <c r="M2">
        <v>0</v>
      </c>
    </row>
    <row r="3" spans="1:13" x14ac:dyDescent="0.25">
      <c r="A3" t="s">
        <v>1663</v>
      </c>
      <c r="B3" t="s">
        <v>1727</v>
      </c>
      <c r="C3">
        <v>0.16040182183045329</v>
      </c>
      <c r="D3">
        <v>5.3467273943484425E-2</v>
      </c>
      <c r="E3">
        <v>0</v>
      </c>
      <c r="F3">
        <v>5.832793521107392E-2</v>
      </c>
      <c r="G3">
        <v>1.2738813758684038E-3</v>
      </c>
      <c r="H3">
        <v>0</v>
      </c>
      <c r="I3">
        <v>0.393713562674749</v>
      </c>
      <c r="J3">
        <v>0</v>
      </c>
      <c r="K3">
        <f t="shared" ref="K3:K22" si="0">L3</f>
        <v>0</v>
      </c>
      <c r="L3">
        <v>0</v>
      </c>
      <c r="M3">
        <v>2.4303306337947469E-2</v>
      </c>
    </row>
    <row r="4" spans="1:13" x14ac:dyDescent="0.25">
      <c r="A4" t="s">
        <v>1691</v>
      </c>
      <c r="B4" t="s">
        <v>1722</v>
      </c>
      <c r="C4">
        <v>3.4705449224586501E-2</v>
      </c>
      <c r="D4">
        <v>4.3983791812342951E-2</v>
      </c>
      <c r="E4">
        <v>5.4076618639516041E-3</v>
      </c>
      <c r="F4">
        <v>7.5897683792752496E-2</v>
      </c>
      <c r="G4">
        <v>2.9951842487327331E-2</v>
      </c>
      <c r="H4">
        <v>2.7492211051283527E-3</v>
      </c>
      <c r="I4">
        <v>3.2527576851137496E-2</v>
      </c>
      <c r="J4">
        <v>1.8381161723351315E-3</v>
      </c>
      <c r="K4">
        <f t="shared" si="0"/>
        <v>6.3352824605603694E-2</v>
      </c>
      <c r="L4">
        <v>6.3352824605603694E-2</v>
      </c>
      <c r="M4">
        <v>6.2614856117372886E-2</v>
      </c>
    </row>
    <row r="5" spans="1:13" x14ac:dyDescent="0.25">
      <c r="A5" t="s">
        <v>1691</v>
      </c>
      <c r="B5" t="s">
        <v>1625</v>
      </c>
      <c r="C5">
        <v>5.1667262408761514E-3</v>
      </c>
      <c r="D5">
        <v>1.458826855250466E-2</v>
      </c>
      <c r="E5">
        <v>7.6884630572246243E-4</v>
      </c>
      <c r="F5">
        <v>1.4387353039804596E-2</v>
      </c>
      <c r="G5">
        <v>5.8544881498151912E-3</v>
      </c>
      <c r="H5">
        <v>0</v>
      </c>
      <c r="I5">
        <v>1.0325363638426323E-2</v>
      </c>
      <c r="J5">
        <v>2.8456623686886533E-4</v>
      </c>
      <c r="K5">
        <f t="shared" si="0"/>
        <v>2.5795838872628141E-2</v>
      </c>
      <c r="L5">
        <v>2.5795838872628141E-2</v>
      </c>
      <c r="M5">
        <v>2.0004619607321032E-2</v>
      </c>
    </row>
    <row r="6" spans="1:13" x14ac:dyDescent="0.25">
      <c r="A6" t="s">
        <v>1691</v>
      </c>
      <c r="B6" t="s">
        <v>1728</v>
      </c>
      <c r="C6">
        <v>7.5492766345054599E-2</v>
      </c>
      <c r="D6">
        <v>0.13822695801779949</v>
      </c>
      <c r="E6">
        <v>0</v>
      </c>
      <c r="F6">
        <v>0.16758953897918738</v>
      </c>
      <c r="G6">
        <v>7.0824775357376621E-2</v>
      </c>
      <c r="H6">
        <v>6.1579655585325644E-3</v>
      </c>
      <c r="I6">
        <v>-2.1359022034989068E-3</v>
      </c>
      <c r="J6">
        <v>4.4901397908106615E-3</v>
      </c>
      <c r="K6">
        <f t="shared" si="0"/>
        <v>0</v>
      </c>
      <c r="L6">
        <v>0</v>
      </c>
      <c r="M6">
        <v>0</v>
      </c>
    </row>
    <row r="7" spans="1:13" x14ac:dyDescent="0.25">
      <c r="A7" t="s">
        <v>1692</v>
      </c>
      <c r="B7" t="s">
        <v>1729</v>
      </c>
      <c r="C7">
        <v>4.6190462848279594E-2</v>
      </c>
      <c r="D7">
        <v>0.11547615712069899</v>
      </c>
      <c r="E7">
        <v>0</v>
      </c>
      <c r="F7">
        <v>0.20785708281725812</v>
      </c>
      <c r="G7">
        <v>5.1371655889794199E-2</v>
      </c>
      <c r="H7">
        <v>7.1084215841917366E-4</v>
      </c>
      <c r="I7">
        <v>9.2380925696559188E-2</v>
      </c>
      <c r="J7">
        <v>0.16267963353103362</v>
      </c>
      <c r="K7">
        <f t="shared" si="0"/>
        <v>4.6190462848279594E-2</v>
      </c>
      <c r="L7">
        <v>4.6190462848279594E-2</v>
      </c>
      <c r="M7">
        <v>0.23095231424139792</v>
      </c>
    </row>
    <row r="8" spans="1:13" x14ac:dyDescent="0.25">
      <c r="A8" t="s">
        <v>1694</v>
      </c>
      <c r="B8" t="s">
        <v>1740</v>
      </c>
      <c r="C8">
        <v>0</v>
      </c>
      <c r="D8">
        <v>5.1726982389349065E-2</v>
      </c>
      <c r="E8">
        <v>0</v>
      </c>
      <c r="F8">
        <v>0</v>
      </c>
      <c r="G8">
        <v>0</v>
      </c>
      <c r="H8">
        <v>0</v>
      </c>
      <c r="I8">
        <v>0</v>
      </c>
      <c r="J8">
        <v>0</v>
      </c>
      <c r="K8">
        <f t="shared" si="0"/>
        <v>0</v>
      </c>
      <c r="L8">
        <v>0</v>
      </c>
      <c r="M8">
        <v>0</v>
      </c>
    </row>
    <row r="9" spans="1:13" x14ac:dyDescent="0.25">
      <c r="A9" t="s">
        <v>1694</v>
      </c>
      <c r="B9" t="s">
        <v>1730</v>
      </c>
      <c r="C9">
        <v>7.1942446043165451E-2</v>
      </c>
      <c r="D9">
        <v>8.4963665092665355E-2</v>
      </c>
      <c r="E9">
        <v>0</v>
      </c>
      <c r="F9">
        <v>0.31654676258992809</v>
      </c>
      <c r="G9">
        <v>4.3961218191971137E-2</v>
      </c>
      <c r="H9">
        <v>3.6722002716349945E-3</v>
      </c>
      <c r="I9">
        <v>0.10071942446043167</v>
      </c>
      <c r="J9">
        <v>2.7262937666096957E-3</v>
      </c>
      <c r="K9">
        <f t="shared" si="0"/>
        <v>0.10071942446043167</v>
      </c>
      <c r="L9">
        <v>0.10071942446043167</v>
      </c>
      <c r="M9">
        <v>0.12230215827338131</v>
      </c>
    </row>
    <row r="10" spans="1:13" x14ac:dyDescent="0.25">
      <c r="A10" t="s">
        <v>1690</v>
      </c>
      <c r="B10" s="159" t="s">
        <v>1738</v>
      </c>
      <c r="C10">
        <v>1.1195398594047303E-2</v>
      </c>
      <c r="D10">
        <v>3.1835638114806067E-2</v>
      </c>
      <c r="E10">
        <v>4.8310523159144324E-3</v>
      </c>
      <c r="F10">
        <v>4.1441179234610298E-2</v>
      </c>
      <c r="G10">
        <v>1.6383577606882051E-3</v>
      </c>
      <c r="H10">
        <v>0</v>
      </c>
      <c r="I10">
        <v>3.6061800274780143E-3</v>
      </c>
      <c r="J10">
        <v>0</v>
      </c>
      <c r="K10">
        <f t="shared" si="0"/>
        <v>0</v>
      </c>
      <c r="L10">
        <v>0</v>
      </c>
      <c r="M10">
        <v>0</v>
      </c>
    </row>
    <row r="11" spans="1:13" x14ac:dyDescent="0.25">
      <c r="A11" t="s">
        <v>1690</v>
      </c>
      <c r="B11" t="s">
        <v>1739</v>
      </c>
      <c r="C11">
        <v>8.2443824234723073E-3</v>
      </c>
      <c r="D11">
        <v>1.7730073202358712E-2</v>
      </c>
      <c r="E11">
        <v>3.0517181918599859E-3</v>
      </c>
      <c r="F11">
        <v>2.8234763641757202E-2</v>
      </c>
      <c r="G11">
        <v>1.2466584339949334E-3</v>
      </c>
      <c r="H11">
        <v>0</v>
      </c>
      <c r="I11">
        <v>2.7232328084134008E-3</v>
      </c>
      <c r="J11">
        <v>0</v>
      </c>
      <c r="K11">
        <f t="shared" si="0"/>
        <v>0</v>
      </c>
      <c r="L11">
        <v>0</v>
      </c>
      <c r="M11">
        <v>0</v>
      </c>
    </row>
    <row r="12" spans="1:13" x14ac:dyDescent="0.25">
      <c r="A12" t="s">
        <v>1690</v>
      </c>
      <c r="B12" t="s">
        <v>1633</v>
      </c>
      <c r="C12">
        <v>2.0901251214436832E-3</v>
      </c>
      <c r="D12">
        <v>1.4506423529202579E-3</v>
      </c>
      <c r="E12">
        <v>0</v>
      </c>
      <c r="F12">
        <v>0</v>
      </c>
      <c r="G12">
        <v>0</v>
      </c>
      <c r="H12">
        <v>0</v>
      </c>
      <c r="I12">
        <v>0</v>
      </c>
      <c r="J12">
        <v>0</v>
      </c>
      <c r="K12">
        <f t="shared" si="0"/>
        <v>0</v>
      </c>
      <c r="L12">
        <v>0</v>
      </c>
      <c r="M12">
        <v>0</v>
      </c>
    </row>
    <row r="13" spans="1:13" x14ac:dyDescent="0.25">
      <c r="A13" t="s">
        <v>1690</v>
      </c>
      <c r="B13" t="s">
        <v>1628</v>
      </c>
      <c r="C13">
        <v>2.7659654306561761E-2</v>
      </c>
      <c r="D13">
        <v>0</v>
      </c>
      <c r="E13">
        <v>0.11004279447624647</v>
      </c>
      <c r="F13">
        <v>5.8789244593667649E-3</v>
      </c>
      <c r="G13">
        <v>0</v>
      </c>
      <c r="H13">
        <v>0</v>
      </c>
      <c r="I13">
        <v>0</v>
      </c>
      <c r="J13">
        <v>0</v>
      </c>
      <c r="K13">
        <f t="shared" si="0"/>
        <v>0</v>
      </c>
      <c r="L13">
        <v>0</v>
      </c>
      <c r="M13">
        <v>0</v>
      </c>
    </row>
    <row r="14" spans="1:13" x14ac:dyDescent="0.25">
      <c r="A14" t="s">
        <v>1690</v>
      </c>
      <c r="B14" t="s">
        <v>1741</v>
      </c>
      <c r="C14">
        <v>2.9848752548173735E-3</v>
      </c>
      <c r="D14">
        <v>2.4809278319069009E-4</v>
      </c>
      <c r="E14">
        <v>2.2294923896442748E-2</v>
      </c>
      <c r="F14">
        <v>3.0321868684922371E-2</v>
      </c>
      <c r="G14">
        <v>2.0636581102003365E-2</v>
      </c>
      <c r="H14">
        <v>3.3229473661791952E-3</v>
      </c>
      <c r="I14">
        <v>5.5279998835767201E-3</v>
      </c>
      <c r="J14">
        <v>0</v>
      </c>
      <c r="K14">
        <f t="shared" si="0"/>
        <v>0</v>
      </c>
      <c r="L14">
        <v>0</v>
      </c>
      <c r="M14">
        <v>0</v>
      </c>
    </row>
    <row r="15" spans="1:13" x14ac:dyDescent="0.25">
      <c r="A15" t="s">
        <v>1690</v>
      </c>
      <c r="B15" s="159" t="s">
        <v>1742</v>
      </c>
      <c r="C15">
        <v>1.0450625607218416E-3</v>
      </c>
      <c r="D15">
        <v>1.6118248365780635E-4</v>
      </c>
      <c r="E15">
        <v>1.6893439990653489E-2</v>
      </c>
      <c r="F15">
        <v>2.1817771904994201E-2</v>
      </c>
      <c r="G15">
        <v>1.4980535554432909E-2</v>
      </c>
      <c r="H15">
        <v>2.207449738177113E-3</v>
      </c>
      <c r="I15">
        <v>3.9335585010415782E-3</v>
      </c>
      <c r="J15">
        <v>0</v>
      </c>
      <c r="K15">
        <f t="shared" si="0"/>
        <v>0</v>
      </c>
      <c r="L15">
        <v>0</v>
      </c>
      <c r="M15">
        <v>0</v>
      </c>
    </row>
    <row r="16" spans="1:13" x14ac:dyDescent="0.25">
      <c r="A16" t="s">
        <v>1690</v>
      </c>
      <c r="B16" t="s">
        <v>1737</v>
      </c>
      <c r="C16">
        <v>6.1344199573391003E-2</v>
      </c>
      <c r="D16">
        <v>0</v>
      </c>
      <c r="E16">
        <v>2.559253859981475E-3</v>
      </c>
      <c r="F16">
        <v>2.2223509335109765E-2</v>
      </c>
      <c r="G16">
        <v>1.4426523481513038E-2</v>
      </c>
      <c r="H16">
        <v>6.4127727340232178E-3</v>
      </c>
      <c r="I16">
        <v>0</v>
      </c>
      <c r="J16">
        <v>0</v>
      </c>
      <c r="K16">
        <f t="shared" si="0"/>
        <v>0</v>
      </c>
      <c r="L16">
        <v>0</v>
      </c>
      <c r="M16">
        <v>0</v>
      </c>
    </row>
    <row r="17" spans="1:13" x14ac:dyDescent="0.25">
      <c r="A17" t="s">
        <v>1690</v>
      </c>
      <c r="B17" t="s">
        <v>1631</v>
      </c>
      <c r="C17">
        <v>2.9848752548173735E-3</v>
      </c>
      <c r="D17">
        <v>2.4809278319069009E-4</v>
      </c>
      <c r="E17">
        <v>2.2294923896442748E-2</v>
      </c>
      <c r="F17">
        <v>3.0321868684922371E-2</v>
      </c>
      <c r="G17">
        <v>2.0636581102003365E-2</v>
      </c>
      <c r="H17">
        <v>3.3229473661791952E-3</v>
      </c>
      <c r="I17">
        <v>5.5279998835767201E-3</v>
      </c>
      <c r="J17">
        <v>0</v>
      </c>
      <c r="K17">
        <f t="shared" si="0"/>
        <v>0</v>
      </c>
      <c r="L17">
        <v>0</v>
      </c>
      <c r="M17">
        <v>0</v>
      </c>
    </row>
    <row r="18" spans="1:13" x14ac:dyDescent="0.25">
      <c r="A18" t="s">
        <v>1690</v>
      </c>
      <c r="B18" t="s">
        <v>1636</v>
      </c>
      <c r="C18">
        <v>1.0674830290982332E-2</v>
      </c>
      <c r="D18">
        <v>4.871996220532789E-3</v>
      </c>
      <c r="E18">
        <v>6.6734563801830824E-3</v>
      </c>
      <c r="F18">
        <v>3.6633223167020848E-2</v>
      </c>
      <c r="G18">
        <v>3.8844257277219833E-3</v>
      </c>
      <c r="H18">
        <v>1.7266765223094007E-3</v>
      </c>
      <c r="I18">
        <v>8.8003293031227361E-4</v>
      </c>
      <c r="J18">
        <v>0</v>
      </c>
      <c r="K18">
        <f t="shared" si="0"/>
        <v>0</v>
      </c>
      <c r="L18">
        <v>0</v>
      </c>
      <c r="M18">
        <v>0</v>
      </c>
    </row>
    <row r="19" spans="1:13" x14ac:dyDescent="0.25">
      <c r="A19" t="s">
        <v>1690</v>
      </c>
      <c r="B19" t="s">
        <v>1731</v>
      </c>
      <c r="C19">
        <v>5.8472816458966251E-2</v>
      </c>
      <c r="D19">
        <v>0.21446492376143836</v>
      </c>
      <c r="E19">
        <v>1.4114546710139522E-2</v>
      </c>
      <c r="F19">
        <v>0</v>
      </c>
      <c r="G19">
        <v>0</v>
      </c>
      <c r="H19">
        <v>0</v>
      </c>
      <c r="I19">
        <v>0</v>
      </c>
      <c r="J19">
        <v>0</v>
      </c>
      <c r="K19">
        <f t="shared" si="0"/>
        <v>2.0074862348303363E-3</v>
      </c>
      <c r="L19">
        <v>2.0074862348303363E-3</v>
      </c>
      <c r="M19">
        <v>2.0074862348303363E-3</v>
      </c>
    </row>
    <row r="20" spans="1:13" x14ac:dyDescent="0.25">
      <c r="A20" t="s">
        <v>1695</v>
      </c>
      <c r="B20" t="s">
        <v>1710</v>
      </c>
      <c r="C20">
        <v>1.8083268150963106E-2</v>
      </c>
      <c r="D20">
        <v>0</v>
      </c>
      <c r="E20">
        <v>0.5281018587086086</v>
      </c>
      <c r="F20">
        <v>0.25986126824704009</v>
      </c>
      <c r="G20">
        <v>0</v>
      </c>
      <c r="H20">
        <v>0</v>
      </c>
      <c r="I20">
        <v>0</v>
      </c>
      <c r="J20">
        <v>0</v>
      </c>
      <c r="K20">
        <f t="shared" si="0"/>
        <v>0</v>
      </c>
      <c r="L20">
        <v>0</v>
      </c>
      <c r="M20">
        <v>0.19395360489338814</v>
      </c>
    </row>
    <row r="21" spans="1:13" x14ac:dyDescent="0.25">
      <c r="A21" t="s">
        <v>1696</v>
      </c>
      <c r="B21" t="s">
        <v>1718</v>
      </c>
      <c r="C21">
        <v>0</v>
      </c>
      <c r="D21">
        <v>0</v>
      </c>
      <c r="E21">
        <v>0</v>
      </c>
      <c r="F21">
        <v>0.14400000000000002</v>
      </c>
      <c r="G21">
        <v>0</v>
      </c>
      <c r="H21">
        <v>0</v>
      </c>
      <c r="I21">
        <v>0</v>
      </c>
      <c r="J21">
        <v>0</v>
      </c>
      <c r="K21">
        <f t="shared" si="0"/>
        <v>0</v>
      </c>
      <c r="L21">
        <v>0</v>
      </c>
      <c r="M21">
        <v>3.6000000000000004E-2</v>
      </c>
    </row>
    <row r="22" spans="1:13" x14ac:dyDescent="0.25">
      <c r="A22" t="s">
        <v>1696</v>
      </c>
      <c r="B22" t="s">
        <v>1732</v>
      </c>
      <c r="C22">
        <v>0.11764705882352942</v>
      </c>
      <c r="D22">
        <v>1.4705882352941178E-2</v>
      </c>
      <c r="E22">
        <v>0</v>
      </c>
      <c r="F22">
        <v>0.2383529411764706</v>
      </c>
      <c r="G22">
        <v>0</v>
      </c>
      <c r="H22">
        <v>0</v>
      </c>
      <c r="I22">
        <v>4.4117647058823525E-2</v>
      </c>
      <c r="J22">
        <v>0</v>
      </c>
      <c r="K22">
        <f t="shared" si="0"/>
        <v>0.11764705882352942</v>
      </c>
      <c r="L22">
        <v>0.11764705882352942</v>
      </c>
      <c r="M22">
        <v>0.16988235294117646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3"/>
  <sheetViews>
    <sheetView topLeftCell="A154" workbookViewId="0">
      <selection activeCell="A163" sqref="A163"/>
    </sheetView>
  </sheetViews>
  <sheetFormatPr defaultRowHeight="15" x14ac:dyDescent="0.25"/>
  <cols>
    <col min="1" max="1" width="56" bestFit="1" customWidth="1"/>
    <col min="3" max="3" width="8.140625" customWidth="1"/>
    <col min="4" max="4" width="9.7109375" customWidth="1"/>
    <col min="5" max="5" width="7.85546875" customWidth="1"/>
    <col min="6" max="6" width="10" customWidth="1"/>
    <col min="7" max="7" width="7.7109375" customWidth="1"/>
    <col min="8" max="8" width="7.85546875" customWidth="1"/>
    <col min="9" max="9" width="7.5703125" customWidth="1"/>
    <col min="10" max="10" width="9.140625" customWidth="1"/>
    <col min="11" max="11" width="7.5703125" customWidth="1"/>
    <col min="12" max="12" width="7.28515625" customWidth="1"/>
    <col min="16" max="16" width="10.140625" style="165" bestFit="1" customWidth="1"/>
  </cols>
  <sheetData>
    <row r="1" spans="1:18" ht="15.75" thickBot="1" x14ac:dyDescent="0.3">
      <c r="A1" s="65" t="s">
        <v>1702</v>
      </c>
      <c r="B1" s="168" t="s">
        <v>333</v>
      </c>
      <c r="C1" s="169" t="s">
        <v>869</v>
      </c>
      <c r="D1" s="169" t="s">
        <v>866</v>
      </c>
      <c r="E1" s="169" t="s">
        <v>864</v>
      </c>
      <c r="F1" s="169" t="s">
        <v>1383</v>
      </c>
      <c r="G1" s="169" t="s">
        <v>1530</v>
      </c>
      <c r="H1" s="169" t="s">
        <v>1617</v>
      </c>
      <c r="I1" s="169" t="s">
        <v>1532</v>
      </c>
      <c r="J1" s="169" t="s">
        <v>1418</v>
      </c>
      <c r="K1" s="169" t="s">
        <v>1618</v>
      </c>
      <c r="L1" s="169" t="s">
        <v>1619</v>
      </c>
      <c r="M1" s="170" t="s">
        <v>1529</v>
      </c>
    </row>
    <row r="2" spans="1:18" x14ac:dyDescent="0.25">
      <c r="A2" s="182" t="s">
        <v>1663</v>
      </c>
      <c r="B2" s="184">
        <v>3.3000000000000002E-2</v>
      </c>
      <c r="C2" s="184">
        <v>1.0999999999999999E-2</v>
      </c>
      <c r="D2" s="184">
        <v>0</v>
      </c>
      <c r="E2" s="184">
        <v>1.2E-2</v>
      </c>
      <c r="F2" s="184">
        <v>2.1999999999999999E-2</v>
      </c>
      <c r="H2" s="184">
        <v>8.1000000000000003E-2</v>
      </c>
      <c r="M2" s="184">
        <v>2.4E-2</v>
      </c>
      <c r="N2" s="184">
        <v>5.0000000000000001E-3</v>
      </c>
      <c r="O2" s="184">
        <v>0.188</v>
      </c>
      <c r="P2" s="165">
        <v>65</v>
      </c>
      <c r="Q2" s="173">
        <f>P2/SUM($P$2:$P$7,$P$9)</f>
        <v>0.18678160919540229</v>
      </c>
    </row>
    <row r="3" spans="1:18" x14ac:dyDescent="0.25">
      <c r="A3" s="183" t="s">
        <v>1691</v>
      </c>
      <c r="B3" s="184">
        <v>1.7000000000000001E-2</v>
      </c>
      <c r="C3" s="184">
        <v>2.9000000000000001E-2</v>
      </c>
      <c r="D3" s="184">
        <v>0</v>
      </c>
      <c r="E3" s="184">
        <v>3.7999999999999999E-2</v>
      </c>
      <c r="F3" s="184">
        <v>1.7999999999999999E-2</v>
      </c>
      <c r="H3" s="184">
        <v>6.0000000000000001E-3</v>
      </c>
      <c r="M3" s="184">
        <v>0.01</v>
      </c>
      <c r="N3" s="184">
        <v>2E-3</v>
      </c>
      <c r="O3" s="184">
        <v>0.11899999999999999</v>
      </c>
      <c r="P3" s="165">
        <v>42</v>
      </c>
      <c r="Q3" s="173">
        <f t="shared" ref="Q3:Q9" si="0">P3/SUM($P$2:$P$7,$P$9)</f>
        <v>0.1206896551724138</v>
      </c>
    </row>
    <row r="4" spans="1:18" x14ac:dyDescent="0.25">
      <c r="A4" s="182" t="s">
        <v>1692</v>
      </c>
      <c r="B4" s="184">
        <v>2E-3</v>
      </c>
      <c r="C4" s="184">
        <v>5.0000000000000001E-3</v>
      </c>
      <c r="D4" s="184">
        <v>0</v>
      </c>
      <c r="E4" s="184">
        <v>8.9999999999999993E-3</v>
      </c>
      <c r="F4" s="184">
        <v>6.0000000000000001E-3</v>
      </c>
      <c r="H4" s="184">
        <v>4.0000000000000001E-3</v>
      </c>
      <c r="M4" s="184">
        <v>4.0000000000000001E-3</v>
      </c>
      <c r="N4" s="184">
        <v>0.01</v>
      </c>
      <c r="O4" s="184">
        <v>3.7999999999999999E-2</v>
      </c>
      <c r="P4" s="165">
        <v>18</v>
      </c>
      <c r="Q4" s="173">
        <f t="shared" si="0"/>
        <v>5.1724137931034482E-2</v>
      </c>
    </row>
    <row r="5" spans="1:18" x14ac:dyDescent="0.25">
      <c r="A5" s="183" t="s">
        <v>1693</v>
      </c>
      <c r="B5" s="184">
        <v>1E-3</v>
      </c>
      <c r="C5" s="184">
        <v>2E-3</v>
      </c>
      <c r="D5" s="184">
        <v>0</v>
      </c>
      <c r="E5" s="184">
        <v>2E-3</v>
      </c>
      <c r="F5" s="184">
        <v>0</v>
      </c>
      <c r="H5" s="184">
        <v>0</v>
      </c>
      <c r="M5" s="184">
        <v>3.0000000000000001E-3</v>
      </c>
      <c r="N5" s="184">
        <v>0</v>
      </c>
      <c r="O5" s="184">
        <v>8.0000000000000002E-3</v>
      </c>
      <c r="P5" s="165">
        <v>3</v>
      </c>
      <c r="Q5" s="173">
        <f t="shared" si="0"/>
        <v>8.6206896551724137E-3</v>
      </c>
    </row>
    <row r="6" spans="1:18" x14ac:dyDescent="0.25">
      <c r="A6" s="182" t="s">
        <v>1694</v>
      </c>
      <c r="B6" s="184">
        <v>8.9999999999999993E-3</v>
      </c>
      <c r="C6" s="184">
        <v>1.7000000000000001E-2</v>
      </c>
      <c r="D6" s="184">
        <v>0</v>
      </c>
      <c r="E6" s="184">
        <v>4.2000000000000003E-2</v>
      </c>
      <c r="F6" s="184">
        <v>7.0000000000000001E-3</v>
      </c>
      <c r="H6" s="184">
        <v>1.4E-2</v>
      </c>
      <c r="M6" s="184">
        <v>2.5000000000000001E-2</v>
      </c>
      <c r="N6" s="184">
        <v>1.7000000000000001E-2</v>
      </c>
      <c r="O6" s="184">
        <v>0.13200000000000001</v>
      </c>
      <c r="P6" s="165">
        <v>47</v>
      </c>
      <c r="Q6" s="173">
        <f t="shared" si="0"/>
        <v>0.13505747126436782</v>
      </c>
    </row>
    <row r="7" spans="1:18" x14ac:dyDescent="0.25">
      <c r="A7" s="183" t="s">
        <v>1690</v>
      </c>
      <c r="B7" s="184">
        <v>9.2999999999999999E-2</v>
      </c>
      <c r="C7" s="184">
        <v>0.13500000000000001</v>
      </c>
      <c r="D7" s="184">
        <v>0.10100000000000001</v>
      </c>
      <c r="E7" s="184">
        <v>8.2000000000000003E-2</v>
      </c>
      <c r="F7" s="184">
        <v>2.3E-2</v>
      </c>
      <c r="H7" s="184">
        <v>8.9999999999999993E-3</v>
      </c>
      <c r="M7" s="184">
        <v>2E-3</v>
      </c>
      <c r="N7" s="184">
        <v>1E-3</v>
      </c>
      <c r="O7" s="184">
        <v>0.44800000000000001</v>
      </c>
      <c r="P7" s="165">
        <v>146</v>
      </c>
      <c r="Q7" s="173">
        <f t="shared" si="0"/>
        <v>0.41954022988505746</v>
      </c>
    </row>
    <row r="8" spans="1:18" x14ac:dyDescent="0.25">
      <c r="A8" s="182" t="s">
        <v>1695</v>
      </c>
      <c r="P8" s="165">
        <v>59</v>
      </c>
      <c r="Q8" s="173">
        <f t="shared" si="0"/>
        <v>0.16954022988505746</v>
      </c>
    </row>
    <row r="9" spans="1:18" x14ac:dyDescent="0.25">
      <c r="A9" s="183" t="s">
        <v>1696</v>
      </c>
      <c r="B9" s="184">
        <v>8.0000000000000002E-3</v>
      </c>
      <c r="C9" s="184">
        <v>1E-3</v>
      </c>
      <c r="D9" s="184">
        <v>0</v>
      </c>
      <c r="E9" s="184">
        <v>2.5999999999999999E-2</v>
      </c>
      <c r="F9" s="184">
        <v>0</v>
      </c>
      <c r="H9" s="184">
        <v>3.0000000000000001E-3</v>
      </c>
      <c r="M9" s="184">
        <v>1.6E-2</v>
      </c>
      <c r="N9" s="184">
        <v>1.4E-2</v>
      </c>
      <c r="O9" s="184">
        <v>6.7000000000000004E-2</v>
      </c>
      <c r="P9" s="165">
        <v>27</v>
      </c>
      <c r="Q9" s="173">
        <f t="shared" si="0"/>
        <v>7.7586206896551727E-2</v>
      </c>
    </row>
    <row r="10" spans="1:18" x14ac:dyDescent="0.25">
      <c r="B10" s="165">
        <v>0.52</v>
      </c>
      <c r="C10" s="184">
        <v>0.64</v>
      </c>
      <c r="D10" s="184">
        <v>0.33</v>
      </c>
      <c r="E10" s="184">
        <v>0.68</v>
      </c>
      <c r="F10" s="184">
        <v>0.25</v>
      </c>
      <c r="G10" s="165"/>
      <c r="H10" s="184">
        <v>0.38</v>
      </c>
      <c r="I10" s="165"/>
      <c r="J10" s="165"/>
      <c r="K10" s="165"/>
      <c r="L10" s="165"/>
      <c r="M10" s="184">
        <v>0.27</v>
      </c>
      <c r="N10" s="184">
        <v>0.16</v>
      </c>
      <c r="O10" s="165"/>
      <c r="Q10" s="165"/>
      <c r="R10" s="165"/>
    </row>
    <row r="11" spans="1:18" x14ac:dyDescent="0.25">
      <c r="B11">
        <f>B10*100</f>
        <v>52</v>
      </c>
      <c r="C11">
        <f t="shared" ref="C11:H11" si="1">C10*100</f>
        <v>64</v>
      </c>
      <c r="D11">
        <f t="shared" si="1"/>
        <v>33</v>
      </c>
      <c r="E11">
        <f t="shared" si="1"/>
        <v>68</v>
      </c>
      <c r="F11">
        <f t="shared" si="1"/>
        <v>25</v>
      </c>
      <c r="G11">
        <f t="shared" si="1"/>
        <v>0</v>
      </c>
      <c r="H11">
        <f t="shared" si="1"/>
        <v>38</v>
      </c>
      <c r="M11">
        <f t="shared" ref="M11" si="2">M10*100</f>
        <v>27</v>
      </c>
      <c r="N11">
        <f t="shared" ref="N11" si="3">N10*100</f>
        <v>16</v>
      </c>
      <c r="O11" s="165"/>
      <c r="Q11" s="165"/>
      <c r="R11" s="165"/>
    </row>
    <row r="12" spans="1:18" x14ac:dyDescent="0.25">
      <c r="B12" s="173">
        <f>B11/SUM($B$11:$N$11)</f>
        <v>0.1609907120743034</v>
      </c>
      <c r="C12" s="173">
        <f t="shared" ref="C12:H12" si="4">C11/SUM($B$11:$N$11)</f>
        <v>0.19814241486068113</v>
      </c>
      <c r="D12" s="173">
        <f t="shared" si="4"/>
        <v>0.1021671826625387</v>
      </c>
      <c r="E12" s="173">
        <f t="shared" si="4"/>
        <v>0.21052631578947367</v>
      </c>
      <c r="F12" s="173">
        <f t="shared" si="4"/>
        <v>7.7399380804953566E-2</v>
      </c>
      <c r="G12" s="173">
        <f t="shared" si="4"/>
        <v>0</v>
      </c>
      <c r="H12" s="173">
        <f t="shared" si="4"/>
        <v>0.11764705882352941</v>
      </c>
      <c r="I12" s="173"/>
      <c r="J12" s="173"/>
      <c r="K12" s="173"/>
      <c r="L12" s="173"/>
      <c r="M12" s="173">
        <f t="shared" ref="M12" si="5">M11/SUM($B$11:$N$11)</f>
        <v>8.3591331269349839E-2</v>
      </c>
      <c r="N12" s="173">
        <f t="shared" ref="N12" si="6">N11/SUM($B$11:$N$11)</f>
        <v>4.9535603715170282E-2</v>
      </c>
    </row>
    <row r="18" spans="1:17" x14ac:dyDescent="0.25">
      <c r="A18" t="s">
        <v>1711</v>
      </c>
    </row>
    <row r="20" spans="1:17" ht="15.75" thickBot="1" x14ac:dyDescent="0.3">
      <c r="B20" s="168" t="s">
        <v>333</v>
      </c>
      <c r="C20" s="169" t="s">
        <v>869</v>
      </c>
      <c r="D20" s="169" t="s">
        <v>866</v>
      </c>
      <c r="E20" s="169" t="s">
        <v>864</v>
      </c>
      <c r="F20" s="169" t="s">
        <v>1386</v>
      </c>
      <c r="G20" s="169" t="s">
        <v>1530</v>
      </c>
      <c r="H20" s="169" t="s">
        <v>1617</v>
      </c>
      <c r="I20" s="169"/>
      <c r="J20" s="169" t="s">
        <v>1418</v>
      </c>
      <c r="K20" s="169"/>
      <c r="L20" s="169"/>
      <c r="M20" s="170" t="s">
        <v>1529</v>
      </c>
      <c r="N20" s="185" t="s">
        <v>1700</v>
      </c>
      <c r="O20" s="185" t="s">
        <v>1701</v>
      </c>
    </row>
    <row r="21" spans="1:17" x14ac:dyDescent="0.25">
      <c r="A21" s="182" t="s">
        <v>1663</v>
      </c>
      <c r="B21" s="165">
        <f>B2*(407-59)</f>
        <v>11.484</v>
      </c>
      <c r="C21" s="165">
        <f t="shared" ref="C21:N21" si="7">C2*(407-59)</f>
        <v>3.8279999999999998</v>
      </c>
      <c r="D21" s="165">
        <f t="shared" si="7"/>
        <v>0</v>
      </c>
      <c r="E21" s="165">
        <f t="shared" si="7"/>
        <v>4.1760000000000002</v>
      </c>
      <c r="F21" s="165">
        <f>O21*E58</f>
        <v>9.1203787796974342E-2</v>
      </c>
      <c r="G21" s="165">
        <f>O21*F58</f>
        <v>7.5647962122030252</v>
      </c>
      <c r="H21" s="165">
        <f t="shared" si="7"/>
        <v>28.188000000000002</v>
      </c>
      <c r="I21" s="165"/>
      <c r="J21" s="165">
        <f>O21-F21-G21</f>
        <v>0</v>
      </c>
      <c r="K21" s="165"/>
      <c r="L21" s="165"/>
      <c r="M21" s="165">
        <f t="shared" si="7"/>
        <v>8.3520000000000003</v>
      </c>
      <c r="N21" s="165">
        <f t="shared" si="7"/>
        <v>1.74</v>
      </c>
      <c r="O21" s="165">
        <f>F2*(407-59)</f>
        <v>7.6559999999999997</v>
      </c>
      <c r="Q21" s="173"/>
    </row>
    <row r="22" spans="1:17" x14ac:dyDescent="0.25">
      <c r="A22" s="183" t="s">
        <v>1691</v>
      </c>
      <c r="B22" s="165">
        <f t="shared" ref="B22:N23" si="8">B3*(407-59)</f>
        <v>5.9160000000000004</v>
      </c>
      <c r="C22" s="165">
        <f t="shared" si="8"/>
        <v>10.092000000000001</v>
      </c>
      <c r="D22" s="165">
        <f t="shared" si="8"/>
        <v>0</v>
      </c>
      <c r="E22" s="165">
        <f t="shared" si="8"/>
        <v>13.224</v>
      </c>
      <c r="F22" s="165">
        <f>E62*$O22</f>
        <v>5.4681224049823571</v>
      </c>
      <c r="G22" s="165">
        <f>F62*$O22</f>
        <v>0.45676715538735752</v>
      </c>
      <c r="H22" s="165">
        <f t="shared" si="8"/>
        <v>2.0880000000000001</v>
      </c>
      <c r="I22" s="165"/>
      <c r="J22" s="165">
        <f t="shared" ref="J22:J27" si="9">O22-F22-G22</f>
        <v>0.3391104396302847</v>
      </c>
      <c r="K22" s="165"/>
      <c r="L22" s="165"/>
      <c r="M22" s="165">
        <f t="shared" si="8"/>
        <v>3.48</v>
      </c>
      <c r="N22" s="165">
        <f t="shared" si="8"/>
        <v>0.69600000000000006</v>
      </c>
      <c r="O22" s="165">
        <f t="shared" ref="O22:O23" si="10">F3*(407-59)</f>
        <v>6.2639999999999993</v>
      </c>
      <c r="Q22" s="173"/>
    </row>
    <row r="23" spans="1:17" x14ac:dyDescent="0.25">
      <c r="A23" s="182" t="s">
        <v>1692</v>
      </c>
      <c r="B23" s="165">
        <f t="shared" si="8"/>
        <v>0.69600000000000006</v>
      </c>
      <c r="C23" s="165">
        <f t="shared" si="8"/>
        <v>1.74</v>
      </c>
      <c r="D23" s="165">
        <f t="shared" si="8"/>
        <v>0</v>
      </c>
      <c r="E23" s="165">
        <f t="shared" si="8"/>
        <v>3.1319999999999997</v>
      </c>
      <c r="F23" s="165">
        <f>E60*$O23</f>
        <v>0.77407045295776866</v>
      </c>
      <c r="G23" s="165">
        <f>F60*$O23</f>
        <v>1.0711002050029731E-2</v>
      </c>
      <c r="H23" s="165">
        <f t="shared" si="8"/>
        <v>1.3920000000000001</v>
      </c>
      <c r="I23" s="165"/>
      <c r="J23" s="165">
        <f t="shared" si="9"/>
        <v>1.3032185449922016</v>
      </c>
      <c r="K23" s="165"/>
      <c r="L23" s="165"/>
      <c r="M23" s="165">
        <f t="shared" si="8"/>
        <v>1.3920000000000001</v>
      </c>
      <c r="N23" s="165">
        <f t="shared" si="8"/>
        <v>3.48</v>
      </c>
      <c r="O23" s="165">
        <f t="shared" si="10"/>
        <v>2.0880000000000001</v>
      </c>
      <c r="Q23" s="173"/>
    </row>
    <row r="24" spans="1:17" x14ac:dyDescent="0.25">
      <c r="A24" s="182" t="s">
        <v>1694</v>
      </c>
      <c r="B24" s="165">
        <f>(B6+B5)*(407-59)</f>
        <v>3.4799999999999995</v>
      </c>
      <c r="C24" s="165">
        <f>(C6+C5)*(407-59)</f>
        <v>6.612000000000001</v>
      </c>
      <c r="D24" s="165">
        <f>(D6+D5)*(407-59)</f>
        <v>0</v>
      </c>
      <c r="E24" s="165">
        <f>(E6+E5)*(407-59)</f>
        <v>15.312000000000001</v>
      </c>
      <c r="F24" s="165">
        <f>E62*O24</f>
        <v>2.1264920463820278</v>
      </c>
      <c r="G24" s="165">
        <f>F62*O24</f>
        <v>0.17763167153952794</v>
      </c>
      <c r="H24" s="165">
        <f>(H6+H5)*(407-59)</f>
        <v>4.8719999999999999</v>
      </c>
      <c r="I24" s="165"/>
      <c r="J24" s="165">
        <f t="shared" si="9"/>
        <v>0.13187628207844418</v>
      </c>
      <c r="K24" s="165"/>
      <c r="L24" s="165"/>
      <c r="M24" s="165">
        <f>(M6+M5)*(407-59)</f>
        <v>9.7439999999999998</v>
      </c>
      <c r="N24" s="165">
        <f>(N6+N5)*(407-59)</f>
        <v>5.9160000000000004</v>
      </c>
      <c r="O24" s="165">
        <f>(F6+F5)*(407-59)</f>
        <v>2.4359999999999999</v>
      </c>
      <c r="Q24" s="173"/>
    </row>
    <row r="25" spans="1:17" x14ac:dyDescent="0.25">
      <c r="A25" s="183" t="s">
        <v>1690</v>
      </c>
      <c r="B25" s="165">
        <f>B7*(407-59)</f>
        <v>32.363999999999997</v>
      </c>
      <c r="C25" s="165">
        <f>C7*(407-59)</f>
        <v>46.980000000000004</v>
      </c>
      <c r="D25" s="165">
        <f>D7*(407-59)</f>
        <v>35.148000000000003</v>
      </c>
      <c r="E25" s="165">
        <f>E7*(407-59)</f>
        <v>28.536000000000001</v>
      </c>
      <c r="F25" s="165">
        <f>E57*$O25</f>
        <v>6.4345374972648672</v>
      </c>
      <c r="G25" s="165">
        <f>F57*$O25</f>
        <v>1.5694625027351317</v>
      </c>
      <c r="H25" s="165">
        <f>H7*(407-59)</f>
        <v>3.1319999999999997</v>
      </c>
      <c r="I25" s="165"/>
      <c r="J25" s="165">
        <f t="shared" si="9"/>
        <v>0</v>
      </c>
      <c r="K25" s="165"/>
      <c r="L25" s="165"/>
      <c r="M25" s="165">
        <f>M7*(407-59)</f>
        <v>0.69600000000000006</v>
      </c>
      <c r="N25" s="165">
        <f>N7*(407-59)</f>
        <v>0.34800000000000003</v>
      </c>
      <c r="O25" s="165">
        <f>F7*(407-59)</f>
        <v>8.0039999999999996</v>
      </c>
      <c r="Q25" s="173"/>
    </row>
    <row r="26" spans="1:17" x14ac:dyDescent="0.25">
      <c r="A26" s="182" t="s">
        <v>1695</v>
      </c>
      <c r="B26" s="165">
        <f>59*(B52/SUM($B$52:$K$52))</f>
        <v>1.0669128209068235</v>
      </c>
      <c r="C26" s="165">
        <f>59*(C52/SUM($B$52:$K$52))</f>
        <v>0</v>
      </c>
      <c r="D26" s="165">
        <f>59*(D52/SUM($B$52:$K$52))</f>
        <v>31.158009663807906</v>
      </c>
      <c r="E26" s="165">
        <f>59*(E52/SUM($B$52:$K$52))</f>
        <v>15.331814826575366</v>
      </c>
      <c r="F26" s="165">
        <f>59*(F52/SUM($B$52:$K$52))</f>
        <v>0</v>
      </c>
      <c r="G26" s="165">
        <f>59*(G52/SUM($B$52:$K$52))</f>
        <v>0</v>
      </c>
      <c r="H26" s="165">
        <f>59*(H52/SUM($B$52:$K$52))</f>
        <v>0</v>
      </c>
      <c r="I26" s="165"/>
      <c r="J26" s="165">
        <f>59*(J52/SUM($B$52:$K$52))</f>
        <v>0</v>
      </c>
      <c r="K26" s="165"/>
      <c r="L26" s="165"/>
      <c r="M26" s="165">
        <f>59*(M52/SUM($B$52:$K$52))</f>
        <v>0</v>
      </c>
      <c r="N26" s="165">
        <f>59*(K52/SUM($B$52:$K$52))</f>
        <v>11.4432626887099</v>
      </c>
      <c r="O26" s="165">
        <f>F8*(407-59)</f>
        <v>0</v>
      </c>
      <c r="Q26" s="173"/>
    </row>
    <row r="27" spans="1:17" x14ac:dyDescent="0.25">
      <c r="A27" s="183" t="s">
        <v>1696</v>
      </c>
      <c r="B27" s="165">
        <f>B9*(407-59)</f>
        <v>2.7840000000000003</v>
      </c>
      <c r="C27" s="165">
        <f>C9*(407-59)</f>
        <v>0.34800000000000003</v>
      </c>
      <c r="D27" s="165">
        <f>D9*(407-59)</f>
        <v>0</v>
      </c>
      <c r="E27" s="165">
        <f>E9*(407-59)</f>
        <v>9.048</v>
      </c>
      <c r="F27" s="165">
        <f>E59*O27</f>
        <v>0</v>
      </c>
      <c r="G27" s="165">
        <f>F59*P27</f>
        <v>0</v>
      </c>
      <c r="H27" s="165">
        <f>H9*(407-59)</f>
        <v>1.044</v>
      </c>
      <c r="I27" s="165"/>
      <c r="J27" s="165">
        <f t="shared" si="9"/>
        <v>0</v>
      </c>
      <c r="K27" s="165"/>
      <c r="L27" s="165"/>
      <c r="M27" s="165">
        <f>M9*(407-59)</f>
        <v>5.5680000000000005</v>
      </c>
      <c r="N27" s="165">
        <f>N9*(407-59)</f>
        <v>4.8719999999999999</v>
      </c>
      <c r="O27" s="165">
        <f>F9*(407-59)</f>
        <v>0</v>
      </c>
      <c r="Q27" s="173"/>
    </row>
    <row r="29" spans="1:17" ht="15.75" thickBot="1" x14ac:dyDescent="0.3"/>
    <row r="30" spans="1:17" x14ac:dyDescent="0.25">
      <c r="A30" s="188"/>
      <c r="B30" s="189" t="s">
        <v>333</v>
      </c>
      <c r="C30" s="189" t="s">
        <v>869</v>
      </c>
      <c r="D30" s="189" t="s">
        <v>866</v>
      </c>
      <c r="E30" s="189" t="s">
        <v>864</v>
      </c>
      <c r="F30" s="189" t="s">
        <v>1386</v>
      </c>
      <c r="G30" s="189" t="s">
        <v>1530</v>
      </c>
      <c r="H30" s="189" t="s">
        <v>1617</v>
      </c>
      <c r="I30" s="189" t="s">
        <v>1418</v>
      </c>
      <c r="J30" s="189" t="s">
        <v>1529</v>
      </c>
      <c r="K30" s="190" t="s">
        <v>1700</v>
      </c>
    </row>
    <row r="31" spans="1:17" x14ac:dyDescent="0.25">
      <c r="A31" s="191" t="s">
        <v>1663</v>
      </c>
      <c r="B31" s="187">
        <f>B21/SUM($B$21:$N$27)</f>
        <v>2.8192110922356309E-2</v>
      </c>
      <c r="C31" s="187">
        <f t="shared" ref="C31:N31" si="11">C21/SUM($B$21:$N$27)</f>
        <v>9.3973703074521023E-3</v>
      </c>
      <c r="D31" s="187">
        <f t="shared" si="11"/>
        <v>0</v>
      </c>
      <c r="E31" s="187">
        <f t="shared" si="11"/>
        <v>1.0251676699038658E-2</v>
      </c>
      <c r="F31" s="187">
        <f t="shared" si="11"/>
        <v>2.2389649095361786E-4</v>
      </c>
      <c r="G31" s="187">
        <f t="shared" si="11"/>
        <v>1.8570844123950589E-2</v>
      </c>
      <c r="H31" s="187">
        <f t="shared" si="11"/>
        <v>6.9198817718510941E-2</v>
      </c>
      <c r="I31" s="187">
        <f>J21/SUM($B$21:$N$27)</f>
        <v>0</v>
      </c>
      <c r="J31" s="187">
        <f>M21/SUM($B$21:$N$27)</f>
        <v>2.0503353398077316E-2</v>
      </c>
      <c r="K31" s="192">
        <f>N21/SUM($B$21:$N$27)</f>
        <v>4.2715319579327742E-3</v>
      </c>
      <c r="M31" s="173"/>
      <c r="N31" s="173"/>
    </row>
    <row r="32" spans="1:17" x14ac:dyDescent="0.25">
      <c r="A32" s="193" t="s">
        <v>1691</v>
      </c>
      <c r="B32" s="187">
        <f t="shared" ref="B32:N37" si="12">B22/SUM($B$21:$N$27)</f>
        <v>1.4523208656971433E-2</v>
      </c>
      <c r="C32" s="187">
        <f t="shared" si="12"/>
        <v>2.4774885356010093E-2</v>
      </c>
      <c r="D32" s="187">
        <f t="shared" si="12"/>
        <v>0</v>
      </c>
      <c r="E32" s="187">
        <f t="shared" si="12"/>
        <v>3.2463642880289086E-2</v>
      </c>
      <c r="F32" s="187">
        <f t="shared" si="12"/>
        <v>1.3423712415385263E-2</v>
      </c>
      <c r="G32" s="187">
        <f t="shared" si="12"/>
        <v>1.1213192537765189E-3</v>
      </c>
      <c r="H32" s="187">
        <f t="shared" si="12"/>
        <v>5.125838349519329E-3</v>
      </c>
      <c r="I32" s="187">
        <f t="shared" ref="I32:I37" si="13">J22/SUM($B$21:$N$27)</f>
        <v>8.3248337939620333E-4</v>
      </c>
      <c r="J32" s="187">
        <f t="shared" ref="J32:J37" si="14">M22/SUM($B$21:$N$27)</f>
        <v>8.5430639158655484E-3</v>
      </c>
      <c r="K32" s="192">
        <f t="shared" ref="K32:K37" si="15">N22/SUM($B$21:$N$27)</f>
        <v>1.7086127831731099E-3</v>
      </c>
      <c r="L32" s="173"/>
      <c r="M32" s="173"/>
      <c r="N32" s="173"/>
    </row>
    <row r="33" spans="1:15" x14ac:dyDescent="0.25">
      <c r="A33" s="191" t="s">
        <v>1692</v>
      </c>
      <c r="B33" s="187">
        <f t="shared" si="12"/>
        <v>1.7086127831731099E-3</v>
      </c>
      <c r="C33" s="187">
        <f t="shared" si="12"/>
        <v>4.2715319579327742E-3</v>
      </c>
      <c r="D33" s="187">
        <f t="shared" si="12"/>
        <v>0</v>
      </c>
      <c r="E33" s="187">
        <f t="shared" si="12"/>
        <v>7.6887575242789927E-3</v>
      </c>
      <c r="F33" s="187">
        <f t="shared" si="12"/>
        <v>1.9002682054601188E-3</v>
      </c>
      <c r="G33" s="187">
        <f t="shared" si="12"/>
        <v>2.6294475608152562E-5</v>
      </c>
      <c r="H33" s="187">
        <f t="shared" si="12"/>
        <v>3.4172255663462198E-3</v>
      </c>
      <c r="I33" s="187">
        <f t="shared" si="13"/>
        <v>3.1992756684510576E-3</v>
      </c>
      <c r="J33" s="187">
        <f t="shared" si="14"/>
        <v>3.4172255663462198E-3</v>
      </c>
      <c r="K33" s="192">
        <f t="shared" si="15"/>
        <v>8.5430639158655484E-3</v>
      </c>
      <c r="L33" s="173"/>
      <c r="M33" s="173"/>
      <c r="N33" s="173"/>
    </row>
    <row r="34" spans="1:15" x14ac:dyDescent="0.25">
      <c r="A34" s="191" t="s">
        <v>1694</v>
      </c>
      <c r="B34" s="187">
        <f t="shared" si="12"/>
        <v>8.5430639158655466E-3</v>
      </c>
      <c r="C34" s="187">
        <f t="shared" si="12"/>
        <v>1.6231821440144543E-2</v>
      </c>
      <c r="D34" s="187">
        <f t="shared" si="12"/>
        <v>0</v>
      </c>
      <c r="E34" s="187">
        <f t="shared" si="12"/>
        <v>3.7589481229808416E-2</v>
      </c>
      <c r="F34" s="187">
        <f t="shared" si="12"/>
        <v>5.220332605983158E-3</v>
      </c>
      <c r="G34" s="187">
        <f t="shared" si="12"/>
        <v>4.3606859869086854E-4</v>
      </c>
      <c r="H34" s="187">
        <f t="shared" si="12"/>
        <v>1.1960289482211768E-2</v>
      </c>
      <c r="I34" s="187">
        <f t="shared" si="13"/>
        <v>3.2374353643185719E-4</v>
      </c>
      <c r="J34" s="187">
        <f t="shared" si="14"/>
        <v>2.3920578964423535E-2</v>
      </c>
      <c r="K34" s="192">
        <f t="shared" si="15"/>
        <v>1.4523208656971433E-2</v>
      </c>
      <c r="L34" s="173"/>
      <c r="M34" s="173"/>
      <c r="N34" s="173"/>
    </row>
    <row r="35" spans="1:15" x14ac:dyDescent="0.25">
      <c r="A35" s="193" t="s">
        <v>1690</v>
      </c>
      <c r="B35" s="187">
        <f t="shared" si="12"/>
        <v>7.9450494417549589E-2</v>
      </c>
      <c r="C35" s="187">
        <f t="shared" si="12"/>
        <v>0.11533136286418491</v>
      </c>
      <c r="D35" s="187">
        <f t="shared" si="12"/>
        <v>8.6284945550242048E-2</v>
      </c>
      <c r="E35" s="187">
        <f t="shared" si="12"/>
        <v>7.0053124110097495E-2</v>
      </c>
      <c r="F35" s="187">
        <f t="shared" si="12"/>
        <v>1.5796168134530834E-2</v>
      </c>
      <c r="G35" s="187">
        <f t="shared" si="12"/>
        <v>3.8528788719599245E-3</v>
      </c>
      <c r="H35" s="187">
        <f t="shared" si="12"/>
        <v>7.6887575242789927E-3</v>
      </c>
      <c r="I35" s="187">
        <f t="shared" si="13"/>
        <v>0</v>
      </c>
      <c r="J35" s="187">
        <f t="shared" si="14"/>
        <v>1.7086127831731099E-3</v>
      </c>
      <c r="K35" s="192">
        <f t="shared" si="15"/>
        <v>8.5430639158655495E-4</v>
      </c>
      <c r="L35" s="173"/>
      <c r="M35" s="173"/>
      <c r="N35" s="173"/>
    </row>
    <row r="36" spans="1:15" x14ac:dyDescent="0.25">
      <c r="A36" s="191" t="s">
        <v>1695</v>
      </c>
      <c r="B36" s="187">
        <f t="shared" si="12"/>
        <v>2.6191679372595993E-3</v>
      </c>
      <c r="C36" s="187">
        <f t="shared" si="12"/>
        <v>0</v>
      </c>
      <c r="D36" s="187">
        <f t="shared" si="12"/>
        <v>7.6489904611800968E-2</v>
      </c>
      <c r="E36" s="187">
        <f t="shared" si="12"/>
        <v>3.7638124715416214E-2</v>
      </c>
      <c r="F36" s="187">
        <f t="shared" si="12"/>
        <v>0</v>
      </c>
      <c r="G36" s="187">
        <f t="shared" si="12"/>
        <v>0</v>
      </c>
      <c r="H36" s="187">
        <f t="shared" si="12"/>
        <v>0</v>
      </c>
      <c r="I36" s="187">
        <f t="shared" si="13"/>
        <v>0</v>
      </c>
      <c r="J36" s="187">
        <f t="shared" si="14"/>
        <v>0</v>
      </c>
      <c r="K36" s="192">
        <f t="shared" si="15"/>
        <v>2.8092104757381647E-2</v>
      </c>
      <c r="L36" s="173"/>
      <c r="M36" s="173"/>
      <c r="N36" s="173"/>
    </row>
    <row r="37" spans="1:15" ht="15.75" thickBot="1" x14ac:dyDescent="0.3">
      <c r="A37" s="194" t="s">
        <v>1696</v>
      </c>
      <c r="B37" s="195">
        <f t="shared" si="12"/>
        <v>6.8344511326924396E-3</v>
      </c>
      <c r="C37" s="195">
        <f t="shared" si="12"/>
        <v>8.5430639158655495E-4</v>
      </c>
      <c r="D37" s="195">
        <f t="shared" si="12"/>
        <v>0</v>
      </c>
      <c r="E37" s="195">
        <f t="shared" si="12"/>
        <v>2.2211966181250428E-2</v>
      </c>
      <c r="F37" s="195">
        <f t="shared" si="12"/>
        <v>0</v>
      </c>
      <c r="G37" s="195">
        <f t="shared" si="12"/>
        <v>0</v>
      </c>
      <c r="H37" s="195">
        <f t="shared" si="12"/>
        <v>2.5629191747596645E-3</v>
      </c>
      <c r="I37" s="195">
        <f t="shared" si="13"/>
        <v>0</v>
      </c>
      <c r="J37" s="195">
        <f t="shared" si="14"/>
        <v>1.3668902265384879E-2</v>
      </c>
      <c r="K37" s="196">
        <f t="shared" si="15"/>
        <v>1.1960289482211768E-2</v>
      </c>
      <c r="L37" s="173"/>
      <c r="M37" s="173"/>
      <c r="N37" s="173"/>
      <c r="O37" s="184"/>
    </row>
    <row r="39" spans="1:15" x14ac:dyDescent="0.25">
      <c r="B39" s="184"/>
      <c r="C39" s="184"/>
      <c r="D39" s="184"/>
      <c r="E39" s="184"/>
      <c r="F39" s="184"/>
      <c r="H39" s="184"/>
      <c r="M39" s="184"/>
      <c r="N39" s="184"/>
      <c r="O39" s="184"/>
    </row>
    <row r="43" spans="1:15" x14ac:dyDescent="0.25">
      <c r="B43" s="184"/>
      <c r="C43" s="184"/>
      <c r="D43" s="184"/>
      <c r="E43" s="184"/>
      <c r="F43" s="184"/>
      <c r="H43" s="184"/>
      <c r="M43" s="184"/>
      <c r="N43" s="184"/>
      <c r="O43" s="184"/>
    </row>
    <row r="44" spans="1:15" x14ac:dyDescent="0.25">
      <c r="N44" s="184"/>
    </row>
    <row r="45" spans="1:15" x14ac:dyDescent="0.25">
      <c r="B45" t="s">
        <v>333</v>
      </c>
      <c r="C45" t="s">
        <v>869</v>
      </c>
      <c r="D45" t="s">
        <v>866</v>
      </c>
      <c r="E45" t="s">
        <v>864</v>
      </c>
      <c r="F45" t="s">
        <v>1383</v>
      </c>
      <c r="G45" t="s">
        <v>1530</v>
      </c>
      <c r="H45" t="s">
        <v>1617</v>
      </c>
      <c r="I45" t="s">
        <v>1532</v>
      </c>
      <c r="J45" t="s">
        <v>1418</v>
      </c>
      <c r="K45" t="s">
        <v>1618</v>
      </c>
      <c r="L45" t="s">
        <v>1619</v>
      </c>
      <c r="M45" t="s">
        <v>1529</v>
      </c>
      <c r="N45" s="184"/>
    </row>
    <row r="46" spans="1:15" x14ac:dyDescent="0.25">
      <c r="A46" t="s">
        <v>1699</v>
      </c>
      <c r="B46">
        <v>75133.092168530522</v>
      </c>
      <c r="C46">
        <v>63764.211174578479</v>
      </c>
      <c r="D46">
        <v>86605.350041951446</v>
      </c>
      <c r="E46">
        <v>92656.217374500746</v>
      </c>
      <c r="F46">
        <v>22788.883906462419</v>
      </c>
      <c r="G46">
        <v>5558.4878921880663</v>
      </c>
      <c r="H46">
        <v>6817.6221979173606</v>
      </c>
      <c r="N46" s="184"/>
    </row>
    <row r="47" spans="1:15" x14ac:dyDescent="0.25">
      <c r="A47" t="s">
        <v>1705</v>
      </c>
      <c r="B47">
        <v>38281.142022100983</v>
      </c>
      <c r="C47">
        <v>6283.0556867651194</v>
      </c>
      <c r="D47">
        <v>0</v>
      </c>
      <c r="E47">
        <v>17184.972155674172</v>
      </c>
      <c r="F47">
        <v>520.48746776241489</v>
      </c>
      <c r="G47">
        <v>43171.251104100324</v>
      </c>
      <c r="H47">
        <v>79082.31408756983</v>
      </c>
      <c r="M47">
        <v>40805.523104593856</v>
      </c>
      <c r="N47" s="184"/>
    </row>
    <row r="48" spans="1:15" x14ac:dyDescent="0.25">
      <c r="A48" t="s">
        <v>1706</v>
      </c>
      <c r="B48">
        <v>5774.8071838401684</v>
      </c>
      <c r="C48">
        <v>2255.7840561875655</v>
      </c>
      <c r="D48">
        <v>0.91684055425597566</v>
      </c>
      <c r="E48">
        <v>23544.96025284403</v>
      </c>
      <c r="F48">
        <v>1018.7117269510841</v>
      </c>
      <c r="G48">
        <v>0</v>
      </c>
      <c r="H48">
        <v>7369.6184395854143</v>
      </c>
      <c r="I48">
        <v>4074.8469078043363</v>
      </c>
      <c r="J48">
        <v>353.00119061806896</v>
      </c>
      <c r="K48">
        <v>5774.8071838401684</v>
      </c>
      <c r="L48">
        <v>1018.7117269510859</v>
      </c>
      <c r="M48">
        <v>12505.253722672927</v>
      </c>
      <c r="N48" s="184"/>
    </row>
    <row r="49" spans="1:14" x14ac:dyDescent="0.25">
      <c r="A49" t="s">
        <v>1707</v>
      </c>
      <c r="B49">
        <v>314.07745407044922</v>
      </c>
      <c r="C49">
        <v>333.07269601673812</v>
      </c>
      <c r="D49">
        <v>1.2211226965471447</v>
      </c>
      <c r="E49">
        <v>11586.052454616238</v>
      </c>
      <c r="F49">
        <v>6678.5155374788728</v>
      </c>
      <c r="G49">
        <v>92.412251804415931</v>
      </c>
      <c r="H49">
        <v>2676.6539902264617</v>
      </c>
      <c r="I49">
        <v>15419.384042404694</v>
      </c>
      <c r="J49">
        <v>11243.892940499401</v>
      </c>
      <c r="K49">
        <v>1286.931589768915</v>
      </c>
      <c r="L49">
        <v>1556.0328013058895</v>
      </c>
      <c r="M49">
        <v>2166.1468322605906</v>
      </c>
      <c r="N49" s="184"/>
    </row>
    <row r="50" spans="1:14" x14ac:dyDescent="0.25">
      <c r="A50" t="s">
        <v>1708</v>
      </c>
      <c r="B50">
        <v>100.09141755955625</v>
      </c>
      <c r="C50">
        <v>9015.5031948539927</v>
      </c>
      <c r="D50">
        <v>0</v>
      </c>
      <c r="E50">
        <v>93.896783745465228</v>
      </c>
      <c r="F50">
        <v>22.116595914554214</v>
      </c>
      <c r="G50">
        <v>0</v>
      </c>
      <c r="H50">
        <v>215.11928065370421</v>
      </c>
      <c r="N50" s="184"/>
    </row>
    <row r="51" spans="1:14" x14ac:dyDescent="0.25">
      <c r="A51" t="s">
        <v>1709</v>
      </c>
      <c r="B51">
        <v>20239.224440145263</v>
      </c>
      <c r="C51">
        <v>20288.274769457857</v>
      </c>
      <c r="D51">
        <v>2428.7612066355264</v>
      </c>
      <c r="E51">
        <v>46604.393803108411</v>
      </c>
      <c r="F51">
        <v>19910.296699012702</v>
      </c>
      <c r="G51">
        <v>1663.1613033826495</v>
      </c>
      <c r="H51">
        <v>25672.76003277133</v>
      </c>
      <c r="I51">
        <v>13313.182239912428</v>
      </c>
      <c r="J51">
        <v>1234.7546317945648</v>
      </c>
      <c r="K51">
        <v>4868.0949590103464</v>
      </c>
      <c r="L51">
        <v>15117.75703548186</v>
      </c>
      <c r="M51">
        <v>54536.307814950669</v>
      </c>
      <c r="N51" s="184"/>
    </row>
    <row r="52" spans="1:14" x14ac:dyDescent="0.25">
      <c r="A52" t="s">
        <v>1710</v>
      </c>
      <c r="B52">
        <v>1592.2399552537588</v>
      </c>
      <c r="D52">
        <v>46499.607972402795</v>
      </c>
      <c r="E52">
        <v>22880.902427132081</v>
      </c>
      <c r="K52">
        <v>17077.702802317061</v>
      </c>
      <c r="N52" s="184"/>
    </row>
    <row r="53" spans="1:14" x14ac:dyDescent="0.25">
      <c r="A53" t="s">
        <v>1703</v>
      </c>
      <c r="B53">
        <v>139842.43468624694</v>
      </c>
      <c r="C53">
        <v>101939.90157785975</v>
      </c>
      <c r="D53">
        <v>89036.24921183777</v>
      </c>
      <c r="E53">
        <v>191670.49282448908</v>
      </c>
      <c r="F53">
        <v>50939.011933582049</v>
      </c>
      <c r="G53">
        <v>50485.312551475457</v>
      </c>
      <c r="H53">
        <v>121834.0880287241</v>
      </c>
      <c r="I53">
        <v>32807.413190121457</v>
      </c>
      <c r="J53">
        <v>12831.648762912037</v>
      </c>
      <c r="K53">
        <v>11929.833732619431</v>
      </c>
      <c r="L53">
        <v>17692.501563738835</v>
      </c>
      <c r="M53">
        <v>110013.23147447803</v>
      </c>
      <c r="N53" s="184"/>
    </row>
    <row r="54" spans="1:14" x14ac:dyDescent="0.25">
      <c r="A54" t="s">
        <v>1704</v>
      </c>
      <c r="B54">
        <v>141434.67464150069</v>
      </c>
      <c r="C54">
        <v>101939.90157785975</v>
      </c>
      <c r="D54">
        <v>135535.85718424057</v>
      </c>
      <c r="E54">
        <v>214551.39525162114</v>
      </c>
      <c r="F54">
        <v>50939.011933582049</v>
      </c>
      <c r="G54">
        <v>50485.312551475457</v>
      </c>
      <c r="H54">
        <v>121834.0880287241</v>
      </c>
      <c r="I54">
        <v>32807.413190121457</v>
      </c>
      <c r="J54">
        <v>12831.648762912037</v>
      </c>
      <c r="K54">
        <v>29007.536534936491</v>
      </c>
      <c r="L54">
        <v>17692.501563738835</v>
      </c>
      <c r="M54">
        <v>110013.23147447803</v>
      </c>
      <c r="N54" s="184"/>
    </row>
    <row r="55" spans="1:14" x14ac:dyDescent="0.25">
      <c r="N55" s="184"/>
    </row>
    <row r="56" spans="1:14" x14ac:dyDescent="0.25">
      <c r="B56" t="s">
        <v>1383</v>
      </c>
      <c r="C56" t="s">
        <v>1530</v>
      </c>
      <c r="D56" t="s">
        <v>1418</v>
      </c>
      <c r="E56" t="s">
        <v>1386</v>
      </c>
      <c r="F56" t="s">
        <v>1530</v>
      </c>
      <c r="G56" t="s">
        <v>1418</v>
      </c>
    </row>
    <row r="57" spans="1:14" x14ac:dyDescent="0.25">
      <c r="A57" t="s">
        <v>1699</v>
      </c>
      <c r="B57">
        <v>22788.883906462419</v>
      </c>
      <c r="C57">
        <v>5558.4878921880663</v>
      </c>
      <c r="E57" s="173">
        <f>B57/SUM($B57:$D57)</f>
        <v>0.80391522954333683</v>
      </c>
      <c r="F57" s="173">
        <f t="shared" ref="F57:G57" si="16">C57/SUM($B57:$D57)</f>
        <v>0.19608477045666314</v>
      </c>
      <c r="G57" s="173">
        <f t="shared" si="16"/>
        <v>0</v>
      </c>
    </row>
    <row r="58" spans="1:14" x14ac:dyDescent="0.25">
      <c r="A58" t="s">
        <v>1705</v>
      </c>
      <c r="B58">
        <v>520.48746776241489</v>
      </c>
      <c r="C58">
        <v>43171.251104100324</v>
      </c>
      <c r="E58" s="173">
        <f t="shared" ref="E58:E62" si="17">B58/SUM($B58:$D58)</f>
        <v>1.1912720454150254E-2</v>
      </c>
      <c r="F58" s="173">
        <f t="shared" ref="F58:F62" si="18">C58/SUM($B58:$D58)</f>
        <v>0.98808727954584974</v>
      </c>
      <c r="G58" s="173">
        <f t="shared" ref="G58:G62" si="19">D58/SUM($B58:$D58)</f>
        <v>0</v>
      </c>
    </row>
    <row r="59" spans="1:14" x14ac:dyDescent="0.25">
      <c r="A59" t="s">
        <v>1706</v>
      </c>
      <c r="B59">
        <v>1018.7117269510841</v>
      </c>
      <c r="C59">
        <v>0</v>
      </c>
      <c r="D59">
        <v>353.00119061806896</v>
      </c>
      <c r="E59" s="173">
        <f t="shared" si="17"/>
        <v>0.74265665497731759</v>
      </c>
      <c r="F59" s="173">
        <f t="shared" si="18"/>
        <v>0</v>
      </c>
      <c r="G59" s="173">
        <f t="shared" si="19"/>
        <v>0.25734334502268247</v>
      </c>
    </row>
    <row r="60" spans="1:14" x14ac:dyDescent="0.25">
      <c r="A60" t="s">
        <v>1707</v>
      </c>
      <c r="B60">
        <v>6678.5155374788728</v>
      </c>
      <c r="C60">
        <v>92.412251804415931</v>
      </c>
      <c r="D60">
        <v>11243.892940499401</v>
      </c>
      <c r="E60" s="173">
        <f t="shared" si="17"/>
        <v>0.37072339701042561</v>
      </c>
      <c r="F60" s="173">
        <f t="shared" si="18"/>
        <v>5.1297902538456567E-3</v>
      </c>
      <c r="G60" s="173">
        <f t="shared" si="19"/>
        <v>0.62414681273572881</v>
      </c>
    </row>
    <row r="61" spans="1:14" x14ac:dyDescent="0.25">
      <c r="A61" t="s">
        <v>1708</v>
      </c>
      <c r="B61">
        <v>22.116595914554214</v>
      </c>
      <c r="C61">
        <v>0</v>
      </c>
      <c r="E61" s="173">
        <f t="shared" si="17"/>
        <v>1</v>
      </c>
      <c r="F61" s="173">
        <f t="shared" si="18"/>
        <v>0</v>
      </c>
      <c r="G61" s="173">
        <f t="shared" si="19"/>
        <v>0</v>
      </c>
    </row>
    <row r="62" spans="1:14" x14ac:dyDescent="0.25">
      <c r="A62" t="s">
        <v>1709</v>
      </c>
      <c r="B62">
        <v>19910.296699012702</v>
      </c>
      <c r="C62">
        <v>1663.1613033826495</v>
      </c>
      <c r="D62">
        <v>1234.7546317945648</v>
      </c>
      <c r="E62" s="173">
        <f t="shared" si="17"/>
        <v>0.87294418981199839</v>
      </c>
      <c r="F62" s="173">
        <f t="shared" si="18"/>
        <v>7.2919405393894882E-2</v>
      </c>
      <c r="G62" s="173">
        <f t="shared" si="19"/>
        <v>5.4136404794106738E-2</v>
      </c>
    </row>
    <row r="63" spans="1:14" x14ac:dyDescent="0.25">
      <c r="A63" t="s">
        <v>1710</v>
      </c>
    </row>
    <row r="66" spans="1:16" x14ac:dyDescent="0.25">
      <c r="B66" t="s">
        <v>333</v>
      </c>
      <c r="C66" t="s">
        <v>869</v>
      </c>
      <c r="D66" t="s">
        <v>866</v>
      </c>
      <c r="E66" t="s">
        <v>864</v>
      </c>
      <c r="F66" t="s">
        <v>1383</v>
      </c>
      <c r="G66" t="s">
        <v>1530</v>
      </c>
      <c r="H66" t="s">
        <v>1617</v>
      </c>
      <c r="I66" t="s">
        <v>1532</v>
      </c>
      <c r="J66" t="s">
        <v>1418</v>
      </c>
      <c r="K66" t="s">
        <v>1618</v>
      </c>
      <c r="L66" t="s">
        <v>1619</v>
      </c>
      <c r="M66" t="s">
        <v>1529</v>
      </c>
    </row>
    <row r="67" spans="1:16" x14ac:dyDescent="0.25">
      <c r="A67" t="s">
        <v>1699</v>
      </c>
      <c r="B67" s="173">
        <f>B46/SUM($B$46:$M$52)</f>
        <v>7.3726929937700497E-2</v>
      </c>
      <c r="C67" s="173">
        <f t="shared" ref="C67:M67" si="20">C46/SUM($B$46:$M$52)</f>
        <v>6.2570824574287365E-2</v>
      </c>
      <c r="D67" s="173">
        <f t="shared" si="20"/>
        <v>8.4984477418425727E-2</v>
      </c>
      <c r="E67" s="173">
        <f t="shared" si="20"/>
        <v>9.0922099031130188E-2</v>
      </c>
      <c r="F67" s="173">
        <f t="shared" si="20"/>
        <v>2.2362375867099975E-2</v>
      </c>
      <c r="G67" s="173">
        <f t="shared" si="20"/>
        <v>5.4544573577201315E-3</v>
      </c>
      <c r="H67" s="173">
        <f t="shared" si="20"/>
        <v>6.6900261871305836E-3</v>
      </c>
      <c r="I67" s="186">
        <f t="shared" si="20"/>
        <v>0</v>
      </c>
      <c r="J67" s="173">
        <f t="shared" si="20"/>
        <v>0</v>
      </c>
      <c r="K67" s="173">
        <f t="shared" si="20"/>
        <v>0</v>
      </c>
      <c r="L67" s="173">
        <f t="shared" si="20"/>
        <v>0</v>
      </c>
      <c r="M67" s="173">
        <f t="shared" si="20"/>
        <v>0</v>
      </c>
    </row>
    <row r="68" spans="1:16" x14ac:dyDescent="0.25">
      <c r="A68" t="s">
        <v>1705</v>
      </c>
      <c r="B68" s="173">
        <f t="shared" ref="B68:M73" si="21">B47/SUM($B$46:$M$52)</f>
        <v>3.7564686802292198E-2</v>
      </c>
      <c r="C68" s="173">
        <f t="shared" si="21"/>
        <v>6.1654644184447206E-3</v>
      </c>
      <c r="D68" s="173">
        <f t="shared" si="21"/>
        <v>0</v>
      </c>
      <c r="E68" s="173">
        <f t="shared" si="21"/>
        <v>1.6863344786352402E-2</v>
      </c>
      <c r="F68" s="173">
        <f t="shared" si="21"/>
        <v>5.1074622328992373E-4</v>
      </c>
      <c r="G68" s="173">
        <f t="shared" si="21"/>
        <v>4.2363274472124415E-2</v>
      </c>
      <c r="H68" s="173">
        <f t="shared" si="21"/>
        <v>7.7602239729028327E-2</v>
      </c>
      <c r="I68" s="186">
        <f t="shared" si="21"/>
        <v>0</v>
      </c>
      <c r="J68" s="173">
        <f t="shared" si="21"/>
        <v>0</v>
      </c>
      <c r="K68" s="173">
        <f t="shared" si="21"/>
        <v>0</v>
      </c>
      <c r="L68" s="173">
        <f t="shared" si="21"/>
        <v>0</v>
      </c>
      <c r="M68" s="173">
        <f t="shared" si="21"/>
        <v>4.0041822533476205E-2</v>
      </c>
    </row>
    <row r="69" spans="1:16" x14ac:dyDescent="0.25">
      <c r="A69" t="s">
        <v>1706</v>
      </c>
      <c r="B69" s="173">
        <f t="shared" si="21"/>
        <v>5.6667281002051265E-3</v>
      </c>
      <c r="C69" s="173">
        <f t="shared" si="21"/>
        <v>2.2135656641426274E-3</v>
      </c>
      <c r="D69" s="173">
        <f t="shared" si="21"/>
        <v>8.9968131693620501E-7</v>
      </c>
      <c r="E69" s="173">
        <f t="shared" si="21"/>
        <v>2.3104301777618772E-2</v>
      </c>
      <c r="F69" s="173">
        <f t="shared" si="21"/>
        <v>9.9964590770689442E-4</v>
      </c>
      <c r="G69" s="173">
        <f t="shared" si="21"/>
        <v>0</v>
      </c>
      <c r="H69" s="173">
        <f t="shared" si="21"/>
        <v>7.2316914781590351E-3</v>
      </c>
      <c r="I69" s="186">
        <f t="shared" si="21"/>
        <v>3.9985836308275777E-3</v>
      </c>
      <c r="J69" s="173">
        <f t="shared" si="21"/>
        <v>3.4639455528124907E-4</v>
      </c>
      <c r="K69" s="173">
        <f t="shared" si="21"/>
        <v>5.6667281002051265E-3</v>
      </c>
      <c r="L69" s="173">
        <f t="shared" si="21"/>
        <v>9.9964590770689615E-4</v>
      </c>
      <c r="M69" s="173">
        <f t="shared" si="21"/>
        <v>1.2271210174560655E-2</v>
      </c>
    </row>
    <row r="70" spans="1:16" x14ac:dyDescent="0.25">
      <c r="A70" t="s">
        <v>1707</v>
      </c>
      <c r="B70" s="173">
        <f t="shared" si="21"/>
        <v>3.0819930050692397E-4</v>
      </c>
      <c r="C70" s="173">
        <f t="shared" si="21"/>
        <v>3.2683903476652759E-4</v>
      </c>
      <c r="D70" s="173">
        <f t="shared" si="21"/>
        <v>1.1982686309745166E-6</v>
      </c>
      <c r="E70" s="173">
        <f t="shared" si="21"/>
        <v>1.1369212326040767E-2</v>
      </c>
      <c r="F70" s="173">
        <f t="shared" si="21"/>
        <v>6.5535229937705797E-3</v>
      </c>
      <c r="G70" s="173">
        <f t="shared" si="21"/>
        <v>9.0682699427390893E-5</v>
      </c>
      <c r="H70" s="173">
        <f t="shared" si="21"/>
        <v>2.6265587573879898E-3</v>
      </c>
      <c r="I70" s="186">
        <f t="shared" si="21"/>
        <v>1.5130800745254384E-2</v>
      </c>
      <c r="J70" s="173">
        <f t="shared" si="21"/>
        <v>1.1033456538587956E-2</v>
      </c>
      <c r="K70" s="173">
        <f t="shared" si="21"/>
        <v>1.2628458701084504E-3</v>
      </c>
      <c r="L70" s="173">
        <f t="shared" si="21"/>
        <v>1.5269106862434479E-3</v>
      </c>
      <c r="M70" s="173">
        <f t="shared" si="21"/>
        <v>2.1256060562317726E-3</v>
      </c>
    </row>
    <row r="71" spans="1:16" x14ac:dyDescent="0.25">
      <c r="A71" t="s">
        <v>1708</v>
      </c>
      <c r="B71" s="173">
        <f t="shared" si="21"/>
        <v>9.8218144851881968E-5</v>
      </c>
      <c r="C71" s="173">
        <f t="shared" si="21"/>
        <v>8.8467724835437911E-3</v>
      </c>
      <c r="D71" s="173">
        <f t="shared" si="21"/>
        <v>0</v>
      </c>
      <c r="E71" s="173">
        <f t="shared" si="21"/>
        <v>9.213944743614466E-5</v>
      </c>
      <c r="F71" s="173">
        <f t="shared" si="21"/>
        <v>2.1702670160243231E-5</v>
      </c>
      <c r="G71" s="173">
        <f t="shared" si="21"/>
        <v>0</v>
      </c>
      <c r="H71" s="173">
        <f t="shared" si="21"/>
        <v>2.1109319043369779E-4</v>
      </c>
      <c r="I71" s="186">
        <f t="shared" si="21"/>
        <v>0</v>
      </c>
      <c r="J71" s="173">
        <f t="shared" si="21"/>
        <v>0</v>
      </c>
      <c r="K71" s="173">
        <f t="shared" si="21"/>
        <v>0</v>
      </c>
      <c r="L71" s="173">
        <f t="shared" si="21"/>
        <v>0</v>
      </c>
      <c r="M71" s="173">
        <f t="shared" si="21"/>
        <v>0</v>
      </c>
    </row>
    <row r="72" spans="1:16" x14ac:dyDescent="0.25">
      <c r="A72" t="s">
        <v>1709</v>
      </c>
      <c r="B72" s="173">
        <f t="shared" si="21"/>
        <v>1.9860434852659811E-2</v>
      </c>
      <c r="C72" s="173">
        <f t="shared" si="21"/>
        <v>1.9908567174760156E-2</v>
      </c>
      <c r="D72" s="173">
        <f t="shared" si="21"/>
        <v>2.3833054403692407E-3</v>
      </c>
      <c r="E72" s="173">
        <f t="shared" si="21"/>
        <v>4.5732163784814178E-2</v>
      </c>
      <c r="F72" s="173">
        <f t="shared" si="21"/>
        <v>1.9537663197386399E-2</v>
      </c>
      <c r="G72" s="173">
        <f t="shared" si="21"/>
        <v>1.6320342122288761E-3</v>
      </c>
      <c r="H72" s="173">
        <f t="shared" si="21"/>
        <v>2.519227847028925E-2</v>
      </c>
      <c r="I72" s="186">
        <f t="shared" si="21"/>
        <v>1.3064017810529833E-2</v>
      </c>
      <c r="J72" s="173">
        <f t="shared" si="21"/>
        <v>1.21164543613312E-3</v>
      </c>
      <c r="K72" s="173">
        <f t="shared" si="21"/>
        <v>4.776985554753436E-3</v>
      </c>
      <c r="L72" s="173">
        <f t="shared" si="21"/>
        <v>1.4834818874085871E-2</v>
      </c>
      <c r="M72" s="173">
        <f t="shared" si="21"/>
        <v>5.3515627126256425E-2</v>
      </c>
    </row>
    <row r="73" spans="1:16" x14ac:dyDescent="0.25">
      <c r="A73" t="s">
        <v>1710</v>
      </c>
      <c r="B73" s="173">
        <f t="shared" si="21"/>
        <v>1.5624402009394528E-3</v>
      </c>
      <c r="C73" s="173">
        <f t="shared" si="21"/>
        <v>0</v>
      </c>
      <c r="D73" s="173">
        <f t="shared" si="21"/>
        <v>4.5629339085658076E-2</v>
      </c>
      <c r="E73" s="173">
        <f t="shared" si="21"/>
        <v>2.2452672204314017E-2</v>
      </c>
      <c r="F73" s="173">
        <f t="shared" si="21"/>
        <v>0</v>
      </c>
      <c r="G73" s="173">
        <f t="shared" si="21"/>
        <v>0</v>
      </c>
      <c r="H73" s="173">
        <f t="shared" si="21"/>
        <v>0</v>
      </c>
      <c r="I73" s="186">
        <f t="shared" si="21"/>
        <v>0</v>
      </c>
      <c r="J73" s="173">
        <f t="shared" si="21"/>
        <v>0</v>
      </c>
      <c r="K73" s="173">
        <f t="shared" si="21"/>
        <v>1.6758083045205339E-2</v>
      </c>
      <c r="L73" s="173">
        <f t="shared" si="21"/>
        <v>0</v>
      </c>
      <c r="M73" s="173">
        <f t="shared" si="21"/>
        <v>0</v>
      </c>
    </row>
    <row r="74" spans="1:16" x14ac:dyDescent="0.25">
      <c r="A74" t="s">
        <v>1703</v>
      </c>
    </row>
    <row r="75" spans="1:16" x14ac:dyDescent="0.25">
      <c r="A75" t="s">
        <v>1704</v>
      </c>
    </row>
    <row r="78" spans="1:16" ht="15.75" thickBot="1" x14ac:dyDescent="0.3">
      <c r="P78"/>
    </row>
    <row r="79" spans="1:16" ht="15.75" thickBot="1" x14ac:dyDescent="0.3">
      <c r="A79" s="164" t="s">
        <v>1428</v>
      </c>
      <c r="B79" s="164" t="s">
        <v>1584</v>
      </c>
      <c r="D79" t="s">
        <v>1622</v>
      </c>
      <c r="E79" s="168" t="s">
        <v>333</v>
      </c>
      <c r="F79" s="169" t="s">
        <v>869</v>
      </c>
      <c r="G79" s="169" t="s">
        <v>866</v>
      </c>
      <c r="H79" s="169" t="s">
        <v>864</v>
      </c>
      <c r="I79" s="189" t="s">
        <v>1386</v>
      </c>
      <c r="J79" s="169" t="s">
        <v>1530</v>
      </c>
      <c r="K79" s="169" t="s">
        <v>1617</v>
      </c>
      <c r="L79" s="169" t="s">
        <v>1418</v>
      </c>
      <c r="M79" s="170" t="s">
        <v>1529</v>
      </c>
      <c r="N79" s="185" t="s">
        <v>1698</v>
      </c>
      <c r="O79" s="185"/>
    </row>
    <row r="80" spans="1:16" x14ac:dyDescent="0.25">
      <c r="A80" s="167" t="s">
        <v>1402</v>
      </c>
      <c r="B80" s="167" t="s">
        <v>1404</v>
      </c>
      <c r="C80" s="171" t="s">
        <v>1620</v>
      </c>
      <c r="D80" s="172">
        <v>3.1120990790727214E-2</v>
      </c>
      <c r="F80" s="157">
        <v>1</v>
      </c>
      <c r="N80" s="173">
        <v>0</v>
      </c>
      <c r="O80" s="173"/>
    </row>
    <row r="81" spans="1:15" x14ac:dyDescent="0.25">
      <c r="A81" s="167" t="s">
        <v>1402</v>
      </c>
      <c r="B81" s="167" t="s">
        <v>1536</v>
      </c>
      <c r="C81" s="171" t="s">
        <v>1621</v>
      </c>
      <c r="D81" s="172">
        <v>4.0965385836773581E-2</v>
      </c>
      <c r="E81" s="173">
        <v>4.3452017172563126E-2</v>
      </c>
      <c r="F81" s="173">
        <v>0.67151059704082627</v>
      </c>
      <c r="G81" s="173">
        <v>0</v>
      </c>
      <c r="H81" s="173">
        <v>2.7456483849792882E-2</v>
      </c>
      <c r="I81" s="173">
        <v>5.7108581000022619E-2</v>
      </c>
      <c r="J81" s="173">
        <v>0</v>
      </c>
      <c r="K81" s="173">
        <v>0.20047232093679496</v>
      </c>
      <c r="N81" s="173">
        <v>0</v>
      </c>
      <c r="O81" s="173"/>
    </row>
    <row r="82" spans="1:15" x14ac:dyDescent="0.25">
      <c r="A82" s="167" t="s">
        <v>1528</v>
      </c>
      <c r="B82" s="167" t="s">
        <v>1433</v>
      </c>
      <c r="C82" s="175" t="s">
        <v>1623</v>
      </c>
      <c r="D82" s="174">
        <v>0.18</v>
      </c>
      <c r="H82" s="157">
        <v>0.8</v>
      </c>
      <c r="N82" s="173">
        <v>0.2</v>
      </c>
      <c r="O82" s="173"/>
    </row>
    <row r="83" spans="1:15" hidden="1" x14ac:dyDescent="0.25">
      <c r="A83" s="167" t="s">
        <v>1528</v>
      </c>
      <c r="B83" s="167" t="s">
        <v>1436</v>
      </c>
      <c r="C83" s="175" t="s">
        <v>1623</v>
      </c>
      <c r="D83" s="174">
        <v>0.54</v>
      </c>
      <c r="E83" s="173">
        <v>9.191693888473107E-2</v>
      </c>
      <c r="F83" s="173">
        <v>3.5905054251848076E-2</v>
      </c>
      <c r="G83" s="173">
        <v>1.4362021700739229E-5</v>
      </c>
      <c r="H83" s="173">
        <v>0.36262419650486971</v>
      </c>
      <c r="I83" s="173">
        <v>1.5957801889710254E-2</v>
      </c>
      <c r="J83" s="173"/>
      <c r="K83" s="173">
        <v>0.11730136542233477</v>
      </c>
      <c r="L83" s="173">
        <v>5.5296536966099727E-3</v>
      </c>
      <c r="M83" s="173">
        <v>0.1990446789949129</v>
      </c>
      <c r="N83" s="173">
        <v>0.1717059483332824</v>
      </c>
      <c r="O83" s="173"/>
    </row>
    <row r="84" spans="1:15" x14ac:dyDescent="0.25">
      <c r="A84" s="167" t="s">
        <v>1408</v>
      </c>
      <c r="B84" s="167" t="s">
        <v>1438</v>
      </c>
      <c r="C84" s="175" t="s">
        <v>1624</v>
      </c>
      <c r="D84" s="176">
        <v>0.33761300143345951</v>
      </c>
      <c r="J84" s="173">
        <v>0.52033546283881482</v>
      </c>
      <c r="K84" s="173"/>
      <c r="L84" s="173"/>
      <c r="M84" s="173">
        <v>0.47966453716118518</v>
      </c>
      <c r="N84" s="173">
        <v>0</v>
      </c>
      <c r="O84" s="173"/>
    </row>
    <row r="85" spans="1:15" x14ac:dyDescent="0.25">
      <c r="A85" s="167" t="s">
        <v>1411</v>
      </c>
      <c r="B85" t="s">
        <v>1626</v>
      </c>
      <c r="C85" s="171" t="s">
        <v>1626</v>
      </c>
      <c r="D85" s="173">
        <v>0.51131156165236791</v>
      </c>
      <c r="E85" s="173">
        <v>8.3350053173781302E-2</v>
      </c>
      <c r="F85" s="173">
        <v>0.10563330739848652</v>
      </c>
      <c r="G85" s="173">
        <v>1.298726609154173E-2</v>
      </c>
      <c r="H85" s="173">
        <v>0.18227904035920547</v>
      </c>
      <c r="I85" s="173">
        <v>7.1933593131618637E-2</v>
      </c>
      <c r="J85" s="173">
        <v>6.6026439772055752E-3</v>
      </c>
      <c r="K85" s="173">
        <v>7.8119584120982383E-2</v>
      </c>
      <c r="L85" s="173">
        <v>4.4144964011929152E-3</v>
      </c>
      <c r="M85" s="173">
        <v>0.30430156748096215</v>
      </c>
      <c r="N85" s="173">
        <v>0.15037844786502333</v>
      </c>
      <c r="O85" s="173"/>
    </row>
    <row r="86" spans="1:15" x14ac:dyDescent="0.25">
      <c r="A86" s="167" t="s">
        <v>1411</v>
      </c>
      <c r="B86" t="s">
        <v>1625</v>
      </c>
      <c r="C86" s="171" t="s">
        <v>1625</v>
      </c>
      <c r="D86" s="176">
        <v>0.15100792529730939</v>
      </c>
      <c r="E86" s="173">
        <v>4.2015499809563268E-2</v>
      </c>
      <c r="F86" s="173">
        <v>0.1186309020478853</v>
      </c>
      <c r="G86" s="173">
        <v>6.2522108402220397E-3</v>
      </c>
      <c r="H86" s="173">
        <v>0.11699706946376209</v>
      </c>
      <c r="I86" s="173">
        <v>4.7608337325404426E-2</v>
      </c>
      <c r="J86" s="173">
        <v>0</v>
      </c>
      <c r="K86" s="173">
        <v>8.3965221643019824E-2</v>
      </c>
      <c r="L86" s="173">
        <v>2.3140751248598118E-3</v>
      </c>
      <c r="M86" s="173">
        <v>0.41954034826379416</v>
      </c>
      <c r="N86" s="173">
        <v>0.16267633548148919</v>
      </c>
      <c r="O86" s="173"/>
    </row>
    <row r="87" spans="1:15" x14ac:dyDescent="0.25">
      <c r="A87" s="167" t="s">
        <v>1534</v>
      </c>
      <c r="B87" t="s">
        <v>1632</v>
      </c>
      <c r="C87" s="175" t="s">
        <v>1632</v>
      </c>
      <c r="D87" s="176">
        <v>0.37736627057015404</v>
      </c>
      <c r="E87" s="173">
        <v>5.5079559363525096E-3</v>
      </c>
      <c r="F87" s="173">
        <v>5.5079559363525096E-3</v>
      </c>
      <c r="G87" s="173">
        <v>0</v>
      </c>
      <c r="H87" s="173">
        <v>1.6523867809057527E-2</v>
      </c>
      <c r="I87" s="173">
        <v>0</v>
      </c>
      <c r="J87" s="173">
        <v>4.5899632802937568E-3</v>
      </c>
      <c r="K87" s="173">
        <v>4.1309669522643824E-2</v>
      </c>
      <c r="L87" s="173">
        <v>0.46664626682986537</v>
      </c>
      <c r="M87" s="173">
        <v>0</v>
      </c>
      <c r="N87" s="173">
        <v>0.45991432068543447</v>
      </c>
      <c r="O87" s="173"/>
    </row>
    <row r="88" spans="1:15" x14ac:dyDescent="0.25">
      <c r="A88" s="167" t="s">
        <v>1464</v>
      </c>
      <c r="B88" s="167" t="s">
        <v>1473</v>
      </c>
      <c r="C88" s="175" t="s">
        <v>1637</v>
      </c>
      <c r="D88" s="176">
        <v>0.10560002496708237</v>
      </c>
      <c r="E88" s="173">
        <v>0.118409924693732</v>
      </c>
      <c r="F88" s="173">
        <v>0.33671472079211645</v>
      </c>
      <c r="G88" s="173">
        <v>5.1096397873950539E-2</v>
      </c>
      <c r="H88" s="173">
        <v>0.43830926350391647</v>
      </c>
      <c r="I88" s="173">
        <v>1.7328353022431214E-2</v>
      </c>
      <c r="J88" s="173">
        <v>0</v>
      </c>
      <c r="K88" s="173">
        <v>3.8141340113853194E-2</v>
      </c>
      <c r="N88" s="173">
        <v>0</v>
      </c>
      <c r="O88" s="173"/>
    </row>
    <row r="89" spans="1:15" x14ac:dyDescent="0.25">
      <c r="A89" s="167" t="s">
        <v>1464</v>
      </c>
      <c r="B89" t="s">
        <v>1616</v>
      </c>
      <c r="C89" s="175" t="s">
        <v>1634</v>
      </c>
      <c r="D89" s="173">
        <v>6.8388440831929104E-2</v>
      </c>
      <c r="E89" s="173">
        <v>0.13464430578941905</v>
      </c>
      <c r="F89" s="173">
        <v>0.2895612157837924</v>
      </c>
      <c r="G89" s="173">
        <v>4.9839570304026561E-2</v>
      </c>
      <c r="H89" s="173">
        <v>0.46112006386908683</v>
      </c>
      <c r="I89" s="173">
        <v>2.0359979775304498E-2</v>
      </c>
      <c r="J89" s="173">
        <v>0</v>
      </c>
      <c r="K89" s="173">
        <v>4.4474864478370707E-2</v>
      </c>
      <c r="N89" s="173">
        <v>0</v>
      </c>
      <c r="O89" s="173"/>
    </row>
    <row r="90" spans="1:15" x14ac:dyDescent="0.25">
      <c r="A90" s="167" t="s">
        <v>1464</v>
      </c>
      <c r="B90" t="s">
        <v>1633</v>
      </c>
      <c r="C90" s="175" t="s">
        <v>1633</v>
      </c>
      <c r="D90" s="176">
        <v>3.954667478031625E-3</v>
      </c>
      <c r="E90" s="173">
        <v>0.59030284721510862</v>
      </c>
      <c r="F90" s="173">
        <v>0.40969715278489144</v>
      </c>
      <c r="N90" s="173">
        <v>0</v>
      </c>
      <c r="O90" s="173"/>
    </row>
    <row r="91" spans="1:15" x14ac:dyDescent="0.25">
      <c r="A91" s="167" t="s">
        <v>1465</v>
      </c>
      <c r="B91" s="167" t="s">
        <v>1481</v>
      </c>
      <c r="C91" s="175" t="s">
        <v>1638</v>
      </c>
      <c r="D91" s="176">
        <v>0.16036539855358661</v>
      </c>
      <c r="E91" s="173">
        <v>0.19264096506382436</v>
      </c>
      <c r="F91" s="173">
        <v>0</v>
      </c>
      <c r="G91" s="173">
        <v>0.76641413848744944</v>
      </c>
      <c r="H91" s="173">
        <v>4.0944896448726224E-2</v>
      </c>
      <c r="I91" s="173">
        <v>0</v>
      </c>
      <c r="J91" s="173">
        <v>0</v>
      </c>
      <c r="K91" s="173">
        <v>0</v>
      </c>
      <c r="N91" s="173">
        <v>0</v>
      </c>
      <c r="O91" s="173"/>
    </row>
    <row r="92" spans="1:15" x14ac:dyDescent="0.25">
      <c r="A92" s="167" t="s">
        <v>1465</v>
      </c>
      <c r="B92" s="167" t="s">
        <v>1492</v>
      </c>
      <c r="C92" s="175" t="s">
        <v>1639</v>
      </c>
      <c r="D92" s="176">
        <v>9.5312839321127413E-2</v>
      </c>
      <c r="E92" s="173">
        <v>3.497738551112263E-2</v>
      </c>
      <c r="F92" s="173">
        <v>2.9072025392629223E-3</v>
      </c>
      <c r="G92" s="173">
        <v>0.26125652883096134</v>
      </c>
      <c r="H92" s="173">
        <v>0.35531792784253463</v>
      </c>
      <c r="I92" s="173">
        <v>0.24182372501878072</v>
      </c>
      <c r="J92" s="173">
        <v>3.8938984425709464E-2</v>
      </c>
      <c r="K92" s="173">
        <v>6.4778245831628292E-2</v>
      </c>
      <c r="N92" s="173">
        <v>0</v>
      </c>
      <c r="O92" s="173"/>
    </row>
    <row r="93" spans="1:15" x14ac:dyDescent="0.25">
      <c r="A93" s="167" t="s">
        <v>1465</v>
      </c>
      <c r="B93" s="167" t="s">
        <v>1494</v>
      </c>
      <c r="C93" s="175" t="s">
        <v>1635</v>
      </c>
      <c r="D93" s="176">
        <v>6.8174189025612703E-2</v>
      </c>
      <c r="E93" s="173">
        <v>1.71212265626953E-2</v>
      </c>
      <c r="F93" s="173">
        <v>2.6406474830914487E-3</v>
      </c>
      <c r="G93" s="173">
        <v>0.27676468794700221</v>
      </c>
      <c r="H93" s="173">
        <v>0.3574398604621325</v>
      </c>
      <c r="I93" s="173">
        <v>0.24542563564883582</v>
      </c>
      <c r="J93" s="173">
        <v>3.61645785750737E-2</v>
      </c>
      <c r="K93" s="173">
        <v>6.4443363321169095E-2</v>
      </c>
      <c r="N93" s="173">
        <v>0</v>
      </c>
      <c r="O93" s="173"/>
    </row>
    <row r="94" spans="1:15" x14ac:dyDescent="0.25">
      <c r="A94" s="167" t="s">
        <v>1465</v>
      </c>
      <c r="B94" s="167" t="s">
        <v>1535</v>
      </c>
      <c r="C94" s="167" t="s">
        <v>1641</v>
      </c>
      <c r="D94" s="176">
        <v>0.11947013993817714</v>
      </c>
      <c r="E94" s="173">
        <v>0.57349111912529593</v>
      </c>
      <c r="F94" s="173">
        <v>0</v>
      </c>
      <c r="G94" s="173">
        <v>2.3925805055628292E-2</v>
      </c>
      <c r="H94" s="173">
        <v>0.20776186384559001</v>
      </c>
      <c r="I94" s="173">
        <v>0.13486985165731991</v>
      </c>
      <c r="J94" s="173">
        <v>5.9951360316165971E-2</v>
      </c>
      <c r="K94" s="173">
        <v>0</v>
      </c>
      <c r="N94" s="173">
        <v>0</v>
      </c>
      <c r="O94" s="173"/>
    </row>
    <row r="95" spans="1:15" x14ac:dyDescent="0.25">
      <c r="A95" s="167" t="s">
        <v>1465</v>
      </c>
      <c r="B95" s="167" t="s">
        <v>1511</v>
      </c>
      <c r="C95" s="167" t="s">
        <v>1639</v>
      </c>
      <c r="D95" s="176">
        <v>9.5312839321127413E-2</v>
      </c>
      <c r="E95" s="173">
        <v>3.497738551112263E-2</v>
      </c>
      <c r="F95" s="173">
        <v>2.9072025392629223E-3</v>
      </c>
      <c r="G95" s="173">
        <v>0.26125652883096134</v>
      </c>
      <c r="H95" s="173">
        <v>0.35531792784253463</v>
      </c>
      <c r="I95" s="173">
        <v>0.24182372501878072</v>
      </c>
      <c r="J95" s="173">
        <v>3.8938984425709464E-2</v>
      </c>
      <c r="K95" s="173">
        <v>6.4778245831628292E-2</v>
      </c>
      <c r="N95" s="173">
        <v>0</v>
      </c>
      <c r="O95" s="173"/>
    </row>
    <row r="96" spans="1:15" x14ac:dyDescent="0.25">
      <c r="A96" s="167" t="s">
        <v>1465</v>
      </c>
      <c r="B96" t="s">
        <v>1636</v>
      </c>
      <c r="C96" s="167" t="s">
        <v>1640</v>
      </c>
      <c r="D96" s="176">
        <v>7.2983139797449428E-2</v>
      </c>
      <c r="E96" s="173">
        <v>0.16336198483252165</v>
      </c>
      <c r="F96" s="173">
        <v>7.4558466128976666E-2</v>
      </c>
      <c r="G96" s="173">
        <v>0.10212706434133305</v>
      </c>
      <c r="H96" s="173">
        <v>0.56061556804633106</v>
      </c>
      <c r="I96" s="173">
        <v>5.9445207044765171E-2</v>
      </c>
      <c r="J96" s="173">
        <v>2.6424148783560874E-2</v>
      </c>
      <c r="K96" s="173">
        <v>1.346756082251155E-2</v>
      </c>
      <c r="N96" s="173">
        <v>0</v>
      </c>
      <c r="O96" s="173"/>
    </row>
    <row r="97" spans="1:15" x14ac:dyDescent="0.25">
      <c r="A97" s="167" t="s">
        <v>1513</v>
      </c>
      <c r="B97" s="167" t="s">
        <v>1526</v>
      </c>
      <c r="C97" s="167" t="s">
        <v>1623</v>
      </c>
      <c r="D97" s="174">
        <v>1</v>
      </c>
      <c r="E97" s="173">
        <v>1.8083268150963106E-2</v>
      </c>
      <c r="F97" s="173">
        <v>0</v>
      </c>
      <c r="G97" s="173">
        <v>0.5281018587086086</v>
      </c>
      <c r="H97" s="173">
        <v>0.25986126824704003</v>
      </c>
      <c r="I97" s="173">
        <v>0</v>
      </c>
      <c r="J97" s="173">
        <v>0</v>
      </c>
      <c r="K97" s="173">
        <v>0</v>
      </c>
      <c r="L97" s="173">
        <v>0</v>
      </c>
      <c r="M97" s="173">
        <v>0</v>
      </c>
      <c r="N97" s="173">
        <v>0.19395360489338812</v>
      </c>
      <c r="O97" s="173"/>
    </row>
    <row r="104" spans="1:15" ht="15.75" thickBot="1" x14ac:dyDescent="0.3"/>
    <row r="105" spans="1:15" x14ac:dyDescent="0.25">
      <c r="A105" s="188" t="s">
        <v>1697</v>
      </c>
      <c r="B105" t="s">
        <v>1713</v>
      </c>
      <c r="C105" s="189" t="s">
        <v>333</v>
      </c>
      <c r="D105" s="189" t="s">
        <v>869</v>
      </c>
      <c r="E105" s="189" t="s">
        <v>866</v>
      </c>
      <c r="F105" s="189" t="s">
        <v>864</v>
      </c>
      <c r="G105" s="189" t="s">
        <v>1386</v>
      </c>
      <c r="H105" s="189" t="s">
        <v>1530</v>
      </c>
      <c r="I105" s="189" t="s">
        <v>1617</v>
      </c>
      <c r="J105" s="189" t="s">
        <v>1418</v>
      </c>
      <c r="K105" s="189" t="s">
        <v>1529</v>
      </c>
      <c r="L105" s="190" t="s">
        <v>1700</v>
      </c>
      <c r="M105" s="197" t="s">
        <v>1714</v>
      </c>
      <c r="N105">
        <v>407</v>
      </c>
    </row>
    <row r="106" spans="1:15" x14ac:dyDescent="0.25">
      <c r="A106" s="191" t="s">
        <v>1663</v>
      </c>
      <c r="B106" t="s">
        <v>1712</v>
      </c>
      <c r="C106" s="205">
        <v>2.8192110922356309E-2</v>
      </c>
      <c r="D106" s="205">
        <v>9.3973703074521023E-3</v>
      </c>
      <c r="E106" s="205">
        <v>0</v>
      </c>
      <c r="F106" s="205">
        <v>1.0251676699038658E-2</v>
      </c>
      <c r="G106" s="205">
        <v>2.2389649095361786E-4</v>
      </c>
      <c r="H106" s="205">
        <v>1.8570844123950589E-2</v>
      </c>
      <c r="I106" s="205">
        <v>6.9198817718510941E-2</v>
      </c>
      <c r="J106" s="205">
        <v>0</v>
      </c>
      <c r="K106" s="205">
        <v>2.0503353398077316E-2</v>
      </c>
      <c r="L106" s="206">
        <v>4.2715319579327742E-3</v>
      </c>
      <c r="M106" s="157">
        <f>SUM(C106:L106)</f>
        <v>0.16060960161827231</v>
      </c>
    </row>
    <row r="107" spans="1:15" x14ac:dyDescent="0.25">
      <c r="A107" s="193" t="s">
        <v>1691</v>
      </c>
      <c r="B107" t="s">
        <v>1712</v>
      </c>
      <c r="C107" s="205">
        <v>1.4523208656971433E-2</v>
      </c>
      <c r="D107" s="205">
        <v>2.4774885356010093E-2</v>
      </c>
      <c r="E107" s="205">
        <v>0</v>
      </c>
      <c r="F107" s="205">
        <v>3.2463642880289086E-2</v>
      </c>
      <c r="G107" s="205">
        <v>1.3423712415385263E-2</v>
      </c>
      <c r="H107" s="205">
        <v>1.1213192537765189E-3</v>
      </c>
      <c r="I107" s="205">
        <v>5.125838349519329E-3</v>
      </c>
      <c r="J107" s="205">
        <v>8.3248337939620333E-4</v>
      </c>
      <c r="K107" s="205">
        <v>8.5430639158655484E-3</v>
      </c>
      <c r="L107" s="206">
        <v>1.7086127831731099E-3</v>
      </c>
      <c r="M107" s="157">
        <f t="shared" ref="M107:M112" si="22">SUM(C107:L107)</f>
        <v>0.10251676699038659</v>
      </c>
    </row>
    <row r="108" spans="1:15" x14ac:dyDescent="0.25">
      <c r="A108" s="191" t="s">
        <v>1692</v>
      </c>
      <c r="B108" t="s">
        <v>1712</v>
      </c>
      <c r="C108" s="205">
        <v>1.7086127831731099E-3</v>
      </c>
      <c r="D108" s="205">
        <v>4.2715319579327742E-3</v>
      </c>
      <c r="E108" s="205">
        <v>0</v>
      </c>
      <c r="F108" s="205">
        <v>7.6887575242789927E-3</v>
      </c>
      <c r="G108" s="205">
        <v>1.9002682054601188E-3</v>
      </c>
      <c r="H108" s="205">
        <v>2.6294475608152562E-5</v>
      </c>
      <c r="I108" s="205">
        <v>3.4172255663462198E-3</v>
      </c>
      <c r="J108" s="205">
        <v>3.1992756684510576E-3</v>
      </c>
      <c r="K108" s="205">
        <v>3.4172255663462198E-3</v>
      </c>
      <c r="L108" s="206">
        <v>8.5430639158655484E-3</v>
      </c>
      <c r="M108" s="157">
        <f t="shared" si="22"/>
        <v>3.4172255663462194E-2</v>
      </c>
    </row>
    <row r="109" spans="1:15" x14ac:dyDescent="0.25">
      <c r="A109" s="191" t="s">
        <v>1694</v>
      </c>
      <c r="B109" t="s">
        <v>1712</v>
      </c>
      <c r="C109" s="205">
        <v>8.5430639158655466E-3</v>
      </c>
      <c r="D109" s="205">
        <v>1.6231821440144543E-2</v>
      </c>
      <c r="E109" s="205">
        <v>0</v>
      </c>
      <c r="F109" s="205">
        <v>3.7589481229808416E-2</v>
      </c>
      <c r="G109" s="205">
        <v>5.220332605983158E-3</v>
      </c>
      <c r="H109" s="205">
        <v>4.3606859869086854E-4</v>
      </c>
      <c r="I109" s="205">
        <v>1.1960289482211768E-2</v>
      </c>
      <c r="J109" s="205">
        <v>3.2374353643185719E-4</v>
      </c>
      <c r="K109" s="205">
        <v>2.3920578964423535E-2</v>
      </c>
      <c r="L109" s="206">
        <v>1.4523208656971433E-2</v>
      </c>
      <c r="M109" s="157">
        <f t="shared" si="22"/>
        <v>0.11874858843053114</v>
      </c>
    </row>
    <row r="110" spans="1:15" x14ac:dyDescent="0.25">
      <c r="A110" s="193" t="s">
        <v>1690</v>
      </c>
      <c r="B110" t="s">
        <v>1712</v>
      </c>
      <c r="C110" s="205">
        <v>7.9450494417549589E-2</v>
      </c>
      <c r="D110" s="205">
        <v>0.11533136286418491</v>
      </c>
      <c r="E110" s="205">
        <v>8.6284945550242048E-2</v>
      </c>
      <c r="F110" s="205">
        <v>7.0053124110097495E-2</v>
      </c>
      <c r="G110" s="205">
        <v>1.5796168134530834E-2</v>
      </c>
      <c r="H110" s="205">
        <v>3.8528788719599245E-3</v>
      </c>
      <c r="I110" s="205">
        <v>7.6887575242789927E-3</v>
      </c>
      <c r="J110" s="205">
        <v>0</v>
      </c>
      <c r="K110" s="205">
        <v>1.7086127831731099E-3</v>
      </c>
      <c r="L110" s="206">
        <v>8.5430639158655495E-4</v>
      </c>
      <c r="M110" s="157">
        <f t="shared" si="22"/>
        <v>0.38102065064760349</v>
      </c>
    </row>
    <row r="111" spans="1:15" x14ac:dyDescent="0.25">
      <c r="A111" s="191" t="s">
        <v>1695</v>
      </c>
      <c r="B111" t="s">
        <v>1712</v>
      </c>
      <c r="C111" s="205">
        <v>2.6191679372595993E-3</v>
      </c>
      <c r="D111" s="205">
        <v>0</v>
      </c>
      <c r="E111" s="205">
        <v>7.6489904611800968E-2</v>
      </c>
      <c r="F111" s="205">
        <v>3.7638124715416214E-2</v>
      </c>
      <c r="G111" s="205">
        <v>0</v>
      </c>
      <c r="H111" s="205">
        <v>0</v>
      </c>
      <c r="I111" s="205">
        <v>0</v>
      </c>
      <c r="J111" s="205">
        <v>0</v>
      </c>
      <c r="K111" s="205">
        <v>0</v>
      </c>
      <c r="L111" s="206">
        <v>2.8092104757381647E-2</v>
      </c>
      <c r="M111" s="157">
        <f t="shared" si="22"/>
        <v>0.14483930202185841</v>
      </c>
    </row>
    <row r="112" spans="1:15" ht="15.75" thickBot="1" x14ac:dyDescent="0.3">
      <c r="A112" s="194" t="s">
        <v>1696</v>
      </c>
      <c r="B112" t="s">
        <v>1712</v>
      </c>
      <c r="C112" s="207">
        <v>6.8344511326924396E-3</v>
      </c>
      <c r="D112" s="207">
        <v>8.5430639158655495E-4</v>
      </c>
      <c r="E112" s="207">
        <v>0</v>
      </c>
      <c r="F112" s="207">
        <v>2.2211966181250428E-2</v>
      </c>
      <c r="G112" s="207">
        <v>0</v>
      </c>
      <c r="H112" s="207">
        <v>0</v>
      </c>
      <c r="I112" s="207">
        <v>2.5629191747596645E-3</v>
      </c>
      <c r="J112" s="207">
        <v>0</v>
      </c>
      <c r="K112" s="207">
        <v>1.3668902265384879E-2</v>
      </c>
      <c r="L112" s="208">
        <v>1.1960289482211768E-2</v>
      </c>
      <c r="M112" s="157">
        <f t="shared" si="22"/>
        <v>5.8092834627885732E-2</v>
      </c>
    </row>
    <row r="113" spans="1:12" x14ac:dyDescent="0.25">
      <c r="A113" s="191" t="s">
        <v>1694</v>
      </c>
      <c r="B113" t="s">
        <v>1404</v>
      </c>
      <c r="C113" s="186">
        <v>0</v>
      </c>
      <c r="D113" s="186">
        <f>2.5/407</f>
        <v>6.1425061425061421E-3</v>
      </c>
      <c r="E113" s="186">
        <v>0</v>
      </c>
      <c r="F113" s="186">
        <v>0</v>
      </c>
      <c r="G113" s="186">
        <v>0</v>
      </c>
      <c r="H113" s="186">
        <v>0</v>
      </c>
      <c r="I113" s="186">
        <v>0</v>
      </c>
      <c r="J113" s="186">
        <v>0</v>
      </c>
      <c r="K113" s="186">
        <v>0</v>
      </c>
      <c r="L113" s="186">
        <v>0</v>
      </c>
    </row>
    <row r="114" spans="1:12" x14ac:dyDescent="0.25">
      <c r="A114" s="191" t="s">
        <v>1694</v>
      </c>
      <c r="B114" t="s">
        <v>1715</v>
      </c>
      <c r="C114" s="198">
        <f>C109-C113</f>
        <v>8.5430639158655466E-3</v>
      </c>
      <c r="D114" s="198">
        <f t="shared" ref="D114:L114" si="23">D109-D113</f>
        <v>1.0089315297638402E-2</v>
      </c>
      <c r="E114" s="198">
        <f t="shared" si="23"/>
        <v>0</v>
      </c>
      <c r="F114" s="198">
        <f t="shared" si="23"/>
        <v>3.7589481229808416E-2</v>
      </c>
      <c r="G114" s="198">
        <f t="shared" si="23"/>
        <v>5.220332605983158E-3</v>
      </c>
      <c r="H114" s="198">
        <f t="shared" si="23"/>
        <v>4.3606859869086854E-4</v>
      </c>
      <c r="I114" s="198">
        <f t="shared" si="23"/>
        <v>1.1960289482211768E-2</v>
      </c>
      <c r="J114" s="198">
        <f t="shared" si="23"/>
        <v>3.2374353643185719E-4</v>
      </c>
      <c r="K114" s="198">
        <f t="shared" si="23"/>
        <v>2.3920578964423535E-2</v>
      </c>
      <c r="L114" s="198">
        <f t="shared" si="23"/>
        <v>1.4523208656971433E-2</v>
      </c>
    </row>
    <row r="115" spans="1:12" x14ac:dyDescent="0.25">
      <c r="A115" s="191" t="s">
        <v>1663</v>
      </c>
      <c r="B115" t="s">
        <v>1438</v>
      </c>
      <c r="C115" s="186">
        <f>$M106*$D84*E84</f>
        <v>0</v>
      </c>
      <c r="D115" s="186">
        <f t="shared" ref="D115:L115" si="24">$M106*$D84*F84</f>
        <v>0</v>
      </c>
      <c r="E115" s="186">
        <f t="shared" si="24"/>
        <v>0</v>
      </c>
      <c r="F115" s="186">
        <f t="shared" si="24"/>
        <v>0</v>
      </c>
      <c r="G115" s="186">
        <f t="shared" si="24"/>
        <v>0</v>
      </c>
      <c r="H115" s="186">
        <f t="shared" si="24"/>
        <v>2.8214612723873496E-2</v>
      </c>
      <c r="I115" s="186">
        <f t="shared" si="24"/>
        <v>0</v>
      </c>
      <c r="J115" s="186">
        <f t="shared" si="24"/>
        <v>0</v>
      </c>
      <c r="K115" s="186">
        <f t="shared" si="24"/>
        <v>2.6009276937503635E-2</v>
      </c>
      <c r="L115" s="186">
        <f t="shared" si="24"/>
        <v>0</v>
      </c>
    </row>
    <row r="116" spans="1:12" x14ac:dyDescent="0.25">
      <c r="A116" s="193" t="s">
        <v>1691</v>
      </c>
      <c r="B116" t="s">
        <v>1626</v>
      </c>
      <c r="C116" s="198">
        <f>$M107*$D85*E85</f>
        <v>4.3690437728513363E-3</v>
      </c>
      <c r="D116" s="198">
        <f t="shared" ref="D116:L116" si="25">$M107*$D85*F85</f>
        <v>5.537087576090758E-3</v>
      </c>
      <c r="E116" s="198">
        <f t="shared" si="25"/>
        <v>6.807666208119772E-4</v>
      </c>
      <c r="F116" s="198">
        <f t="shared" si="25"/>
        <v>9.5547042368680328E-3</v>
      </c>
      <c r="G116" s="198">
        <f t="shared" si="25"/>
        <v>3.7706156764562293E-3</v>
      </c>
      <c r="H116" s="198">
        <f t="shared" si="25"/>
        <v>3.4609744630659245E-4</v>
      </c>
      <c r="I116" s="198">
        <f t="shared" si="25"/>
        <v>4.0948730030189884E-3</v>
      </c>
      <c r="J116" s="198">
        <f t="shared" si="25"/>
        <v>2.3139910866875756E-4</v>
      </c>
      <c r="K116" s="198">
        <f t="shared" si="25"/>
        <v>1.5950882067221162E-2</v>
      </c>
      <c r="L116" s="198">
        <f t="shared" si="25"/>
        <v>7.8825387171126537E-3</v>
      </c>
    </row>
    <row r="117" spans="1:12" x14ac:dyDescent="0.25">
      <c r="A117" s="193" t="s">
        <v>1691</v>
      </c>
      <c r="B117" s="171" t="s">
        <v>1625</v>
      </c>
      <c r="C117" s="198">
        <f>$M107*$D86*E86</f>
        <v>6.5043541037744621E-4</v>
      </c>
      <c r="D117" s="198">
        <f t="shared" ref="D117:L117" si="26">$M107*$D86*F86</f>
        <v>1.8365065227523461E-3</v>
      </c>
      <c r="E117" s="198">
        <f t="shared" si="26"/>
        <v>9.678950249451789E-5</v>
      </c>
      <c r="F117" s="198">
        <f t="shared" si="26"/>
        <v>1.8112134149193093E-3</v>
      </c>
      <c r="G117" s="198">
        <f t="shared" si="26"/>
        <v>7.3701725710731696E-4</v>
      </c>
      <c r="H117" s="198">
        <f t="shared" si="26"/>
        <v>0</v>
      </c>
      <c r="I117" s="198">
        <f t="shared" si="26"/>
        <v>1.2998525221489805E-3</v>
      </c>
      <c r="J117" s="198">
        <f t="shared" si="26"/>
        <v>3.5823836686570578E-5</v>
      </c>
      <c r="K117" s="198">
        <f t="shared" si="26"/>
        <v>6.4948388054340313E-3</v>
      </c>
      <c r="L117" s="198">
        <f t="shared" si="26"/>
        <v>2.5183670194854546E-3</v>
      </c>
    </row>
    <row r="118" spans="1:12" x14ac:dyDescent="0.25">
      <c r="A118" s="191" t="s">
        <v>1663</v>
      </c>
      <c r="B118" t="s">
        <v>1715</v>
      </c>
      <c r="C118" s="198">
        <f>C106-C115</f>
        <v>2.8192110922356309E-2</v>
      </c>
      <c r="D118" s="198">
        <f t="shared" ref="D118:L118" si="27">D106-D115</f>
        <v>9.3973703074521023E-3</v>
      </c>
      <c r="E118" s="198">
        <f t="shared" si="27"/>
        <v>0</v>
      </c>
      <c r="F118" s="198">
        <f t="shared" si="27"/>
        <v>1.0251676699038658E-2</v>
      </c>
      <c r="G118" s="198">
        <f t="shared" si="27"/>
        <v>2.2389649095361786E-4</v>
      </c>
      <c r="H118" s="198">
        <v>0</v>
      </c>
      <c r="I118" s="198">
        <f t="shared" si="27"/>
        <v>6.9198817718510941E-2</v>
      </c>
      <c r="J118" s="198">
        <f t="shared" si="27"/>
        <v>0</v>
      </c>
      <c r="K118" s="198">
        <v>0</v>
      </c>
      <c r="L118" s="198">
        <f t="shared" si="27"/>
        <v>4.2715319579327742E-3</v>
      </c>
    </row>
    <row r="119" spans="1:12" x14ac:dyDescent="0.25">
      <c r="A119" s="193" t="s">
        <v>1691</v>
      </c>
      <c r="B119" t="s">
        <v>1715</v>
      </c>
      <c r="C119" s="186">
        <f>C107-C116-C117</f>
        <v>9.50372947374265E-3</v>
      </c>
      <c r="D119" s="186">
        <f t="shared" ref="D119:L119" si="28">D107-D116-D117</f>
        <v>1.7401291257166988E-2</v>
      </c>
      <c r="E119" s="186">
        <v>0</v>
      </c>
      <c r="F119" s="186">
        <f t="shared" si="28"/>
        <v>2.1097725228501743E-2</v>
      </c>
      <c r="G119" s="186">
        <f t="shared" si="28"/>
        <v>8.9160794818217166E-3</v>
      </c>
      <c r="H119" s="186">
        <f t="shared" si="28"/>
        <v>7.7522180746992641E-4</v>
      </c>
      <c r="I119" s="186">
        <f t="shared" si="28"/>
        <v>-2.6888717564863994E-4</v>
      </c>
      <c r="J119" s="186">
        <f t="shared" si="28"/>
        <v>5.6526043404087523E-4</v>
      </c>
      <c r="K119" s="186">
        <v>0</v>
      </c>
      <c r="L119" s="186">
        <v>0</v>
      </c>
    </row>
    <row r="120" spans="1:12" x14ac:dyDescent="0.25">
      <c r="A120" s="191" t="s">
        <v>1692</v>
      </c>
      <c r="B120" t="s">
        <v>1632</v>
      </c>
      <c r="C120" s="198">
        <f>$M108*$D87*E87</f>
        <v>7.1027607154354336E-5</v>
      </c>
      <c r="D120" s="198">
        <f t="shared" ref="D120:L120" si="29">$M108*$D87*F87</f>
        <v>7.1027607154354336E-5</v>
      </c>
      <c r="E120" s="198">
        <f t="shared" si="29"/>
        <v>0</v>
      </c>
      <c r="F120" s="198">
        <f t="shared" si="29"/>
        <v>2.1308282146306298E-4</v>
      </c>
      <c r="G120" s="198">
        <f t="shared" si="29"/>
        <v>0</v>
      </c>
      <c r="H120" s="198">
        <f t="shared" si="29"/>
        <v>5.9189672628628595E-5</v>
      </c>
      <c r="I120" s="198">
        <f t="shared" si="29"/>
        <v>5.3270705365765752E-4</v>
      </c>
      <c r="J120" s="198">
        <f t="shared" si="29"/>
        <v>6.0176167172439083E-3</v>
      </c>
      <c r="K120" s="198">
        <f t="shared" si="29"/>
        <v>0</v>
      </c>
      <c r="L120" s="198">
        <f t="shared" si="29"/>
        <v>5.9308051973885854E-3</v>
      </c>
    </row>
    <row r="121" spans="1:12" x14ac:dyDescent="0.25">
      <c r="A121" s="193" t="s">
        <v>1690</v>
      </c>
      <c r="B121" t="s">
        <v>1554</v>
      </c>
      <c r="C121" s="198">
        <f>$M$110*$D88*E88</f>
        <v>4.7643168901041425E-3</v>
      </c>
      <c r="D121" s="198">
        <f t="shared" ref="D121:L129" si="30">$M$110*$D88*F88</f>
        <v>1.3547982870235705E-2</v>
      </c>
      <c r="E121" s="198">
        <f t="shared" si="30"/>
        <v>2.055903945923465E-3</v>
      </c>
      <c r="F121" s="198">
        <f t="shared" si="30"/>
        <v>1.7635719578422783E-2</v>
      </c>
      <c r="G121" s="198">
        <f t="shared" si="30"/>
        <v>6.9721997709222745E-4</v>
      </c>
      <c r="H121" s="198">
        <f t="shared" si="30"/>
        <v>0</v>
      </c>
      <c r="I121" s="198">
        <f t="shared" si="30"/>
        <v>1.5346469595825746E-3</v>
      </c>
      <c r="J121" s="198">
        <f t="shared" si="30"/>
        <v>0</v>
      </c>
      <c r="K121" s="198">
        <f t="shared" si="30"/>
        <v>0</v>
      </c>
      <c r="L121" s="198">
        <f t="shared" si="30"/>
        <v>0</v>
      </c>
    </row>
    <row r="122" spans="1:12" x14ac:dyDescent="0.25">
      <c r="A122" s="193" t="s">
        <v>1690</v>
      </c>
      <c r="B122" t="s">
        <v>1616</v>
      </c>
      <c r="C122" s="198">
        <f t="shared" ref="C122:C129" si="31">$M$110*$D89*E89</f>
        <v>3.5084816407976549E-3</v>
      </c>
      <c r="D122" s="198">
        <f t="shared" si="30"/>
        <v>7.5452148050981251E-3</v>
      </c>
      <c r="E122" s="198">
        <f t="shared" si="30"/>
        <v>1.2986900290488375E-3</v>
      </c>
      <c r="F122" s="198">
        <f t="shared" si="30"/>
        <v>1.2015593743848241E-2</v>
      </c>
      <c r="G122" s="198">
        <f t="shared" si="30"/>
        <v>5.305283044081088E-4</v>
      </c>
      <c r="H122" s="198">
        <f t="shared" si="30"/>
        <v>0</v>
      </c>
      <c r="I122" s="198">
        <f t="shared" si="30"/>
        <v>1.1588996993557945E-3</v>
      </c>
      <c r="J122" s="198">
        <f t="shared" si="30"/>
        <v>0</v>
      </c>
      <c r="K122" s="198">
        <f t="shared" si="30"/>
        <v>0</v>
      </c>
      <c r="L122" s="198">
        <f t="shared" si="30"/>
        <v>0</v>
      </c>
    </row>
    <row r="123" spans="1:12" x14ac:dyDescent="0.25">
      <c r="A123" s="193" t="s">
        <v>1690</v>
      </c>
      <c r="B123" t="s">
        <v>1633</v>
      </c>
      <c r="C123" s="198">
        <f t="shared" si="31"/>
        <v>8.8947421879377153E-4</v>
      </c>
      <c r="D123" s="198">
        <f t="shared" si="30"/>
        <v>6.1733575678075557E-4</v>
      </c>
      <c r="E123" s="198">
        <f t="shared" si="30"/>
        <v>0</v>
      </c>
      <c r="F123" s="198">
        <f t="shared" si="30"/>
        <v>0</v>
      </c>
      <c r="G123" s="198">
        <f t="shared" si="30"/>
        <v>0</v>
      </c>
      <c r="H123" s="198">
        <f t="shared" si="30"/>
        <v>0</v>
      </c>
      <c r="I123" s="198">
        <f t="shared" si="30"/>
        <v>0</v>
      </c>
      <c r="J123" s="198">
        <f t="shared" si="30"/>
        <v>0</v>
      </c>
      <c r="K123" s="198">
        <f t="shared" si="30"/>
        <v>0</v>
      </c>
      <c r="L123" s="198">
        <f t="shared" si="30"/>
        <v>0</v>
      </c>
    </row>
    <row r="124" spans="1:12" x14ac:dyDescent="0.25">
      <c r="A124" s="193" t="s">
        <v>1690</v>
      </c>
      <c r="B124" s="167" t="s">
        <v>1481</v>
      </c>
      <c r="C124" s="198">
        <f t="shared" si="31"/>
        <v>1.1770850057742676E-2</v>
      </c>
      <c r="D124" s="198">
        <f t="shared" si="30"/>
        <v>0</v>
      </c>
      <c r="E124" s="198">
        <f t="shared" si="30"/>
        <v>4.6829841738390963E-2</v>
      </c>
      <c r="F124" s="198">
        <f t="shared" si="30"/>
        <v>2.5018367021161819E-3</v>
      </c>
      <c r="G124" s="198">
        <f t="shared" si="30"/>
        <v>0</v>
      </c>
      <c r="H124" s="198">
        <f t="shared" si="30"/>
        <v>0</v>
      </c>
      <c r="I124" s="198">
        <f t="shared" si="30"/>
        <v>0</v>
      </c>
      <c r="J124" s="198">
        <f t="shared" si="30"/>
        <v>0</v>
      </c>
      <c r="K124" s="198">
        <f t="shared" si="30"/>
        <v>0</v>
      </c>
      <c r="L124" s="198">
        <f t="shared" si="30"/>
        <v>0</v>
      </c>
    </row>
    <row r="125" spans="1:12" x14ac:dyDescent="0.25">
      <c r="A125" s="193" t="s">
        <v>1690</v>
      </c>
      <c r="B125" s="167" t="s">
        <v>1492</v>
      </c>
      <c r="C125" s="198">
        <f t="shared" si="31"/>
        <v>1.2702443304646338E-3</v>
      </c>
      <c r="D125" s="198">
        <f t="shared" si="30"/>
        <v>1.055784327229605E-4</v>
      </c>
      <c r="E125" s="198">
        <f t="shared" si="30"/>
        <v>9.4878339159703388E-3</v>
      </c>
      <c r="F125" s="198">
        <f t="shared" si="30"/>
        <v>1.290378273730315E-2</v>
      </c>
      <c r="G125" s="198">
        <f t="shared" si="30"/>
        <v>8.7821091024446254E-3</v>
      </c>
      <c r="H125" s="198">
        <f t="shared" si="30"/>
        <v>1.4141143907133783E-3</v>
      </c>
      <c r="I125" s="198">
        <f t="shared" si="30"/>
        <v>2.3524971435873667E-3</v>
      </c>
      <c r="J125" s="198">
        <f t="shared" si="30"/>
        <v>0</v>
      </c>
      <c r="K125" s="198">
        <f t="shared" si="30"/>
        <v>0</v>
      </c>
      <c r="L125" s="198">
        <f t="shared" si="30"/>
        <v>0</v>
      </c>
    </row>
    <row r="126" spans="1:12" x14ac:dyDescent="0.25">
      <c r="A126" s="193" t="s">
        <v>1690</v>
      </c>
      <c r="B126" s="167" t="s">
        <v>1494</v>
      </c>
      <c r="C126" s="198">
        <f t="shared" si="31"/>
        <v>4.4473710939688571E-4</v>
      </c>
      <c r="D126" s="198">
        <f t="shared" si="30"/>
        <v>6.8592861864528364E-5</v>
      </c>
      <c r="E126" s="198">
        <f t="shared" si="30"/>
        <v>7.1891769465203476E-3</v>
      </c>
      <c r="F126" s="198">
        <f t="shared" si="30"/>
        <v>9.284776983882732E-3</v>
      </c>
      <c r="G126" s="198">
        <f t="shared" si="30"/>
        <v>6.3751208110392329E-3</v>
      </c>
      <c r="H126" s="198">
        <f t="shared" si="30"/>
        <v>9.3940291480512064E-4</v>
      </c>
      <c r="I126" s="198">
        <f t="shared" si="30"/>
        <v>1.673966232402814E-3</v>
      </c>
      <c r="J126" s="198">
        <f t="shared" si="30"/>
        <v>0</v>
      </c>
      <c r="K126" s="198">
        <f t="shared" si="30"/>
        <v>0</v>
      </c>
      <c r="L126" s="198">
        <f t="shared" si="30"/>
        <v>0</v>
      </c>
    </row>
    <row r="127" spans="1:12" x14ac:dyDescent="0.25">
      <c r="A127" s="193" t="s">
        <v>1690</v>
      </c>
      <c r="B127" s="167" t="s">
        <v>1535</v>
      </c>
      <c r="C127" s="198">
        <f t="shared" si="31"/>
        <v>2.6105654361679012E-2</v>
      </c>
      <c r="D127" s="198">
        <f t="shared" si="30"/>
        <v>0</v>
      </c>
      <c r="E127" s="198">
        <f t="shared" si="30"/>
        <v>1.0891167731765391E-3</v>
      </c>
      <c r="F127" s="198">
        <f t="shared" si="30"/>
        <v>9.4574427157017738E-3</v>
      </c>
      <c r="G127" s="198">
        <f t="shared" si="30"/>
        <v>6.1393552816424325E-3</v>
      </c>
      <c r="H127" s="198">
        <f t="shared" si="30"/>
        <v>2.7290213200047357E-3</v>
      </c>
      <c r="I127" s="198">
        <f t="shared" si="30"/>
        <v>0</v>
      </c>
      <c r="J127" s="198">
        <f t="shared" si="30"/>
        <v>0</v>
      </c>
      <c r="K127" s="198">
        <f t="shared" si="30"/>
        <v>0</v>
      </c>
      <c r="L127" s="198">
        <f t="shared" si="30"/>
        <v>0</v>
      </c>
    </row>
    <row r="128" spans="1:12" x14ac:dyDescent="0.25">
      <c r="A128" s="193" t="s">
        <v>1690</v>
      </c>
      <c r="B128" s="167" t="s">
        <v>1511</v>
      </c>
      <c r="C128" s="198">
        <f t="shared" si="31"/>
        <v>1.2702443304646338E-3</v>
      </c>
      <c r="D128" s="198">
        <f t="shared" si="30"/>
        <v>1.055784327229605E-4</v>
      </c>
      <c r="E128" s="198">
        <f t="shared" si="30"/>
        <v>9.4878339159703388E-3</v>
      </c>
      <c r="F128" s="198">
        <f t="shared" si="30"/>
        <v>1.290378273730315E-2</v>
      </c>
      <c r="G128" s="198">
        <f t="shared" si="30"/>
        <v>8.7821091024446254E-3</v>
      </c>
      <c r="H128" s="198">
        <f t="shared" si="30"/>
        <v>1.4141143907133783E-3</v>
      </c>
      <c r="I128" s="198">
        <f t="shared" si="30"/>
        <v>2.3524971435873667E-3</v>
      </c>
      <c r="J128" s="198">
        <f t="shared" si="30"/>
        <v>0</v>
      </c>
      <c r="K128" s="198">
        <f t="shared" si="30"/>
        <v>0</v>
      </c>
      <c r="L128" s="198">
        <f t="shared" si="30"/>
        <v>0</v>
      </c>
    </row>
    <row r="129" spans="1:12" x14ac:dyDescent="0.25">
      <c r="A129" s="193" t="s">
        <v>1690</v>
      </c>
      <c r="B129" t="s">
        <v>1636</v>
      </c>
      <c r="C129" s="198">
        <f t="shared" si="31"/>
        <v>4.5427837005610726E-3</v>
      </c>
      <c r="D129" s="198">
        <f t="shared" si="30"/>
        <v>2.0733280451800803E-3</v>
      </c>
      <c r="E129" s="198">
        <f t="shared" si="30"/>
        <v>2.8399579238192483E-3</v>
      </c>
      <c r="F129" s="198">
        <f t="shared" si="30"/>
        <v>1.5589644478258436E-2</v>
      </c>
      <c r="G129" s="198">
        <f t="shared" si="30"/>
        <v>1.6530572759402304E-3</v>
      </c>
      <c r="H129" s="198">
        <f t="shared" si="30"/>
        <v>7.348049334624879E-4</v>
      </c>
      <c r="I129" s="198">
        <f t="shared" si="30"/>
        <v>3.7450705470763084E-4</v>
      </c>
      <c r="J129" s="198">
        <f t="shared" si="30"/>
        <v>0</v>
      </c>
      <c r="K129" s="198">
        <f t="shared" si="30"/>
        <v>0</v>
      </c>
      <c r="L129" s="198">
        <f t="shared" si="30"/>
        <v>0</v>
      </c>
    </row>
    <row r="130" spans="1:12" x14ac:dyDescent="0.25">
      <c r="A130" s="193" t="s">
        <v>1690</v>
      </c>
      <c r="B130" t="s">
        <v>1715</v>
      </c>
      <c r="C130" s="198">
        <f>C110-SUM(C121:C129)</f>
        <v>2.4883707777545103E-2</v>
      </c>
      <c r="D130" s="198">
        <f t="shared" ref="D130:L130" si="32">D110-SUM(D121:D129)</f>
        <v>9.1267751659579788E-2</v>
      </c>
      <c r="E130" s="198">
        <f t="shared" si="32"/>
        <v>6.0065903614219679E-3</v>
      </c>
      <c r="F130" s="198">
        <v>0</v>
      </c>
      <c r="G130" s="198">
        <v>0</v>
      </c>
      <c r="H130" s="198">
        <v>0</v>
      </c>
      <c r="I130" s="198">
        <v>0</v>
      </c>
      <c r="J130" s="198">
        <f t="shared" si="32"/>
        <v>0</v>
      </c>
      <c r="K130" s="198">
        <f t="shared" si="32"/>
        <v>1.7086127831731099E-3</v>
      </c>
      <c r="L130" s="198">
        <f t="shared" si="32"/>
        <v>8.5430639158655495E-4</v>
      </c>
    </row>
    <row r="131" spans="1:12" x14ac:dyDescent="0.25">
      <c r="A131" s="191" t="s">
        <v>1692</v>
      </c>
      <c r="B131" t="s">
        <v>1715</v>
      </c>
      <c r="C131" s="198">
        <f>C108-C120</f>
        <v>1.6375851760187556E-3</v>
      </c>
      <c r="D131" s="198">
        <f t="shared" ref="D131:L131" si="33">D108-D120</f>
        <v>4.2005043507784201E-3</v>
      </c>
      <c r="E131" s="198">
        <f t="shared" si="33"/>
        <v>0</v>
      </c>
      <c r="F131" s="198">
        <f t="shared" si="33"/>
        <v>7.4756747028159294E-3</v>
      </c>
      <c r="G131" s="198">
        <f t="shared" si="33"/>
        <v>1.9002682054601188E-3</v>
      </c>
      <c r="H131" s="198">
        <f t="shared" si="33"/>
        <v>-3.2895197020476034E-5</v>
      </c>
      <c r="I131" s="198">
        <f t="shared" si="33"/>
        <v>2.8845185126885622E-3</v>
      </c>
      <c r="J131" s="198">
        <v>0</v>
      </c>
      <c r="K131" s="198">
        <f t="shared" si="33"/>
        <v>3.4172255663462198E-3</v>
      </c>
      <c r="L131" s="198">
        <f t="shared" si="33"/>
        <v>2.6122587184769629E-3</v>
      </c>
    </row>
    <row r="132" spans="1:12" x14ac:dyDescent="0.25">
      <c r="A132" s="191" t="s">
        <v>1695</v>
      </c>
      <c r="B132" t="s">
        <v>1715</v>
      </c>
      <c r="C132" s="205">
        <v>2.6191679372595993E-3</v>
      </c>
      <c r="D132" s="205">
        <v>0</v>
      </c>
      <c r="E132" s="205">
        <v>7.6489904611800968E-2</v>
      </c>
      <c r="F132" s="205">
        <v>3.7638124715416214E-2</v>
      </c>
      <c r="G132" s="205">
        <v>0</v>
      </c>
      <c r="H132" s="205">
        <v>0</v>
      </c>
      <c r="I132" s="205">
        <v>0</v>
      </c>
      <c r="J132" s="205">
        <v>0</v>
      </c>
      <c r="K132" s="205">
        <v>0</v>
      </c>
      <c r="L132" s="206">
        <v>2.8092104757381647E-2</v>
      </c>
    </row>
    <row r="133" spans="1:12" ht="15.75" thickBot="1" x14ac:dyDescent="0.3">
      <c r="A133" s="194" t="s">
        <v>1696</v>
      </c>
      <c r="B133" s="167" t="s">
        <v>1433</v>
      </c>
      <c r="C133" s="198">
        <f>$M$112*$D82*E82</f>
        <v>0</v>
      </c>
      <c r="D133" s="198">
        <f t="shared" ref="D133:L133" si="34">$M$112*$D82*F82</f>
        <v>0</v>
      </c>
      <c r="E133" s="198">
        <f t="shared" si="34"/>
        <v>0</v>
      </c>
      <c r="F133" s="198">
        <f t="shared" si="34"/>
        <v>8.365368186415546E-3</v>
      </c>
      <c r="G133" s="198">
        <f t="shared" si="34"/>
        <v>0</v>
      </c>
      <c r="H133" s="198">
        <f t="shared" si="34"/>
        <v>0</v>
      </c>
      <c r="I133" s="198">
        <f t="shared" si="34"/>
        <v>0</v>
      </c>
      <c r="J133" s="198">
        <f t="shared" si="34"/>
        <v>0</v>
      </c>
      <c r="K133" s="198">
        <f t="shared" si="34"/>
        <v>0</v>
      </c>
      <c r="L133" s="198">
        <f t="shared" si="34"/>
        <v>2.0913420466038865E-3</v>
      </c>
    </row>
    <row r="134" spans="1:12" ht="15.75" thickBot="1" x14ac:dyDescent="0.3">
      <c r="A134" s="194" t="s">
        <v>1696</v>
      </c>
      <c r="B134" s="199" t="s">
        <v>1715</v>
      </c>
      <c r="C134" s="198">
        <f>C112-C133</f>
        <v>6.8344511326924396E-3</v>
      </c>
      <c r="D134" s="198">
        <f t="shared" ref="D134:L134" si="35">D112-D133</f>
        <v>8.5430639158655495E-4</v>
      </c>
      <c r="E134" s="198">
        <f t="shared" si="35"/>
        <v>0</v>
      </c>
      <c r="F134" s="198">
        <f t="shared" si="35"/>
        <v>1.3846597994834882E-2</v>
      </c>
      <c r="G134" s="198">
        <f t="shared" si="35"/>
        <v>0</v>
      </c>
      <c r="H134" s="198">
        <f t="shared" si="35"/>
        <v>0</v>
      </c>
      <c r="I134" s="198">
        <f t="shared" si="35"/>
        <v>2.5629191747596645E-3</v>
      </c>
      <c r="J134" s="198">
        <f t="shared" si="35"/>
        <v>0</v>
      </c>
      <c r="K134" s="198">
        <f t="shared" si="35"/>
        <v>1.3668902265384879E-2</v>
      </c>
      <c r="L134" s="198">
        <f t="shared" si="35"/>
        <v>9.8689474356078808E-3</v>
      </c>
    </row>
    <row r="136" spans="1:12" ht="15.75" thickBot="1" x14ac:dyDescent="0.3"/>
    <row r="137" spans="1:12" ht="30" x14ac:dyDescent="0.25">
      <c r="B137" t="s">
        <v>1713</v>
      </c>
      <c r="C137" s="189" t="s">
        <v>333</v>
      </c>
      <c r="D137" s="189" t="s">
        <v>869</v>
      </c>
      <c r="E137" s="189" t="s">
        <v>866</v>
      </c>
      <c r="F137" s="189" t="s">
        <v>864</v>
      </c>
      <c r="G137" s="189" t="s">
        <v>1386</v>
      </c>
      <c r="H137" s="189" t="s">
        <v>1530</v>
      </c>
      <c r="I137" s="189" t="s">
        <v>1617</v>
      </c>
      <c r="J137" s="189" t="s">
        <v>1418</v>
      </c>
      <c r="K137" s="189" t="s">
        <v>1529</v>
      </c>
      <c r="L137" s="190" t="s">
        <v>1700</v>
      </c>
    </row>
    <row r="138" spans="1:12" x14ac:dyDescent="0.25">
      <c r="A138" s="191" t="s">
        <v>1663</v>
      </c>
      <c r="B138" t="s">
        <v>1438</v>
      </c>
      <c r="C138" s="157">
        <v>0</v>
      </c>
      <c r="D138" s="157">
        <v>0</v>
      </c>
      <c r="E138" s="157">
        <v>0</v>
      </c>
      <c r="F138" s="157">
        <v>0</v>
      </c>
      <c r="G138" s="157">
        <v>0</v>
      </c>
      <c r="H138" s="157">
        <v>2.6001792423484819E-2</v>
      </c>
      <c r="I138" s="157">
        <v>0</v>
      </c>
      <c r="J138" s="157">
        <v>0</v>
      </c>
      <c r="K138" s="157">
        <v>2.3969417075913529E-2</v>
      </c>
      <c r="L138" s="157">
        <v>0</v>
      </c>
    </row>
    <row r="139" spans="1:12" x14ac:dyDescent="0.25">
      <c r="A139" s="191" t="s">
        <v>1663</v>
      </c>
      <c r="B139" t="s">
        <v>1715</v>
      </c>
      <c r="C139" s="157">
        <v>2.598105539696844E-2</v>
      </c>
      <c r="D139" s="157">
        <v>8.6603517989894789E-3</v>
      </c>
      <c r="E139" s="157">
        <v>0</v>
      </c>
      <c r="F139" s="157">
        <v>9.4476565079885232E-3</v>
      </c>
      <c r="G139" s="157">
        <v>2.0633670003191787E-4</v>
      </c>
      <c r="H139" s="157">
        <v>0</v>
      </c>
      <c r="I139" s="157">
        <v>6.3771681428922533E-2</v>
      </c>
      <c r="J139" s="157">
        <v>0</v>
      </c>
      <c r="K139" s="157">
        <v>0</v>
      </c>
      <c r="L139" s="157">
        <v>3.9365235449952182E-3</v>
      </c>
    </row>
    <row r="140" spans="1:12" x14ac:dyDescent="0.25">
      <c r="A140" s="193" t="s">
        <v>1691</v>
      </c>
      <c r="B140" t="s">
        <v>1626</v>
      </c>
      <c r="C140" s="157">
        <v>4.0263876872098786E-3</v>
      </c>
      <c r="D140" s="157">
        <v>5.1028239583932461E-3</v>
      </c>
      <c r="E140" s="157">
        <v>6.2737534399019375E-4</v>
      </c>
      <c r="F140" s="157">
        <v>8.805346317038729E-3</v>
      </c>
      <c r="G140" s="157">
        <v>3.4748932082627818E-3</v>
      </c>
      <c r="H140" s="157">
        <v>3.1895365870280619E-4</v>
      </c>
      <c r="I140" s="157">
        <v>3.7737196277353043E-3</v>
      </c>
      <c r="J140" s="157">
        <v>2.1325090120742279E-4</v>
      </c>
      <c r="K140" s="157">
        <v>1.4699883657535853E-2</v>
      </c>
      <c r="L140" s="157">
        <v>7.2643256704714824E-3</v>
      </c>
    </row>
    <row r="141" spans="1:12" x14ac:dyDescent="0.25">
      <c r="A141" s="193" t="s">
        <v>1691</v>
      </c>
      <c r="B141" s="171" t="s">
        <v>1625</v>
      </c>
      <c r="C141" s="157">
        <v>5.9942295473041165E-4</v>
      </c>
      <c r="D141" s="157">
        <v>1.69247268627498E-3</v>
      </c>
      <c r="E141" s="157">
        <v>8.9198479428545931E-5</v>
      </c>
      <c r="F141" s="157">
        <v>1.6691632704748842E-3</v>
      </c>
      <c r="G141" s="157">
        <v>6.7921434610425737E-4</v>
      </c>
      <c r="H141" s="157">
        <v>0</v>
      </c>
      <c r="I141" s="157">
        <v>1.1979074741459328E-3</v>
      </c>
      <c r="J141" s="157">
        <v>3.3014238914180207E-5</v>
      </c>
      <c r="K141" s="157">
        <v>5.9854605163513703E-3</v>
      </c>
      <c r="L141" s="157">
        <v>2.3208561155051402E-3</v>
      </c>
    </row>
    <row r="142" spans="1:12" x14ac:dyDescent="0.25">
      <c r="A142" s="193" t="s">
        <v>1691</v>
      </c>
      <c r="B142" t="s">
        <v>1715</v>
      </c>
      <c r="C142" s="157">
        <v>8.758369411043453E-3</v>
      </c>
      <c r="D142" s="157">
        <v>1.6036539916304042E-2</v>
      </c>
      <c r="E142" s="157">
        <v>0</v>
      </c>
      <c r="F142" s="157">
        <v>1.9443069354450049E-2</v>
      </c>
      <c r="G142" s="157">
        <v>8.2168077296151023E-3</v>
      </c>
      <c r="H142" s="157">
        <v>7.1442258368962033E-4</v>
      </c>
      <c r="I142" s="157">
        <v>-2.4779884788697501E-4</v>
      </c>
      <c r="J142" s="157">
        <v>5.2092809548661269E-4</v>
      </c>
      <c r="K142" s="157">
        <v>0</v>
      </c>
      <c r="L142" s="157">
        <v>0</v>
      </c>
    </row>
    <row r="143" spans="1:12" x14ac:dyDescent="0.25">
      <c r="A143" s="191" t="s">
        <v>1692</v>
      </c>
      <c r="B143" t="s">
        <v>1632</v>
      </c>
      <c r="C143" s="157">
        <v>6.5457042265253506E-5</v>
      </c>
      <c r="D143" s="157">
        <v>6.5457042265253506E-5</v>
      </c>
      <c r="E143" s="157">
        <v>0</v>
      </c>
      <c r="F143" s="157">
        <v>1.963711267957605E-4</v>
      </c>
      <c r="G143" s="157">
        <v>0</v>
      </c>
      <c r="H143" s="157">
        <v>5.4547535221044572E-5</v>
      </c>
      <c r="I143" s="157">
        <v>4.9092781698940131E-4</v>
      </c>
      <c r="J143" s="157">
        <v>5.5456660808061988E-3</v>
      </c>
      <c r="K143" s="157">
        <v>0</v>
      </c>
      <c r="L143" s="157">
        <v>5.4656630291486661E-3</v>
      </c>
    </row>
    <row r="144" spans="1:12" x14ac:dyDescent="0.25">
      <c r="A144" s="191" t="s">
        <v>1692</v>
      </c>
      <c r="B144" t="s">
        <v>1715</v>
      </c>
      <c r="C144" s="157">
        <v>1.5091523757328341E-3</v>
      </c>
      <c r="D144" s="157">
        <v>3.8710665027299651E-3</v>
      </c>
      <c r="E144" s="157">
        <v>0</v>
      </c>
      <c r="F144" s="157">
        <v>6.8893712541956316E-3</v>
      </c>
      <c r="G144" s="157">
        <v>1.7512336572145803E-3</v>
      </c>
      <c r="H144" s="157">
        <v>-3.031528708286406E-5</v>
      </c>
      <c r="I144" s="157">
        <v>2.6582910190067737E-3</v>
      </c>
      <c r="J144" s="157">
        <v>0</v>
      </c>
      <c r="K144" s="157">
        <v>3.1492188359961751E-3</v>
      </c>
      <c r="L144" s="157">
        <v>2.4073840608417702E-3</v>
      </c>
    </row>
    <row r="145" spans="1:12" x14ac:dyDescent="0.25">
      <c r="A145" s="191" t="s">
        <v>1694</v>
      </c>
      <c r="B145" t="s">
        <v>1404</v>
      </c>
      <c r="C145" s="157">
        <v>0</v>
      </c>
      <c r="D145" s="157">
        <v>5.6607606576248711E-3</v>
      </c>
      <c r="E145" s="157">
        <v>0</v>
      </c>
      <c r="F145" s="157">
        <v>0</v>
      </c>
      <c r="G145" s="157">
        <v>0</v>
      </c>
      <c r="H145" s="157">
        <v>0</v>
      </c>
      <c r="I145" s="157">
        <v>0</v>
      </c>
      <c r="J145" s="157">
        <v>0</v>
      </c>
      <c r="K145" s="157">
        <v>0</v>
      </c>
      <c r="L145" s="157">
        <v>0</v>
      </c>
    </row>
    <row r="146" spans="1:12" x14ac:dyDescent="0.25">
      <c r="A146" s="191" t="s">
        <v>1694</v>
      </c>
      <c r="B146" t="s">
        <v>1715</v>
      </c>
      <c r="C146" s="157">
        <v>7.8730470899904346E-3</v>
      </c>
      <c r="D146" s="157">
        <v>9.2980288133569598E-3</v>
      </c>
      <c r="E146" s="157">
        <v>0</v>
      </c>
      <c r="F146" s="157">
        <v>3.4641407195957923E-2</v>
      </c>
      <c r="G146" s="157">
        <v>4.8109114993263886E-3</v>
      </c>
      <c r="H146" s="157">
        <v>4.0186853870816596E-4</v>
      </c>
      <c r="I146" s="157">
        <v>1.1022265925986612E-2</v>
      </c>
      <c r="J146" s="157">
        <v>2.9835292495875086E-4</v>
      </c>
      <c r="K146" s="157">
        <v>2.2044531851973224E-2</v>
      </c>
      <c r="L146" s="157">
        <v>1.3384180052983743E-2</v>
      </c>
    </row>
    <row r="147" spans="1:12" x14ac:dyDescent="0.25">
      <c r="A147" s="193" t="s">
        <v>1690</v>
      </c>
      <c r="B147" t="s">
        <v>1554</v>
      </c>
      <c r="C147" s="157">
        <v>4.3906602592269587E-3</v>
      </c>
      <c r="D147" s="157">
        <v>1.248543943510257E-2</v>
      </c>
      <c r="E147" s="157">
        <v>1.894663172154515E-3</v>
      </c>
      <c r="F147" s="157">
        <v>1.6252582454514091E-2</v>
      </c>
      <c r="G147" s="157">
        <v>6.4253829373030181E-4</v>
      </c>
      <c r="H147" s="157">
        <v>0</v>
      </c>
      <c r="I147" s="157">
        <v>1.4142874147138025E-3</v>
      </c>
      <c r="J147" s="157">
        <v>0</v>
      </c>
      <c r="K147" s="157">
        <v>0</v>
      </c>
      <c r="L147" s="157">
        <v>0</v>
      </c>
    </row>
    <row r="148" spans="1:12" x14ac:dyDescent="0.25">
      <c r="A148" s="193" t="s">
        <v>1690</v>
      </c>
      <c r="B148" t="s">
        <v>1616</v>
      </c>
      <c r="C148" s="157">
        <v>3.2333178639888773E-3</v>
      </c>
      <c r="D148" s="157">
        <v>6.9534574538661874E-3</v>
      </c>
      <c r="E148" s="157">
        <v>1.1968361532463878E-3</v>
      </c>
      <c r="F148" s="157">
        <v>1.1073232775869649E-2</v>
      </c>
      <c r="G148" s="157">
        <v>4.889199430453562E-4</v>
      </c>
      <c r="H148" s="157">
        <v>0</v>
      </c>
      <c r="I148" s="157">
        <v>1.068009322587342E-3</v>
      </c>
      <c r="J148" s="157">
        <v>0</v>
      </c>
      <c r="K148" s="157">
        <v>0</v>
      </c>
      <c r="L148" s="157">
        <v>0</v>
      </c>
    </row>
    <row r="149" spans="1:12" x14ac:dyDescent="0.25">
      <c r="A149" s="193" t="s">
        <v>1690</v>
      </c>
      <c r="B149" t="s">
        <v>1633</v>
      </c>
      <c r="C149" s="157">
        <v>8.1971438805351806E-4</v>
      </c>
      <c r="D149" s="157">
        <v>5.6891924622541525E-4</v>
      </c>
      <c r="E149" s="157">
        <v>0</v>
      </c>
      <c r="F149" s="157">
        <v>0</v>
      </c>
      <c r="G149" s="157">
        <v>0</v>
      </c>
      <c r="H149" s="157">
        <v>0</v>
      </c>
      <c r="I149" s="157">
        <v>0</v>
      </c>
      <c r="J149" s="157">
        <v>0</v>
      </c>
      <c r="K149" s="157">
        <v>0</v>
      </c>
      <c r="L149" s="157">
        <v>0</v>
      </c>
    </row>
    <row r="150" spans="1:12" x14ac:dyDescent="0.25">
      <c r="A150" s="193" t="s">
        <v>1690</v>
      </c>
      <c r="B150" s="167" t="s">
        <v>1481</v>
      </c>
      <c r="C150" s="157">
        <v>1.0847683887945669E-2</v>
      </c>
      <c r="D150" s="157">
        <v>0</v>
      </c>
      <c r="E150" s="157">
        <v>4.3157063186480576E-2</v>
      </c>
      <c r="F150" s="157">
        <v>2.3056222405929932E-3</v>
      </c>
      <c r="G150" s="157">
        <v>0</v>
      </c>
      <c r="H150" s="157">
        <v>0</v>
      </c>
      <c r="I150" s="157">
        <v>0</v>
      </c>
      <c r="J150" s="157">
        <v>0</v>
      </c>
      <c r="K150" s="157">
        <v>0</v>
      </c>
      <c r="L150" s="157">
        <v>0</v>
      </c>
    </row>
    <row r="151" spans="1:12" x14ac:dyDescent="0.25">
      <c r="A151" s="193" t="s">
        <v>1690</v>
      </c>
      <c r="B151" s="167" t="s">
        <v>1492</v>
      </c>
      <c r="C151" s="157">
        <v>1.1706213986025418E-3</v>
      </c>
      <c r="D151" s="157">
        <v>9.7298109987397773E-5</v>
      </c>
      <c r="E151" s="157">
        <v>8.7437205126978997E-3</v>
      </c>
      <c r="F151" s="157">
        <v>1.1891762736449162E-2</v>
      </c>
      <c r="G151" s="157">
        <v>8.0933444012486946E-3</v>
      </c>
      <c r="H151" s="157">
        <v>1.3032079940363613E-3</v>
      </c>
      <c r="I151" s="157">
        <v>2.1679951095923441E-3</v>
      </c>
      <c r="J151" s="157">
        <v>0</v>
      </c>
      <c r="K151" s="157">
        <v>0</v>
      </c>
      <c r="L151" s="157">
        <v>0</v>
      </c>
    </row>
    <row r="152" spans="1:12" x14ac:dyDescent="0.25">
      <c r="A152" s="193" t="s">
        <v>1690</v>
      </c>
      <c r="B152" s="167" t="s">
        <v>1494</v>
      </c>
      <c r="C152" s="157">
        <v>4.0985719402675898E-4</v>
      </c>
      <c r="D152" s="157">
        <v>6.3213249580601662E-5</v>
      </c>
      <c r="E152" s="157">
        <v>6.6253429911853588E-3</v>
      </c>
      <c r="F152" s="157">
        <v>8.5565889631720009E-3</v>
      </c>
      <c r="G152" s="157">
        <v>5.875131784567094E-3</v>
      </c>
      <c r="H152" s="157">
        <v>8.6572726805891637E-4</v>
      </c>
      <c r="I152" s="157">
        <v>1.5426801326261605E-3</v>
      </c>
      <c r="J152" s="157">
        <v>0</v>
      </c>
      <c r="K152" s="157">
        <v>0</v>
      </c>
      <c r="L152" s="157">
        <v>0</v>
      </c>
    </row>
    <row r="153" spans="1:12" x14ac:dyDescent="0.25">
      <c r="A153" s="193" t="s">
        <v>1690</v>
      </c>
      <c r="B153" s="167" t="s">
        <v>1535</v>
      </c>
      <c r="C153" s="157">
        <v>2.4058235795569316E-2</v>
      </c>
      <c r="D153" s="157">
        <v>0</v>
      </c>
      <c r="E153" s="157">
        <v>1.0036993432523764E-3</v>
      </c>
      <c r="F153" s="157">
        <v>8.7157128384966823E-3</v>
      </c>
      <c r="G153" s="157">
        <v>5.6578569129966793E-3</v>
      </c>
      <c r="H153" s="157">
        <v>2.5149891857982548E-3</v>
      </c>
      <c r="I153" s="157">
        <v>0</v>
      </c>
      <c r="J153" s="157">
        <v>0</v>
      </c>
      <c r="K153" s="157">
        <v>0</v>
      </c>
      <c r="L153" s="157">
        <v>0</v>
      </c>
    </row>
    <row r="154" spans="1:12" x14ac:dyDescent="0.25">
      <c r="A154" s="193" t="s">
        <v>1690</v>
      </c>
      <c r="B154" s="167" t="s">
        <v>1511</v>
      </c>
      <c r="C154" s="157">
        <v>1.1706213986025418E-3</v>
      </c>
      <c r="D154" s="157">
        <v>9.7298109987397773E-5</v>
      </c>
      <c r="E154" s="157">
        <v>8.7437205126978997E-3</v>
      </c>
      <c r="F154" s="157">
        <v>1.1891762736449162E-2</v>
      </c>
      <c r="G154" s="157">
        <v>8.0933444012486946E-3</v>
      </c>
      <c r="H154" s="157">
        <v>1.3032079940363613E-3</v>
      </c>
      <c r="I154" s="157">
        <v>2.1679951095923441E-3</v>
      </c>
      <c r="J154" s="157">
        <v>0</v>
      </c>
      <c r="K154" s="157">
        <v>0</v>
      </c>
      <c r="L154" s="157">
        <v>0</v>
      </c>
    </row>
    <row r="155" spans="1:12" x14ac:dyDescent="0.25">
      <c r="A155" s="193" t="s">
        <v>1690</v>
      </c>
      <c r="B155" t="s">
        <v>1636</v>
      </c>
      <c r="C155" s="157">
        <v>4.1865015112127627E-3</v>
      </c>
      <c r="D155" s="157">
        <v>1.9107207312807246E-3</v>
      </c>
      <c r="E155" s="157">
        <v>2.6172252353510667E-3</v>
      </c>
      <c r="F155" s="157">
        <v>1.4366977269782342E-2</v>
      </c>
      <c r="G155" s="157">
        <v>1.5234110272497197E-3</v>
      </c>
      <c r="H155" s="157">
        <v>6.7717553094314277E-4</v>
      </c>
      <c r="I155" s="157">
        <v>3.4513515365032488E-4</v>
      </c>
      <c r="J155" s="157">
        <v>0</v>
      </c>
      <c r="K155" s="157">
        <v>0</v>
      </c>
      <c r="L155" s="157">
        <v>0</v>
      </c>
    </row>
    <row r="156" spans="1:12" x14ac:dyDescent="0.25">
      <c r="A156" s="193" t="s">
        <v>1690</v>
      </c>
      <c r="B156" t="s">
        <v>1715</v>
      </c>
      <c r="C156" s="157">
        <v>2.2932124239682106E-2</v>
      </c>
      <c r="D156" s="157">
        <v>8.4109789378840602E-2</v>
      </c>
      <c r="E156" s="157">
        <v>5.5355045018373348E-3</v>
      </c>
      <c r="F156" s="157">
        <v>0</v>
      </c>
      <c r="G156" s="157">
        <v>0</v>
      </c>
      <c r="H156" s="157">
        <v>0</v>
      </c>
      <c r="I156" s="157">
        <v>0</v>
      </c>
      <c r="J156" s="157">
        <v>0</v>
      </c>
      <c r="K156" s="157">
        <v>1.5746094179980876E-3</v>
      </c>
      <c r="L156" s="157">
        <v>7.8730470899904378E-4</v>
      </c>
    </row>
    <row r="157" spans="1:12" x14ac:dyDescent="0.25">
      <c r="A157" s="191" t="s">
        <v>1695</v>
      </c>
      <c r="B157" t="s">
        <v>1715</v>
      </c>
      <c r="C157" s="157">
        <v>2.4137514022741246E-3</v>
      </c>
      <c r="D157" s="157">
        <v>0</v>
      </c>
      <c r="E157" s="157">
        <v>7.0490941756763431E-2</v>
      </c>
      <c r="F157" s="157">
        <v>3.4686235662253283E-2</v>
      </c>
      <c r="G157" s="157">
        <v>0</v>
      </c>
      <c r="H157" s="157">
        <v>0</v>
      </c>
      <c r="I157" s="157">
        <v>0</v>
      </c>
      <c r="J157" s="157">
        <v>0</v>
      </c>
      <c r="K157" s="157">
        <v>0</v>
      </c>
      <c r="L157" s="157">
        <v>2.5888892531995295E-2</v>
      </c>
    </row>
    <row r="158" spans="1:12" ht="15.75" thickBot="1" x14ac:dyDescent="0.3">
      <c r="A158" s="194" t="s">
        <v>1696</v>
      </c>
      <c r="B158" s="167" t="s">
        <v>1433</v>
      </c>
      <c r="C158" s="157">
        <v>0</v>
      </c>
      <c r="D158" s="157">
        <v>0</v>
      </c>
      <c r="E158" s="157">
        <v>0</v>
      </c>
      <c r="F158" s="157">
        <v>7.7092877105186365E-3</v>
      </c>
      <c r="G158" s="157">
        <v>0</v>
      </c>
      <c r="H158" s="157">
        <v>0</v>
      </c>
      <c r="I158" s="157">
        <v>0</v>
      </c>
      <c r="J158" s="157">
        <v>0</v>
      </c>
      <c r="K158" s="157">
        <v>0</v>
      </c>
      <c r="L158" s="157">
        <v>1.9273219276296591E-3</v>
      </c>
    </row>
    <row r="159" spans="1:12" ht="15.75" thickBot="1" x14ac:dyDescent="0.3">
      <c r="A159" s="194" t="s">
        <v>1696</v>
      </c>
      <c r="B159" s="199" t="s">
        <v>1715</v>
      </c>
      <c r="C159" s="157">
        <v>6.2984376719923503E-3</v>
      </c>
      <c r="D159" s="157">
        <v>7.8730470899904378E-4</v>
      </c>
      <c r="E159" s="157">
        <v>0</v>
      </c>
      <c r="F159" s="157">
        <v>1.2760634723456501E-2</v>
      </c>
      <c r="G159" s="157">
        <v>0</v>
      </c>
      <c r="H159" s="157">
        <v>0</v>
      </c>
      <c r="I159" s="157">
        <v>2.3619141269971308E-3</v>
      </c>
      <c r="J159" s="157">
        <v>0</v>
      </c>
      <c r="K159" s="157">
        <v>1.2596875343984701E-2</v>
      </c>
      <c r="L159" s="157">
        <v>9.0949439983569521E-3</v>
      </c>
    </row>
    <row r="161" spans="1:12" ht="15.75" thickBot="1" x14ac:dyDescent="0.3">
      <c r="A161" s="209" t="s">
        <v>1716</v>
      </c>
    </row>
    <row r="162" spans="1:12" ht="30" x14ac:dyDescent="0.25">
      <c r="A162" t="s">
        <v>1697</v>
      </c>
      <c r="B162" t="s">
        <v>1713</v>
      </c>
      <c r="C162" s="189" t="s">
        <v>333</v>
      </c>
      <c r="D162" s="189" t="s">
        <v>869</v>
      </c>
      <c r="E162" s="189" t="s">
        <v>866</v>
      </c>
      <c r="F162" s="189" t="s">
        <v>864</v>
      </c>
      <c r="G162" s="189" t="s">
        <v>1386</v>
      </c>
      <c r="H162" s="189" t="s">
        <v>1530</v>
      </c>
      <c r="I162" s="189" t="s">
        <v>1617</v>
      </c>
      <c r="J162" s="189" t="s">
        <v>1418</v>
      </c>
      <c r="K162" s="189" t="s">
        <v>1529</v>
      </c>
      <c r="L162" s="190" t="s">
        <v>1700</v>
      </c>
    </row>
    <row r="163" spans="1:12" x14ac:dyDescent="0.25">
      <c r="A163" s="191" t="s">
        <v>1663</v>
      </c>
      <c r="B163" s="200" t="s">
        <v>1719</v>
      </c>
      <c r="C163" s="201">
        <f>C138/SUM($C$138:$L$139)</f>
        <v>0</v>
      </c>
      <c r="D163" s="201">
        <f t="shared" ref="D163:L163" si="36">D138/SUM($C$138:$L$139)</f>
        <v>0</v>
      </c>
      <c r="E163" s="201">
        <f t="shared" si="36"/>
        <v>0</v>
      </c>
      <c r="F163" s="201">
        <f t="shared" si="36"/>
        <v>0</v>
      </c>
      <c r="G163" s="201">
        <f t="shared" si="36"/>
        <v>0</v>
      </c>
      <c r="H163" s="201">
        <f t="shared" si="36"/>
        <v>0.16052984807040974</v>
      </c>
      <c r="I163" s="201">
        <f t="shared" si="36"/>
        <v>0</v>
      </c>
      <c r="J163" s="201">
        <f t="shared" si="36"/>
        <v>0</v>
      </c>
      <c r="K163" s="201">
        <f t="shared" si="36"/>
        <v>0.14798237055601382</v>
      </c>
      <c r="L163" s="201">
        <f t="shared" si="36"/>
        <v>0</v>
      </c>
    </row>
    <row r="164" spans="1:12" x14ac:dyDescent="0.25">
      <c r="A164" s="191" t="s">
        <v>1663</v>
      </c>
      <c r="B164" s="200" t="s">
        <v>1721</v>
      </c>
      <c r="C164" s="201">
        <f>C139/SUM($C$138:$L$139)</f>
        <v>0.16040182183045329</v>
      </c>
      <c r="D164" s="201">
        <f t="shared" ref="D164:L164" si="37">D139/SUM($C$138:$L$139)</f>
        <v>5.3467273943484425E-2</v>
      </c>
      <c r="E164" s="201">
        <f t="shared" si="37"/>
        <v>0</v>
      </c>
      <c r="F164" s="201">
        <f t="shared" si="37"/>
        <v>5.832793521107392E-2</v>
      </c>
      <c r="G164" s="201">
        <f t="shared" si="37"/>
        <v>1.2738813758684038E-3</v>
      </c>
      <c r="H164" s="201">
        <f t="shared" si="37"/>
        <v>0</v>
      </c>
      <c r="I164" s="201">
        <f t="shared" si="37"/>
        <v>0.393713562674749</v>
      </c>
      <c r="J164" s="201">
        <f t="shared" si="37"/>
        <v>0</v>
      </c>
      <c r="K164" s="201">
        <f t="shared" si="37"/>
        <v>0</v>
      </c>
      <c r="L164" s="201">
        <f t="shared" si="37"/>
        <v>2.4303306337947469E-2</v>
      </c>
    </row>
    <row r="165" spans="1:12" x14ac:dyDescent="0.25">
      <c r="A165" s="193" t="s">
        <v>1691</v>
      </c>
      <c r="B165" t="s">
        <v>1722</v>
      </c>
      <c r="C165" s="157">
        <f>C140/SUM($C$140:$L$142)</f>
        <v>3.4705449224586501E-2</v>
      </c>
      <c r="D165" s="157">
        <f t="shared" ref="D165:L165" si="38">D140/SUM($C$140:$L$142)</f>
        <v>4.3983791812342951E-2</v>
      </c>
      <c r="E165" s="157">
        <f t="shared" si="38"/>
        <v>5.4076618639516041E-3</v>
      </c>
      <c r="F165" s="157">
        <f t="shared" si="38"/>
        <v>7.5897683792752496E-2</v>
      </c>
      <c r="G165" s="157">
        <f t="shared" si="38"/>
        <v>2.9951842487327331E-2</v>
      </c>
      <c r="H165" s="157">
        <f t="shared" si="38"/>
        <v>2.7492211051283527E-3</v>
      </c>
      <c r="I165" s="157">
        <f t="shared" si="38"/>
        <v>3.2527576851137496E-2</v>
      </c>
      <c r="J165" s="157">
        <f t="shared" si="38"/>
        <v>1.8381161723351315E-3</v>
      </c>
      <c r="K165" s="157">
        <f t="shared" si="38"/>
        <v>0.12670564921120739</v>
      </c>
      <c r="L165" s="157">
        <f t="shared" si="38"/>
        <v>6.2614856117372886E-2</v>
      </c>
    </row>
    <row r="166" spans="1:12" x14ac:dyDescent="0.25">
      <c r="A166" s="193" t="s">
        <v>1691</v>
      </c>
      <c r="B166" s="171" t="s">
        <v>1625</v>
      </c>
      <c r="C166" s="157">
        <f t="shared" ref="C166:L167" si="39">C141/SUM($C$140:$L$142)</f>
        <v>5.1667262408761514E-3</v>
      </c>
      <c r="D166" s="157">
        <f t="shared" si="39"/>
        <v>1.458826855250466E-2</v>
      </c>
      <c r="E166" s="157">
        <f t="shared" si="39"/>
        <v>7.6884630572246243E-4</v>
      </c>
      <c r="F166" s="157">
        <f t="shared" si="39"/>
        <v>1.4387353039804596E-2</v>
      </c>
      <c r="G166" s="157">
        <f t="shared" si="39"/>
        <v>5.8544881498151912E-3</v>
      </c>
      <c r="H166" s="157">
        <f t="shared" si="39"/>
        <v>0</v>
      </c>
      <c r="I166" s="157">
        <f t="shared" si="39"/>
        <v>1.0325363638426323E-2</v>
      </c>
      <c r="J166" s="157">
        <f t="shared" si="39"/>
        <v>2.8456623686886533E-4</v>
      </c>
      <c r="K166" s="157">
        <f t="shared" si="39"/>
        <v>5.1591677745256283E-2</v>
      </c>
      <c r="L166" s="157">
        <f t="shared" si="39"/>
        <v>2.0004619607321032E-2</v>
      </c>
    </row>
    <row r="167" spans="1:12" x14ac:dyDescent="0.25">
      <c r="A167" s="193" t="s">
        <v>1691</v>
      </c>
      <c r="B167" t="s">
        <v>1721</v>
      </c>
      <c r="C167" s="157">
        <f t="shared" si="39"/>
        <v>7.5492766345054599E-2</v>
      </c>
      <c r="D167" s="157">
        <f t="shared" si="39"/>
        <v>0.13822695801779949</v>
      </c>
      <c r="E167" s="157">
        <f>E142/SUM($C$140:$L$142)</f>
        <v>0</v>
      </c>
      <c r="F167" s="157">
        <f t="shared" si="39"/>
        <v>0.16758953897918738</v>
      </c>
      <c r="G167" s="157">
        <f t="shared" si="39"/>
        <v>7.0824775357376621E-2</v>
      </c>
      <c r="H167" s="157">
        <f t="shared" si="39"/>
        <v>6.1579655585325644E-3</v>
      </c>
      <c r="I167" s="157">
        <f t="shared" si="39"/>
        <v>-2.1359022034989068E-3</v>
      </c>
      <c r="J167" s="157">
        <f t="shared" si="39"/>
        <v>4.4901397908106615E-3</v>
      </c>
      <c r="K167" s="157">
        <f t="shared" si="39"/>
        <v>0</v>
      </c>
      <c r="L167" s="157">
        <f t="shared" si="39"/>
        <v>0</v>
      </c>
    </row>
    <row r="168" spans="1:12" x14ac:dyDescent="0.25">
      <c r="A168" s="191" t="s">
        <v>1692</v>
      </c>
      <c r="B168" s="200" t="s">
        <v>1721</v>
      </c>
      <c r="C168" s="201">
        <f>(C143+C144)/SUM($C$143:$L$144)</f>
        <v>4.6190462848279594E-2</v>
      </c>
      <c r="D168" s="201">
        <f t="shared" ref="D168:L168" si="40">(D143+D144)/SUM($C$143:$L$144)</f>
        <v>0.11547615712069899</v>
      </c>
      <c r="E168" s="201">
        <f t="shared" si="40"/>
        <v>0</v>
      </c>
      <c r="F168" s="201">
        <f t="shared" si="40"/>
        <v>0.20785708281725812</v>
      </c>
      <c r="G168" s="201">
        <f t="shared" si="40"/>
        <v>5.1371655889794199E-2</v>
      </c>
      <c r="H168" s="201">
        <f t="shared" si="40"/>
        <v>7.1084215841917366E-4</v>
      </c>
      <c r="I168" s="201">
        <f t="shared" si="40"/>
        <v>9.2380925696559188E-2</v>
      </c>
      <c r="J168" s="201">
        <f t="shared" si="40"/>
        <v>0.16267963353103362</v>
      </c>
      <c r="K168" s="201">
        <f t="shared" si="40"/>
        <v>9.2380925696559188E-2</v>
      </c>
      <c r="L168" s="201">
        <f t="shared" si="40"/>
        <v>0.23095231424139792</v>
      </c>
    </row>
    <row r="169" spans="1:12" x14ac:dyDescent="0.25">
      <c r="A169" s="204" t="s">
        <v>1694</v>
      </c>
      <c r="B169" t="s">
        <v>1717</v>
      </c>
      <c r="C169" s="157">
        <f>C145/SUM($C$145:$L$146)</f>
        <v>0</v>
      </c>
      <c r="D169" s="157">
        <f t="shared" ref="D169:L169" si="41">D145/SUM($C$145:$L$146)</f>
        <v>5.1726982389349065E-2</v>
      </c>
      <c r="E169" s="157">
        <f t="shared" si="41"/>
        <v>0</v>
      </c>
      <c r="F169" s="157">
        <f t="shared" si="41"/>
        <v>0</v>
      </c>
      <c r="G169" s="157">
        <f t="shared" si="41"/>
        <v>0</v>
      </c>
      <c r="H169" s="157">
        <f t="shared" si="41"/>
        <v>0</v>
      </c>
      <c r="I169" s="157">
        <f t="shared" si="41"/>
        <v>0</v>
      </c>
      <c r="J169" s="157">
        <f t="shared" si="41"/>
        <v>0</v>
      </c>
      <c r="K169" s="157">
        <f t="shared" si="41"/>
        <v>0</v>
      </c>
      <c r="L169" s="157">
        <f t="shared" si="41"/>
        <v>0</v>
      </c>
    </row>
    <row r="170" spans="1:12" x14ac:dyDescent="0.25">
      <c r="A170" s="204" t="s">
        <v>1694</v>
      </c>
      <c r="B170" t="s">
        <v>1721</v>
      </c>
      <c r="C170" s="157">
        <f>C146/SUM($C$145:$L$146)</f>
        <v>7.1942446043165451E-2</v>
      </c>
      <c r="D170" s="157">
        <f t="shared" ref="D170:L170" si="42">D146/SUM($C$145:$L$146)</f>
        <v>8.4963665092665355E-2</v>
      </c>
      <c r="E170" s="157">
        <f t="shared" si="42"/>
        <v>0</v>
      </c>
      <c r="F170" s="157">
        <f t="shared" si="42"/>
        <v>0.31654676258992809</v>
      </c>
      <c r="G170" s="157">
        <f t="shared" si="42"/>
        <v>4.3961218191971137E-2</v>
      </c>
      <c r="H170" s="157">
        <f t="shared" si="42"/>
        <v>3.6722002716349945E-3</v>
      </c>
      <c r="I170" s="157">
        <f t="shared" si="42"/>
        <v>0.10071942446043167</v>
      </c>
      <c r="J170" s="157">
        <f t="shared" si="42"/>
        <v>2.7262937666096957E-3</v>
      </c>
      <c r="K170" s="157">
        <f t="shared" si="42"/>
        <v>0.20143884892086333</v>
      </c>
      <c r="L170" s="157">
        <f t="shared" si="42"/>
        <v>0.12230215827338131</v>
      </c>
    </row>
    <row r="171" spans="1:12" x14ac:dyDescent="0.25">
      <c r="A171" s="202" t="s">
        <v>1690</v>
      </c>
      <c r="B171" s="200" t="s">
        <v>1720</v>
      </c>
      <c r="C171" s="201">
        <f>C147/SUM($C$147:$L$156)</f>
        <v>1.1195398594047303E-2</v>
      </c>
      <c r="D171" s="201">
        <f t="shared" ref="D171:L171" si="43">D147/SUM($C$147:$L$156)</f>
        <v>3.1835638114806067E-2</v>
      </c>
      <c r="E171" s="201">
        <f t="shared" si="43"/>
        <v>4.8310523159144324E-3</v>
      </c>
      <c r="F171" s="201">
        <f t="shared" si="43"/>
        <v>4.1441179234610298E-2</v>
      </c>
      <c r="G171" s="201">
        <f t="shared" si="43"/>
        <v>1.6383577606882051E-3</v>
      </c>
      <c r="H171" s="201">
        <f t="shared" si="43"/>
        <v>0</v>
      </c>
      <c r="I171" s="201">
        <f t="shared" si="43"/>
        <v>3.6061800274780143E-3</v>
      </c>
      <c r="J171" s="201">
        <f t="shared" si="43"/>
        <v>0</v>
      </c>
      <c r="K171" s="201">
        <f t="shared" si="43"/>
        <v>0</v>
      </c>
      <c r="L171" s="201">
        <f t="shared" si="43"/>
        <v>0</v>
      </c>
    </row>
    <row r="172" spans="1:12" x14ac:dyDescent="0.25">
      <c r="A172" s="202" t="s">
        <v>1690</v>
      </c>
      <c r="B172" s="200" t="s">
        <v>1627</v>
      </c>
      <c r="C172" s="201">
        <f t="shared" ref="C172:L180" si="44">C148/SUM($C$147:$L$156)</f>
        <v>8.2443824234723073E-3</v>
      </c>
      <c r="D172" s="201">
        <f t="shared" si="44"/>
        <v>1.7730073202358712E-2</v>
      </c>
      <c r="E172" s="201">
        <f t="shared" si="44"/>
        <v>3.0517181918599859E-3</v>
      </c>
      <c r="F172" s="201">
        <f t="shared" si="44"/>
        <v>2.8234763641757202E-2</v>
      </c>
      <c r="G172" s="201">
        <f t="shared" si="44"/>
        <v>1.2466584339949334E-3</v>
      </c>
      <c r="H172" s="201">
        <f t="shared" si="44"/>
        <v>0</v>
      </c>
      <c r="I172" s="201">
        <f t="shared" si="44"/>
        <v>2.7232328084134008E-3</v>
      </c>
      <c r="J172" s="201">
        <f t="shared" si="44"/>
        <v>0</v>
      </c>
      <c r="K172" s="201">
        <f t="shared" si="44"/>
        <v>0</v>
      </c>
      <c r="L172" s="201">
        <f t="shared" si="44"/>
        <v>0</v>
      </c>
    </row>
    <row r="173" spans="1:12" x14ac:dyDescent="0.25">
      <c r="A173" s="202" t="s">
        <v>1690</v>
      </c>
      <c r="B173" s="200" t="s">
        <v>1633</v>
      </c>
      <c r="C173" s="201">
        <f t="shared" si="44"/>
        <v>2.0901251214436832E-3</v>
      </c>
      <c r="D173" s="201">
        <f t="shared" si="44"/>
        <v>1.4506423529202579E-3</v>
      </c>
      <c r="E173" s="201">
        <f t="shared" si="44"/>
        <v>0</v>
      </c>
      <c r="F173" s="201">
        <f t="shared" si="44"/>
        <v>0</v>
      </c>
      <c r="G173" s="201">
        <f t="shared" si="44"/>
        <v>0</v>
      </c>
      <c r="H173" s="201">
        <f t="shared" si="44"/>
        <v>0</v>
      </c>
      <c r="I173" s="201">
        <f t="shared" si="44"/>
        <v>0</v>
      </c>
      <c r="J173" s="201">
        <f t="shared" si="44"/>
        <v>0</v>
      </c>
      <c r="K173" s="201">
        <f t="shared" si="44"/>
        <v>0</v>
      </c>
      <c r="L173" s="201">
        <f t="shared" si="44"/>
        <v>0</v>
      </c>
    </row>
    <row r="174" spans="1:12" x14ac:dyDescent="0.25">
      <c r="A174" s="202" t="s">
        <v>1690</v>
      </c>
      <c r="B174" s="200" t="s">
        <v>1628</v>
      </c>
      <c r="C174" s="201">
        <f t="shared" si="44"/>
        <v>2.7659654306561761E-2</v>
      </c>
      <c r="D174" s="201">
        <f t="shared" si="44"/>
        <v>0</v>
      </c>
      <c r="E174" s="201">
        <f t="shared" si="44"/>
        <v>0.11004279447624647</v>
      </c>
      <c r="F174" s="201">
        <f t="shared" si="44"/>
        <v>5.8789244593667649E-3</v>
      </c>
      <c r="G174" s="201">
        <f t="shared" si="44"/>
        <v>0</v>
      </c>
      <c r="H174" s="201">
        <f t="shared" si="44"/>
        <v>0</v>
      </c>
      <c r="I174" s="201">
        <f t="shared" si="44"/>
        <v>0</v>
      </c>
      <c r="J174" s="201">
        <f t="shared" si="44"/>
        <v>0</v>
      </c>
      <c r="K174" s="201">
        <f t="shared" si="44"/>
        <v>0</v>
      </c>
      <c r="L174" s="201">
        <f t="shared" si="44"/>
        <v>0</v>
      </c>
    </row>
    <row r="175" spans="1:12" x14ac:dyDescent="0.25">
      <c r="A175" s="202" t="s">
        <v>1690</v>
      </c>
      <c r="B175" s="200" t="s">
        <v>1629</v>
      </c>
      <c r="C175" s="201">
        <f t="shared" si="44"/>
        <v>2.9848752548173735E-3</v>
      </c>
      <c r="D175" s="201">
        <f t="shared" si="44"/>
        <v>2.4809278319069009E-4</v>
      </c>
      <c r="E175" s="201">
        <f t="shared" si="44"/>
        <v>2.2294923896442748E-2</v>
      </c>
      <c r="F175" s="201">
        <f t="shared" si="44"/>
        <v>3.0321868684922371E-2</v>
      </c>
      <c r="G175" s="201">
        <f t="shared" si="44"/>
        <v>2.0636581102003365E-2</v>
      </c>
      <c r="H175" s="201">
        <f t="shared" si="44"/>
        <v>3.3229473661791952E-3</v>
      </c>
      <c r="I175" s="201">
        <f t="shared" si="44"/>
        <v>5.5279998835767201E-3</v>
      </c>
      <c r="J175" s="201">
        <f t="shared" si="44"/>
        <v>0</v>
      </c>
      <c r="K175" s="201">
        <f t="shared" si="44"/>
        <v>0</v>
      </c>
      <c r="L175" s="201">
        <f t="shared" si="44"/>
        <v>0</v>
      </c>
    </row>
    <row r="176" spans="1:12" x14ac:dyDescent="0.25">
      <c r="A176" s="202" t="s">
        <v>1690</v>
      </c>
      <c r="B176" s="200" t="s">
        <v>1630</v>
      </c>
      <c r="C176" s="201">
        <f t="shared" si="44"/>
        <v>1.0450625607218416E-3</v>
      </c>
      <c r="D176" s="201">
        <f t="shared" si="44"/>
        <v>1.6118248365780635E-4</v>
      </c>
      <c r="E176" s="201">
        <f t="shared" si="44"/>
        <v>1.6893439990653489E-2</v>
      </c>
      <c r="F176" s="201">
        <f t="shared" si="44"/>
        <v>2.1817771904994201E-2</v>
      </c>
      <c r="G176" s="201">
        <f t="shared" si="44"/>
        <v>1.4980535554432909E-2</v>
      </c>
      <c r="H176" s="201">
        <f t="shared" si="44"/>
        <v>2.207449738177113E-3</v>
      </c>
      <c r="I176" s="201">
        <f t="shared" si="44"/>
        <v>3.9335585010415782E-3</v>
      </c>
      <c r="J176" s="201">
        <f t="shared" si="44"/>
        <v>0</v>
      </c>
      <c r="K176" s="201">
        <f t="shared" si="44"/>
        <v>0</v>
      </c>
      <c r="L176" s="201">
        <f t="shared" si="44"/>
        <v>0</v>
      </c>
    </row>
    <row r="177" spans="1:12" x14ac:dyDescent="0.25">
      <c r="A177" s="202" t="s">
        <v>1690</v>
      </c>
      <c r="B177" s="200" t="s">
        <v>1641</v>
      </c>
      <c r="C177" s="201">
        <f t="shared" si="44"/>
        <v>6.1344199573391003E-2</v>
      </c>
      <c r="D177" s="201">
        <f t="shared" si="44"/>
        <v>0</v>
      </c>
      <c r="E177" s="201">
        <f t="shared" si="44"/>
        <v>2.559253859981475E-3</v>
      </c>
      <c r="F177" s="201">
        <f t="shared" si="44"/>
        <v>2.2223509335109765E-2</v>
      </c>
      <c r="G177" s="201">
        <f t="shared" si="44"/>
        <v>1.4426523481513038E-2</v>
      </c>
      <c r="H177" s="201">
        <f t="shared" si="44"/>
        <v>6.4127727340232178E-3</v>
      </c>
      <c r="I177" s="201">
        <f t="shared" si="44"/>
        <v>0</v>
      </c>
      <c r="J177" s="201">
        <f t="shared" si="44"/>
        <v>0</v>
      </c>
      <c r="K177" s="201">
        <f t="shared" si="44"/>
        <v>0</v>
      </c>
      <c r="L177" s="201">
        <f t="shared" si="44"/>
        <v>0</v>
      </c>
    </row>
    <row r="178" spans="1:12" x14ac:dyDescent="0.25">
      <c r="A178" s="202" t="s">
        <v>1690</v>
      </c>
      <c r="B178" s="200" t="s">
        <v>1631</v>
      </c>
      <c r="C178" s="201">
        <f t="shared" si="44"/>
        <v>2.9848752548173735E-3</v>
      </c>
      <c r="D178" s="201">
        <f t="shared" si="44"/>
        <v>2.4809278319069009E-4</v>
      </c>
      <c r="E178" s="201">
        <f t="shared" si="44"/>
        <v>2.2294923896442748E-2</v>
      </c>
      <c r="F178" s="201">
        <f t="shared" si="44"/>
        <v>3.0321868684922371E-2</v>
      </c>
      <c r="G178" s="201">
        <f t="shared" si="44"/>
        <v>2.0636581102003365E-2</v>
      </c>
      <c r="H178" s="201">
        <f t="shared" si="44"/>
        <v>3.3229473661791952E-3</v>
      </c>
      <c r="I178" s="201">
        <f t="shared" si="44"/>
        <v>5.5279998835767201E-3</v>
      </c>
      <c r="J178" s="201">
        <f t="shared" si="44"/>
        <v>0</v>
      </c>
      <c r="K178" s="201">
        <f t="shared" si="44"/>
        <v>0</v>
      </c>
      <c r="L178" s="201">
        <f t="shared" si="44"/>
        <v>0</v>
      </c>
    </row>
    <row r="179" spans="1:12" x14ac:dyDescent="0.25">
      <c r="A179" s="202" t="s">
        <v>1690</v>
      </c>
      <c r="B179" s="200" t="s">
        <v>1636</v>
      </c>
      <c r="C179" s="201">
        <f t="shared" si="44"/>
        <v>1.0674830290982332E-2</v>
      </c>
      <c r="D179" s="201">
        <f t="shared" si="44"/>
        <v>4.871996220532789E-3</v>
      </c>
      <c r="E179" s="201">
        <f t="shared" si="44"/>
        <v>6.6734563801830824E-3</v>
      </c>
      <c r="F179" s="201">
        <f t="shared" si="44"/>
        <v>3.6633223167020848E-2</v>
      </c>
      <c r="G179" s="201">
        <f t="shared" si="44"/>
        <v>3.8844257277219833E-3</v>
      </c>
      <c r="H179" s="201">
        <f t="shared" si="44"/>
        <v>1.7266765223094007E-3</v>
      </c>
      <c r="I179" s="201">
        <f t="shared" si="44"/>
        <v>8.8003293031227361E-4</v>
      </c>
      <c r="J179" s="201">
        <f t="shared" si="44"/>
        <v>0</v>
      </c>
      <c r="K179" s="201">
        <f t="shared" si="44"/>
        <v>0</v>
      </c>
      <c r="L179" s="201">
        <f t="shared" si="44"/>
        <v>0</v>
      </c>
    </row>
    <row r="180" spans="1:12" x14ac:dyDescent="0.25">
      <c r="A180" s="202" t="s">
        <v>1690</v>
      </c>
      <c r="B180" s="200" t="s">
        <v>1721</v>
      </c>
      <c r="C180" s="201">
        <f t="shared" si="44"/>
        <v>5.8472816458966251E-2</v>
      </c>
      <c r="D180" s="201">
        <f t="shared" si="44"/>
        <v>0.21446492376143836</v>
      </c>
      <c r="E180" s="201">
        <f t="shared" si="44"/>
        <v>1.4114546710139522E-2</v>
      </c>
      <c r="F180" s="201">
        <f t="shared" si="44"/>
        <v>0</v>
      </c>
      <c r="G180" s="201">
        <f t="shared" si="44"/>
        <v>0</v>
      </c>
      <c r="H180" s="201">
        <f t="shared" si="44"/>
        <v>0</v>
      </c>
      <c r="I180" s="201">
        <f t="shared" si="44"/>
        <v>0</v>
      </c>
      <c r="J180" s="201">
        <f t="shared" si="44"/>
        <v>0</v>
      </c>
      <c r="K180" s="201">
        <f t="shared" si="44"/>
        <v>4.0149724696606727E-3</v>
      </c>
      <c r="L180" s="201">
        <f t="shared" si="44"/>
        <v>2.0074862348303363E-3</v>
      </c>
    </row>
    <row r="181" spans="1:12" x14ac:dyDescent="0.25">
      <c r="A181" s="204" t="s">
        <v>1695</v>
      </c>
      <c r="B181" t="s">
        <v>1710</v>
      </c>
      <c r="C181" s="157">
        <f>C157/SUM($C$157:$L$157)</f>
        <v>1.8083268150963106E-2</v>
      </c>
      <c r="D181" s="157">
        <f t="shared" ref="D181:L181" si="45">D157/SUM($C$157:$L$157)</f>
        <v>0</v>
      </c>
      <c r="E181" s="157">
        <f t="shared" si="45"/>
        <v>0.5281018587086086</v>
      </c>
      <c r="F181" s="157">
        <f t="shared" si="45"/>
        <v>0.25986126824704009</v>
      </c>
      <c r="G181" s="157">
        <f t="shared" si="45"/>
        <v>0</v>
      </c>
      <c r="H181" s="157">
        <f t="shared" si="45"/>
        <v>0</v>
      </c>
      <c r="I181" s="157">
        <f t="shared" si="45"/>
        <v>0</v>
      </c>
      <c r="J181" s="157">
        <f t="shared" si="45"/>
        <v>0</v>
      </c>
      <c r="K181" s="157">
        <f t="shared" si="45"/>
        <v>0</v>
      </c>
      <c r="L181" s="157">
        <f t="shared" si="45"/>
        <v>0.19395360489338814</v>
      </c>
    </row>
    <row r="182" spans="1:12" ht="15.75" thickBot="1" x14ac:dyDescent="0.3">
      <c r="A182" s="203" t="s">
        <v>1696</v>
      </c>
      <c r="B182" s="200" t="s">
        <v>1718</v>
      </c>
      <c r="C182" s="201">
        <f>C158/SUM($C$158:$L$159)</f>
        <v>0</v>
      </c>
      <c r="D182" s="201">
        <f t="shared" ref="D182:L182" si="46">D158/SUM($C$158:$L$159)</f>
        <v>0</v>
      </c>
      <c r="E182" s="201">
        <f t="shared" si="46"/>
        <v>0</v>
      </c>
      <c r="F182" s="201">
        <f t="shared" si="46"/>
        <v>0.14400000000000002</v>
      </c>
      <c r="G182" s="201">
        <f t="shared" si="46"/>
        <v>0</v>
      </c>
      <c r="H182" s="201">
        <f t="shared" si="46"/>
        <v>0</v>
      </c>
      <c r="I182" s="201">
        <f t="shared" si="46"/>
        <v>0</v>
      </c>
      <c r="J182" s="201">
        <f t="shared" si="46"/>
        <v>0</v>
      </c>
      <c r="K182" s="201">
        <f t="shared" si="46"/>
        <v>0</v>
      </c>
      <c r="L182" s="201">
        <f t="shared" si="46"/>
        <v>3.6000000000000004E-2</v>
      </c>
    </row>
    <row r="183" spans="1:12" ht="15.75" thickBot="1" x14ac:dyDescent="0.3">
      <c r="A183" s="203" t="s">
        <v>1696</v>
      </c>
      <c r="B183" s="200" t="s">
        <v>1721</v>
      </c>
      <c r="C183" s="201">
        <f>C159/SUM($C$158:$L$159)</f>
        <v>0.11764705882352942</v>
      </c>
      <c r="D183" s="201">
        <f t="shared" ref="D183:L183" si="47">D159/SUM($C$158:$L$159)</f>
        <v>1.4705882352941178E-2</v>
      </c>
      <c r="E183" s="201">
        <f t="shared" si="47"/>
        <v>0</v>
      </c>
      <c r="F183" s="201">
        <f t="shared" si="47"/>
        <v>0.2383529411764706</v>
      </c>
      <c r="G183" s="201">
        <f t="shared" si="47"/>
        <v>0</v>
      </c>
      <c r="H183" s="201">
        <f t="shared" si="47"/>
        <v>0</v>
      </c>
      <c r="I183" s="201">
        <f t="shared" si="47"/>
        <v>4.4117647058823525E-2</v>
      </c>
      <c r="J183" s="201">
        <f t="shared" si="47"/>
        <v>0</v>
      </c>
      <c r="K183" s="201">
        <f t="shared" si="47"/>
        <v>0.23529411764705885</v>
      </c>
      <c r="L183" s="201">
        <f t="shared" si="47"/>
        <v>0.16988235294117646</v>
      </c>
    </row>
  </sheetData>
  <sortState ref="A138:L159">
    <sortCondition ref="A138"/>
  </sortState>
  <hyperlinks>
    <hyperlink ref="A1" r:id="rId2"/>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74"/>
  <sheetViews>
    <sheetView topLeftCell="A31" workbookViewId="0">
      <selection activeCell="A73" sqref="A33:A73"/>
    </sheetView>
  </sheetViews>
  <sheetFormatPr defaultRowHeight="15" x14ac:dyDescent="0.25"/>
  <cols>
    <col min="1" max="1" width="157.5703125" customWidth="1"/>
    <col min="2" max="2" width="28.5703125" bestFit="1" customWidth="1"/>
    <col min="3" max="4" width="28.5703125" customWidth="1"/>
    <col min="5" max="7" width="13.140625" customWidth="1"/>
    <col min="8" max="8" width="11.42578125" customWidth="1"/>
  </cols>
  <sheetData>
    <row r="3" spans="1:16" ht="15.75" thickBot="1" x14ac:dyDescent="0.3">
      <c r="A3" s="164" t="s">
        <v>1428</v>
      </c>
      <c r="B3" s="164" t="s">
        <v>1584</v>
      </c>
      <c r="C3" s="164"/>
      <c r="D3" s="164" t="s">
        <v>1622</v>
      </c>
      <c r="E3" s="168" t="s">
        <v>333</v>
      </c>
      <c r="F3" s="169" t="s">
        <v>869</v>
      </c>
      <c r="G3" s="169" t="s">
        <v>866</v>
      </c>
      <c r="H3" s="169" t="s">
        <v>864</v>
      </c>
      <c r="I3" s="169" t="s">
        <v>1383</v>
      </c>
      <c r="J3" s="169" t="s">
        <v>1530</v>
      </c>
      <c r="K3" s="169" t="s">
        <v>1617</v>
      </c>
      <c r="L3" s="169" t="s">
        <v>1532</v>
      </c>
      <c r="M3" s="169" t="s">
        <v>1418</v>
      </c>
      <c r="N3" s="169" t="s">
        <v>1618</v>
      </c>
      <c r="O3" s="169" t="s">
        <v>1619</v>
      </c>
      <c r="P3" s="170" t="s">
        <v>1529</v>
      </c>
    </row>
    <row r="4" spans="1:16" x14ac:dyDescent="0.25">
      <c r="A4" s="167" t="s">
        <v>1402</v>
      </c>
      <c r="B4" s="167" t="s">
        <v>1404</v>
      </c>
      <c r="C4" s="171" t="s">
        <v>1620</v>
      </c>
      <c r="D4" s="172">
        <v>3.1120990790727214E-2</v>
      </c>
      <c r="F4" s="157">
        <v>1</v>
      </c>
    </row>
    <row r="5" spans="1:16" x14ac:dyDescent="0.25">
      <c r="A5" s="167" t="s">
        <v>1402</v>
      </c>
      <c r="B5" s="167" t="s">
        <v>1536</v>
      </c>
      <c r="C5" s="171" t="s">
        <v>1621</v>
      </c>
      <c r="D5" s="172">
        <v>4.0965385836773581E-2</v>
      </c>
      <c r="E5" s="173">
        <v>4.3452017172563126E-2</v>
      </c>
      <c r="F5" s="173">
        <v>0.67151059704082627</v>
      </c>
      <c r="G5" s="173">
        <v>0</v>
      </c>
      <c r="H5" s="173">
        <v>2.7456483849792882E-2</v>
      </c>
      <c r="I5" s="173">
        <v>5.7108581000022619E-2</v>
      </c>
      <c r="J5" s="173">
        <v>0</v>
      </c>
      <c r="K5" s="173">
        <v>0.20047232093679496</v>
      </c>
    </row>
    <row r="6" spans="1:16" x14ac:dyDescent="0.25">
      <c r="A6" s="167" t="s">
        <v>1528</v>
      </c>
      <c r="B6" s="167" t="s">
        <v>1433</v>
      </c>
      <c r="C6" s="175" t="s">
        <v>1623</v>
      </c>
      <c r="D6" s="174">
        <v>0.18</v>
      </c>
      <c r="H6" s="157">
        <v>0.8</v>
      </c>
      <c r="L6" s="157">
        <v>0.2</v>
      </c>
    </row>
    <row r="7" spans="1:16" x14ac:dyDescent="0.25">
      <c r="A7" s="167" t="s">
        <v>1528</v>
      </c>
      <c r="B7" s="167" t="s">
        <v>1436</v>
      </c>
      <c r="C7" s="175" t="s">
        <v>1623</v>
      </c>
      <c r="D7" s="174">
        <v>0.54</v>
      </c>
      <c r="E7" s="173">
        <v>9.191693888473107E-2</v>
      </c>
      <c r="F7" s="173">
        <v>3.5905054251848076E-2</v>
      </c>
      <c r="G7" s="173">
        <v>1.4362021700739229E-5</v>
      </c>
      <c r="H7" s="173">
        <v>0.36262419650486971</v>
      </c>
      <c r="I7" s="173">
        <v>1.5957801889710254E-2</v>
      </c>
      <c r="J7" s="173"/>
      <c r="K7" s="173">
        <v>0.11730136542233477</v>
      </c>
      <c r="L7" s="173">
        <v>6.3831207558841016E-2</v>
      </c>
      <c r="M7" s="173">
        <v>5.5296536966099727E-3</v>
      </c>
      <c r="N7" s="173">
        <v>9.191693888473107E-2</v>
      </c>
      <c r="O7" s="173">
        <v>1.5957801889710285E-2</v>
      </c>
      <c r="P7" s="173">
        <v>0.1990446789949129</v>
      </c>
    </row>
    <row r="8" spans="1:16" x14ac:dyDescent="0.25">
      <c r="A8" s="167" t="s">
        <v>1408</v>
      </c>
      <c r="B8" s="167" t="s">
        <v>1438</v>
      </c>
      <c r="C8" s="175" t="s">
        <v>1624</v>
      </c>
      <c r="D8" s="176">
        <v>0.33761300143345951</v>
      </c>
      <c r="J8" s="173">
        <v>0.52033546283881482</v>
      </c>
      <c r="K8" s="173"/>
      <c r="L8" s="173"/>
      <c r="M8" s="173"/>
      <c r="N8" s="173"/>
      <c r="O8" s="173"/>
      <c r="P8" s="173">
        <v>0.47966453716118518</v>
      </c>
    </row>
    <row r="9" spans="1:16" x14ac:dyDescent="0.25">
      <c r="A9" s="167" t="s">
        <v>1411</v>
      </c>
      <c r="B9" t="s">
        <v>1626</v>
      </c>
      <c r="C9" s="171" t="s">
        <v>1626</v>
      </c>
      <c r="D9" s="173">
        <v>0.51131156165236791</v>
      </c>
      <c r="E9" s="173">
        <v>8.3350053173781302E-2</v>
      </c>
      <c r="F9" s="173">
        <v>0.10563330739848652</v>
      </c>
      <c r="G9" s="173">
        <v>1.298726609154173E-2</v>
      </c>
      <c r="H9" s="173">
        <v>0.18227904035920547</v>
      </c>
      <c r="I9" s="173">
        <v>7.1933593131618637E-2</v>
      </c>
      <c r="J9" s="173">
        <v>6.6026439772055752E-3</v>
      </c>
      <c r="K9" s="173">
        <v>7.8119584120982383E-2</v>
      </c>
      <c r="L9" s="173">
        <v>6.3842960893573844E-2</v>
      </c>
      <c r="M9" s="173">
        <v>4.4144964011929152E-3</v>
      </c>
      <c r="N9" s="173">
        <v>2.8076972375879423E-2</v>
      </c>
      <c r="O9" s="173">
        <v>5.8458514595570048E-2</v>
      </c>
      <c r="P9" s="173">
        <v>0.30430156748096215</v>
      </c>
    </row>
    <row r="10" spans="1:16" x14ac:dyDescent="0.25">
      <c r="A10" s="167" t="s">
        <v>1411</v>
      </c>
      <c r="B10" t="s">
        <v>1625</v>
      </c>
      <c r="C10" s="171" t="s">
        <v>1625</v>
      </c>
      <c r="D10" s="176">
        <v>0.15100792529730939</v>
      </c>
      <c r="E10" s="173">
        <v>4.2015499809563268E-2</v>
      </c>
      <c r="F10" s="173">
        <v>0.1186309020478853</v>
      </c>
      <c r="G10" s="173">
        <v>6.2522108402220397E-3</v>
      </c>
      <c r="H10" s="173">
        <v>0.11699706946376209</v>
      </c>
      <c r="I10" s="173">
        <v>4.7608337325404426E-2</v>
      </c>
      <c r="J10" s="173">
        <v>0</v>
      </c>
      <c r="K10" s="173">
        <v>8.3965221643019824E-2</v>
      </c>
      <c r="L10" s="173">
        <v>7.0087270834230664E-2</v>
      </c>
      <c r="M10" s="173">
        <v>2.3140751248598118E-3</v>
      </c>
      <c r="N10" s="173">
        <v>1.7101013493382406E-2</v>
      </c>
      <c r="O10" s="173">
        <v>7.5488051153876107E-2</v>
      </c>
      <c r="P10" s="173">
        <v>0.41954034826379416</v>
      </c>
    </row>
    <row r="11" spans="1:16" x14ac:dyDescent="0.25">
      <c r="A11" s="167" t="s">
        <v>1534</v>
      </c>
      <c r="B11" t="s">
        <v>1632</v>
      </c>
      <c r="C11" s="175" t="s">
        <v>1632</v>
      </c>
      <c r="D11" s="176">
        <v>0.37736627057015404</v>
      </c>
      <c r="E11" s="173">
        <v>5.5079559363525096E-3</v>
      </c>
      <c r="F11" s="173">
        <v>5.5079559363525096E-3</v>
      </c>
      <c r="G11" s="173">
        <v>0</v>
      </c>
      <c r="H11" s="173">
        <v>1.6523867809057527E-2</v>
      </c>
      <c r="I11" s="173">
        <v>0</v>
      </c>
      <c r="J11" s="173">
        <v>4.5899632802937568E-3</v>
      </c>
      <c r="K11" s="173">
        <v>4.1309669522643824E-2</v>
      </c>
      <c r="L11" s="173">
        <v>0.38647490820073438</v>
      </c>
      <c r="M11" s="173">
        <v>0.46664626682986537</v>
      </c>
      <c r="N11" s="173">
        <v>2.6621787025703801E-2</v>
      </c>
      <c r="O11" s="173">
        <v>4.6817625458996322E-2</v>
      </c>
      <c r="P11" s="173">
        <v>0</v>
      </c>
    </row>
    <row r="12" spans="1:16" x14ac:dyDescent="0.25">
      <c r="A12" s="167" t="s">
        <v>1464</v>
      </c>
      <c r="B12" s="167" t="s">
        <v>1473</v>
      </c>
      <c r="C12" s="175" t="s">
        <v>1637</v>
      </c>
      <c r="D12" s="176">
        <v>0.10560002496708237</v>
      </c>
      <c r="E12" s="173">
        <v>0.118409924693732</v>
      </c>
      <c r="F12" s="173">
        <v>0.33671472079211645</v>
      </c>
      <c r="G12" s="173">
        <v>5.1096397873950539E-2</v>
      </c>
      <c r="H12" s="173">
        <v>0.43830926350391647</v>
      </c>
      <c r="I12" s="173">
        <v>1.7328353022431214E-2</v>
      </c>
      <c r="J12" s="173">
        <v>0</v>
      </c>
      <c r="K12" s="173">
        <v>3.8141340113853194E-2</v>
      </c>
    </row>
    <row r="13" spans="1:16" x14ac:dyDescent="0.25">
      <c r="A13" s="167" t="s">
        <v>1464</v>
      </c>
      <c r="B13" t="s">
        <v>1616</v>
      </c>
      <c r="C13" s="175" t="s">
        <v>1634</v>
      </c>
      <c r="D13" s="173">
        <v>6.8388440831929104E-2</v>
      </c>
      <c r="E13" s="173">
        <v>0.13464430578941905</v>
      </c>
      <c r="F13" s="173">
        <v>0.2895612157837924</v>
      </c>
      <c r="G13" s="173">
        <v>4.9839570304026561E-2</v>
      </c>
      <c r="H13" s="173">
        <v>0.46112006386908683</v>
      </c>
      <c r="I13" s="173">
        <v>2.0359979775304498E-2</v>
      </c>
      <c r="J13" s="173">
        <v>0</v>
      </c>
      <c r="K13" s="173">
        <v>4.4474864478370707E-2</v>
      </c>
    </row>
    <row r="14" spans="1:16" x14ac:dyDescent="0.25">
      <c r="A14" s="167" t="s">
        <v>1464</v>
      </c>
      <c r="B14" t="s">
        <v>1633</v>
      </c>
      <c r="C14" s="175" t="s">
        <v>1633</v>
      </c>
      <c r="D14" s="176">
        <v>3.954667478031625E-3</v>
      </c>
      <c r="E14" s="173">
        <v>0.59030284721510862</v>
      </c>
      <c r="F14" s="173">
        <v>0.40969715278489144</v>
      </c>
    </row>
    <row r="15" spans="1:16" x14ac:dyDescent="0.25">
      <c r="A15" s="167" t="s">
        <v>1465</v>
      </c>
      <c r="B15" s="167" t="s">
        <v>1481</v>
      </c>
      <c r="C15" s="175" t="s">
        <v>1638</v>
      </c>
      <c r="D15" s="176">
        <v>0.16036539855358661</v>
      </c>
      <c r="E15" s="173">
        <v>0.19264096506382436</v>
      </c>
      <c r="F15" s="173">
        <v>0</v>
      </c>
      <c r="G15" s="173">
        <v>0.76641413848744944</v>
      </c>
      <c r="H15" s="173">
        <v>4.0944896448726224E-2</v>
      </c>
      <c r="I15" s="173">
        <v>0</v>
      </c>
      <c r="J15" s="173">
        <v>0</v>
      </c>
      <c r="K15" s="173">
        <v>0</v>
      </c>
    </row>
    <row r="16" spans="1:16" x14ac:dyDescent="0.25">
      <c r="A16" s="167" t="s">
        <v>1465</v>
      </c>
      <c r="B16" s="167" t="s">
        <v>1492</v>
      </c>
      <c r="C16" s="175" t="s">
        <v>1639</v>
      </c>
      <c r="D16" s="176">
        <v>9.5312839321127413E-2</v>
      </c>
      <c r="E16" s="173">
        <v>3.497738551112263E-2</v>
      </c>
      <c r="F16" s="173">
        <v>2.9072025392629223E-3</v>
      </c>
      <c r="G16" s="173">
        <v>0.26125652883096134</v>
      </c>
      <c r="H16" s="173">
        <v>0.35531792784253463</v>
      </c>
      <c r="I16" s="173">
        <v>0.24182372501878072</v>
      </c>
      <c r="J16" s="173">
        <v>3.8938984425709464E-2</v>
      </c>
      <c r="K16" s="173">
        <v>6.4778245831628292E-2</v>
      </c>
    </row>
    <row r="17" spans="1:16" x14ac:dyDescent="0.25">
      <c r="A17" s="167" t="s">
        <v>1465</v>
      </c>
      <c r="B17" s="167" t="s">
        <v>1494</v>
      </c>
      <c r="C17" s="175" t="s">
        <v>1635</v>
      </c>
      <c r="D17" s="176">
        <v>6.8174189025612703E-2</v>
      </c>
      <c r="E17" s="173">
        <v>1.71212265626953E-2</v>
      </c>
      <c r="F17" s="173">
        <v>2.6406474830914487E-3</v>
      </c>
      <c r="G17" s="173">
        <v>0.27676468794700221</v>
      </c>
      <c r="H17" s="173">
        <v>0.3574398604621325</v>
      </c>
      <c r="I17" s="173">
        <v>0.24542563564883582</v>
      </c>
      <c r="J17" s="173">
        <v>3.61645785750737E-2</v>
      </c>
      <c r="K17" s="173">
        <v>6.4443363321169095E-2</v>
      </c>
    </row>
    <row r="18" spans="1:16" x14ac:dyDescent="0.25">
      <c r="A18" s="167" t="s">
        <v>1465</v>
      </c>
      <c r="B18" s="167" t="s">
        <v>1535</v>
      </c>
      <c r="C18" s="167" t="s">
        <v>1641</v>
      </c>
      <c r="D18" s="176">
        <v>0.11947013993817714</v>
      </c>
      <c r="E18" s="173">
        <v>0.57349111912529593</v>
      </c>
      <c r="F18" s="173">
        <v>0</v>
      </c>
      <c r="G18" s="173">
        <v>2.3925805055628292E-2</v>
      </c>
      <c r="H18" s="173">
        <v>0.20776186384559001</v>
      </c>
      <c r="I18" s="173">
        <v>0.13486985165731991</v>
      </c>
      <c r="J18" s="173">
        <v>5.9951360316165971E-2</v>
      </c>
      <c r="K18" s="173">
        <v>0</v>
      </c>
    </row>
    <row r="19" spans="1:16" x14ac:dyDescent="0.25">
      <c r="A19" s="167" t="s">
        <v>1465</v>
      </c>
      <c r="B19" s="167" t="s">
        <v>1511</v>
      </c>
      <c r="C19" s="167" t="s">
        <v>1639</v>
      </c>
      <c r="D19" s="176">
        <v>9.5312839321127413E-2</v>
      </c>
      <c r="E19" s="173">
        <v>3.497738551112263E-2</v>
      </c>
      <c r="F19" s="173">
        <v>2.9072025392629223E-3</v>
      </c>
      <c r="G19" s="173">
        <v>0.26125652883096134</v>
      </c>
      <c r="H19" s="173">
        <v>0.35531792784253463</v>
      </c>
      <c r="I19" s="173">
        <v>0.24182372501878072</v>
      </c>
      <c r="J19" s="173">
        <v>3.8938984425709464E-2</v>
      </c>
      <c r="K19" s="173">
        <v>6.4778245831628292E-2</v>
      </c>
    </row>
    <row r="20" spans="1:16" x14ac:dyDescent="0.25">
      <c r="A20" s="167" t="s">
        <v>1465</v>
      </c>
      <c r="B20" t="s">
        <v>1636</v>
      </c>
      <c r="C20" s="167" t="s">
        <v>1640</v>
      </c>
      <c r="D20" s="176">
        <v>7.2983139797449428E-2</v>
      </c>
      <c r="E20" s="173">
        <v>0.16336198483252165</v>
      </c>
      <c r="F20" s="173">
        <v>7.4558466128976666E-2</v>
      </c>
      <c r="G20" s="173">
        <v>0.10212706434133305</v>
      </c>
      <c r="H20" s="173">
        <v>0.56061556804633106</v>
      </c>
      <c r="I20" s="173">
        <v>5.9445207044765171E-2</v>
      </c>
      <c r="J20" s="173">
        <v>2.6424148783560874E-2</v>
      </c>
      <c r="K20" s="173">
        <v>1.346756082251155E-2</v>
      </c>
    </row>
    <row r="21" spans="1:16" x14ac:dyDescent="0.25">
      <c r="A21" s="167" t="s">
        <v>1513</v>
      </c>
      <c r="B21" s="167" t="s">
        <v>1526</v>
      </c>
      <c r="C21" s="167" t="s">
        <v>1623</v>
      </c>
      <c r="D21" s="174">
        <v>1</v>
      </c>
      <c r="E21" s="173">
        <v>1.8083268150963106E-2</v>
      </c>
      <c r="F21" s="173">
        <v>0</v>
      </c>
      <c r="G21" s="173">
        <v>0.5281018587086086</v>
      </c>
      <c r="H21" s="173">
        <v>0.25986126824704003</v>
      </c>
      <c r="I21" s="173">
        <v>0</v>
      </c>
      <c r="J21" s="173">
        <v>0</v>
      </c>
      <c r="K21" s="173">
        <v>0</v>
      </c>
      <c r="L21" s="173">
        <v>0</v>
      </c>
      <c r="M21" s="173">
        <v>0</v>
      </c>
      <c r="N21" s="173">
        <v>0.19395360489338812</v>
      </c>
      <c r="O21" s="173">
        <v>0</v>
      </c>
      <c r="P21" s="173">
        <v>0</v>
      </c>
    </row>
    <row r="32" spans="1:16" x14ac:dyDescent="0.25">
      <c r="A32" s="164" t="s">
        <v>1345</v>
      </c>
    </row>
    <row r="33" spans="1:1" x14ac:dyDescent="0.25">
      <c r="A33" t="s">
        <v>1555</v>
      </c>
    </row>
    <row r="34" spans="1:1" x14ac:dyDescent="0.25">
      <c r="A34" t="s">
        <v>1568</v>
      </c>
    </row>
    <row r="35" spans="1:1" x14ac:dyDescent="0.25">
      <c r="A35" t="s">
        <v>1361</v>
      </c>
    </row>
    <row r="36" spans="1:1" x14ac:dyDescent="0.25">
      <c r="A36" t="s">
        <v>1560</v>
      </c>
    </row>
    <row r="37" spans="1:1" x14ac:dyDescent="0.25">
      <c r="A37" t="s">
        <v>1367</v>
      </c>
    </row>
    <row r="38" spans="1:1" x14ac:dyDescent="0.25">
      <c r="A38" t="s">
        <v>1372</v>
      </c>
    </row>
    <row r="39" spans="1:1" x14ac:dyDescent="0.25">
      <c r="A39" t="s">
        <v>1373</v>
      </c>
    </row>
    <row r="40" spans="1:1" x14ac:dyDescent="0.25">
      <c r="A40" t="s">
        <v>1379</v>
      </c>
    </row>
    <row r="41" spans="1:1" x14ac:dyDescent="0.25">
      <c r="A41" t="s">
        <v>1385</v>
      </c>
    </row>
    <row r="42" spans="1:1" x14ac:dyDescent="0.25">
      <c r="A42" t="s">
        <v>1378</v>
      </c>
    </row>
    <row r="43" spans="1:1" x14ac:dyDescent="0.25">
      <c r="A43" t="s">
        <v>1354</v>
      </c>
    </row>
    <row r="44" spans="1:1" x14ac:dyDescent="0.25">
      <c r="A44" t="s">
        <v>1419</v>
      </c>
    </row>
    <row r="45" spans="1:1" x14ac:dyDescent="0.25">
      <c r="A45" t="s">
        <v>1564</v>
      </c>
    </row>
    <row r="46" spans="1:1" x14ac:dyDescent="0.25">
      <c r="A46" t="s">
        <v>1366</v>
      </c>
    </row>
    <row r="47" spans="1:1" x14ac:dyDescent="0.25">
      <c r="A47" t="s">
        <v>1581</v>
      </c>
    </row>
    <row r="48" spans="1:1" x14ac:dyDescent="0.25">
      <c r="A48" t="s">
        <v>1577</v>
      </c>
    </row>
    <row r="49" spans="1:1" x14ac:dyDescent="0.25">
      <c r="A49" t="s">
        <v>1368</v>
      </c>
    </row>
    <row r="50" spans="1:1" x14ac:dyDescent="0.25">
      <c r="A50" t="s">
        <v>1579</v>
      </c>
    </row>
    <row r="51" spans="1:1" x14ac:dyDescent="0.25">
      <c r="A51" t="s">
        <v>1391</v>
      </c>
    </row>
    <row r="52" spans="1:1" x14ac:dyDescent="0.25">
      <c r="A52" t="s">
        <v>1566</v>
      </c>
    </row>
    <row r="53" spans="1:1" x14ac:dyDescent="0.25">
      <c r="A53" t="s">
        <v>1567</v>
      </c>
    </row>
    <row r="54" spans="1:1" x14ac:dyDescent="0.25">
      <c r="A54" t="s">
        <v>1574</v>
      </c>
    </row>
    <row r="55" spans="1:1" x14ac:dyDescent="0.25">
      <c r="A55" t="s">
        <v>1381</v>
      </c>
    </row>
    <row r="56" spans="1:1" x14ac:dyDescent="0.25">
      <c r="A56" t="s">
        <v>1576</v>
      </c>
    </row>
    <row r="57" spans="1:1" x14ac:dyDescent="0.25">
      <c r="A57" t="s">
        <v>1586</v>
      </c>
    </row>
    <row r="58" spans="1:1" x14ac:dyDescent="0.25">
      <c r="A58" t="s">
        <v>1395</v>
      </c>
    </row>
    <row r="59" spans="1:1" x14ac:dyDescent="0.25">
      <c r="A59" t="s">
        <v>1349</v>
      </c>
    </row>
    <row r="60" spans="1:1" x14ac:dyDescent="0.25">
      <c r="A60" t="s">
        <v>1389</v>
      </c>
    </row>
    <row r="61" spans="1:1" x14ac:dyDescent="0.25">
      <c r="A61" t="s">
        <v>1356</v>
      </c>
    </row>
    <row r="62" spans="1:1" x14ac:dyDescent="0.25">
      <c r="A62" t="s">
        <v>1359</v>
      </c>
    </row>
    <row r="63" spans="1:1" x14ac:dyDescent="0.25">
      <c r="A63" t="s">
        <v>1583</v>
      </c>
    </row>
    <row r="64" spans="1:1" x14ac:dyDescent="0.25">
      <c r="A64" t="s">
        <v>1569</v>
      </c>
    </row>
    <row r="65" spans="1:1" x14ac:dyDescent="0.25">
      <c r="A65" t="s">
        <v>1365</v>
      </c>
    </row>
    <row r="66" spans="1:1" x14ac:dyDescent="0.25">
      <c r="A66" t="s">
        <v>1394</v>
      </c>
    </row>
    <row r="67" spans="1:1" x14ac:dyDescent="0.25">
      <c r="A67" t="s">
        <v>1571</v>
      </c>
    </row>
    <row r="68" spans="1:1" x14ac:dyDescent="0.25">
      <c r="A68" t="s">
        <v>1350</v>
      </c>
    </row>
    <row r="69" spans="1:1" x14ac:dyDescent="0.25">
      <c r="A69" t="s">
        <v>1594</v>
      </c>
    </row>
    <row r="70" spans="1:1" x14ac:dyDescent="0.25">
      <c r="A70" t="s">
        <v>1423</v>
      </c>
    </row>
    <row r="71" spans="1:1" x14ac:dyDescent="0.25">
      <c r="A71" t="s">
        <v>1558</v>
      </c>
    </row>
    <row r="72" spans="1:1" x14ac:dyDescent="0.25">
      <c r="A72" t="s">
        <v>1590</v>
      </c>
    </row>
    <row r="73" spans="1:1" x14ac:dyDescent="0.25">
      <c r="A73" t="s">
        <v>1363</v>
      </c>
    </row>
    <row r="74" spans="1:1" x14ac:dyDescent="0.25">
      <c r="A74" t="s">
        <v>1611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6"/>
  <sheetViews>
    <sheetView workbookViewId="0">
      <selection activeCell="D66" sqref="D66"/>
    </sheetView>
  </sheetViews>
  <sheetFormatPr defaultRowHeight="15" x14ac:dyDescent="0.25"/>
  <cols>
    <col min="1" max="1" width="19" customWidth="1"/>
    <col min="2" max="4" width="19.42578125" customWidth="1"/>
    <col min="5" max="5" width="11.85546875" customWidth="1"/>
    <col min="8" max="8" width="11" customWidth="1"/>
    <col min="9" max="9" width="13" customWidth="1"/>
  </cols>
  <sheetData>
    <row r="1" spans="1:12" x14ac:dyDescent="0.25">
      <c r="A1" t="s">
        <v>1342</v>
      </c>
      <c r="B1" t="s">
        <v>1343</v>
      </c>
      <c r="C1" t="s">
        <v>1608</v>
      </c>
      <c r="D1" t="s">
        <v>1344</v>
      </c>
      <c r="E1" t="s">
        <v>1345</v>
      </c>
      <c r="F1" t="s">
        <v>827</v>
      </c>
      <c r="G1" t="s">
        <v>1346</v>
      </c>
      <c r="H1" t="s">
        <v>1543</v>
      </c>
      <c r="I1" t="s">
        <v>1369</v>
      </c>
      <c r="J1" t="s">
        <v>1584</v>
      </c>
      <c r="K1" t="s">
        <v>1428</v>
      </c>
      <c r="L1" t="s">
        <v>1613</v>
      </c>
    </row>
    <row r="2" spans="1:12" x14ac:dyDescent="0.25">
      <c r="A2" t="s">
        <v>1135</v>
      </c>
      <c r="B2" t="s">
        <v>866</v>
      </c>
      <c r="D2">
        <f>19.2/24</f>
        <v>0.79999999999999993</v>
      </c>
      <c r="E2" t="s">
        <v>1363</v>
      </c>
      <c r="F2">
        <v>2022</v>
      </c>
      <c r="G2" t="s">
        <v>1362</v>
      </c>
      <c r="I2" t="s">
        <v>1370</v>
      </c>
      <c r="J2" t="s">
        <v>1481</v>
      </c>
      <c r="K2" t="s">
        <v>1465</v>
      </c>
      <c r="L2" t="s">
        <v>40</v>
      </c>
    </row>
    <row r="3" spans="1:12" hidden="1" x14ac:dyDescent="0.25">
      <c r="A3" t="s">
        <v>867</v>
      </c>
      <c r="B3" t="s">
        <v>866</v>
      </c>
      <c r="C3">
        <f>INDEX(density!$B$2:$B$17,MATCH(Table3[[#This Row],[bio-based plastics]],density!$A$2:$A$17,0))/INDEX(density!$B$2:$B$17,MATCH(Table3[[#This Row],[traditional plastics]],density!$A$2:$A$17,0))</f>
        <v>0.9051094890510949</v>
      </c>
      <c r="D3">
        <f>22.8/23.5</f>
        <v>0.97021276595744688</v>
      </c>
      <c r="E3" s="65" t="s">
        <v>1365</v>
      </c>
      <c r="F3">
        <v>2021</v>
      </c>
      <c r="G3" t="s">
        <v>1364</v>
      </c>
      <c r="I3" t="s">
        <v>1370</v>
      </c>
      <c r="J3" t="s">
        <v>1481</v>
      </c>
      <c r="K3" t="s">
        <v>1465</v>
      </c>
      <c r="L3" t="s">
        <v>40</v>
      </c>
    </row>
    <row r="4" spans="1:12" hidden="1" x14ac:dyDescent="0.25">
      <c r="A4" t="s">
        <v>867</v>
      </c>
      <c r="B4" t="s">
        <v>866</v>
      </c>
      <c r="C4">
        <f>INDEX(density!$B$2:$B$17,MATCH(Table3[[#This Row],[bio-based plastics]],density!$A$2:$A$17,0))/INDEX(density!$B$2:$B$17,MATCH(Table3[[#This Row],[traditional plastics]],density!$A$2:$A$17,0))</f>
        <v>0.9051094890510949</v>
      </c>
      <c r="D4">
        <f>11.28/19.1</f>
        <v>0.59057591623036643</v>
      </c>
      <c r="E4" t="s">
        <v>1366</v>
      </c>
      <c r="F4">
        <v>2021</v>
      </c>
      <c r="I4" t="s">
        <v>1370</v>
      </c>
      <c r="J4" t="s">
        <v>1481</v>
      </c>
      <c r="K4" t="s">
        <v>1465</v>
      </c>
      <c r="L4" t="s">
        <v>40</v>
      </c>
    </row>
    <row r="5" spans="1:12" hidden="1" x14ac:dyDescent="0.25">
      <c r="A5" t="s">
        <v>867</v>
      </c>
      <c r="B5" t="s">
        <v>866</v>
      </c>
      <c r="C5">
        <f>INDEX(density!$B$2:$B$17,MATCH(Table3[[#This Row],[bio-based plastics]],density!$A$2:$A$17,0))/INDEX(density!$B$2:$B$17,MATCH(Table3[[#This Row],[traditional plastics]],density!$A$2:$A$17,0))</f>
        <v>0.9051094890510949</v>
      </c>
      <c r="D5">
        <v>1</v>
      </c>
      <c r="E5" t="s">
        <v>1367</v>
      </c>
      <c r="F5">
        <v>2010</v>
      </c>
      <c r="G5">
        <v>12.58</v>
      </c>
      <c r="I5" t="s">
        <v>1370</v>
      </c>
      <c r="J5" t="s">
        <v>1481</v>
      </c>
      <c r="K5" t="s">
        <v>1465</v>
      </c>
      <c r="L5" t="s">
        <v>40</v>
      </c>
    </row>
    <row r="6" spans="1:12" hidden="1" x14ac:dyDescent="0.25">
      <c r="A6" t="s">
        <v>867</v>
      </c>
      <c r="B6" t="s">
        <v>866</v>
      </c>
      <c r="C6">
        <f>INDEX(density!$B$2:$B$17,MATCH(Table3[[#This Row],[bio-based plastics]],density!$A$2:$A$17,0))/INDEX(density!$B$2:$B$17,MATCH(Table3[[#This Row],[traditional plastics]],density!$A$2:$A$17,0))</f>
        <v>0.9051094890510949</v>
      </c>
      <c r="D6">
        <f>16.35/16.26</f>
        <v>1.0055350553505535</v>
      </c>
      <c r="E6" t="s">
        <v>1368</v>
      </c>
      <c r="F6">
        <v>2014</v>
      </c>
      <c r="I6" t="s">
        <v>1370</v>
      </c>
      <c r="J6" t="s">
        <v>1481</v>
      </c>
      <c r="K6" t="s">
        <v>1465</v>
      </c>
      <c r="L6" t="s">
        <v>40</v>
      </c>
    </row>
    <row r="7" spans="1:12" hidden="1" x14ac:dyDescent="0.25">
      <c r="A7" t="s">
        <v>1347</v>
      </c>
      <c r="B7" t="s">
        <v>869</v>
      </c>
      <c r="C7">
        <f>INDEX(density!$B$2:$B$17,MATCH(Table3[[#This Row],[bio-based plastics]],density!$A$2:$A$17,0))/INDEX(density!$B$2:$B$17,MATCH(Table3[[#This Row],[traditional plastics]],density!$A$2:$A$17,0))</f>
        <v>1.3695652173913044</v>
      </c>
      <c r="D7">
        <f>12.6/12.88</f>
        <v>0.97826086956521729</v>
      </c>
      <c r="E7" t="s">
        <v>1349</v>
      </c>
      <c r="F7">
        <v>2023</v>
      </c>
      <c r="G7" t="s">
        <v>1348</v>
      </c>
      <c r="I7" t="s">
        <v>1403</v>
      </c>
      <c r="J7" t="s">
        <v>1404</v>
      </c>
      <c r="K7" t="s">
        <v>1402</v>
      </c>
      <c r="L7" t="s">
        <v>40</v>
      </c>
    </row>
    <row r="8" spans="1:12" hidden="1" x14ac:dyDescent="0.25">
      <c r="A8" t="s">
        <v>1351</v>
      </c>
      <c r="B8" t="s">
        <v>870</v>
      </c>
      <c r="C8" t="e">
        <f>INDEX(density!$B$2:$B$17,MATCH(Table3[[#This Row],[bio-based plastics]],density!$A$2:$A$17,0))/INDEX(density!$B$2:$B$17,MATCH(Table3[[#This Row],[traditional plastics]],density!$A$2:$A$17,0))</f>
        <v>#N/A</v>
      </c>
      <c r="D8">
        <f>152/185</f>
        <v>0.82162162162162167</v>
      </c>
      <c r="E8" s="65" t="s">
        <v>1350</v>
      </c>
      <c r="F8">
        <v>2020</v>
      </c>
      <c r="G8" t="s">
        <v>1352</v>
      </c>
      <c r="I8" t="s">
        <v>1403</v>
      </c>
      <c r="J8" t="s">
        <v>1404</v>
      </c>
      <c r="K8" t="s">
        <v>1402</v>
      </c>
      <c r="L8" t="s">
        <v>40</v>
      </c>
    </row>
    <row r="9" spans="1:12" hidden="1" x14ac:dyDescent="0.25">
      <c r="A9" t="s">
        <v>1353</v>
      </c>
      <c r="B9" t="s">
        <v>869</v>
      </c>
      <c r="C9" t="e">
        <f>INDEX(density!$B$2:$B$17,MATCH(Table3[[#This Row],[bio-based plastics]],density!$A$2:$A$17,0))/INDEX(density!$B$2:$B$17,MATCH(Table3[[#This Row],[traditional plastics]],density!$A$2:$A$17,0))</f>
        <v>#N/A</v>
      </c>
      <c r="D9">
        <f>93.375/92.13</f>
        <v>1.0135135135135136</v>
      </c>
      <c r="E9" t="s">
        <v>1354</v>
      </c>
      <c r="F9">
        <v>2024</v>
      </c>
      <c r="G9" t="s">
        <v>1355</v>
      </c>
      <c r="I9" t="s">
        <v>1403</v>
      </c>
      <c r="J9" t="s">
        <v>1404</v>
      </c>
      <c r="K9" t="s">
        <v>1402</v>
      </c>
      <c r="L9" t="s">
        <v>40</v>
      </c>
    </row>
    <row r="10" spans="1:12" hidden="1" x14ac:dyDescent="0.25">
      <c r="A10" t="s">
        <v>867</v>
      </c>
      <c r="B10" t="s">
        <v>869</v>
      </c>
      <c r="C10">
        <f>INDEX(density!$B$2:$B$17,MATCH(Table3[[#This Row],[bio-based plastics]],density!$A$2:$A$17,0))/INDEX(density!$B$2:$B$17,MATCH(Table3[[#This Row],[traditional plastics]],density!$A$2:$A$17,0))</f>
        <v>1.3478260869565217</v>
      </c>
      <c r="D10">
        <v>1</v>
      </c>
      <c r="E10" t="s">
        <v>1356</v>
      </c>
      <c r="F10">
        <v>2024</v>
      </c>
      <c r="G10" t="s">
        <v>1357</v>
      </c>
      <c r="I10" t="s">
        <v>1403</v>
      </c>
      <c r="J10" t="s">
        <v>1404</v>
      </c>
      <c r="K10" t="s">
        <v>1402</v>
      </c>
      <c r="L10" t="s">
        <v>40</v>
      </c>
    </row>
    <row r="11" spans="1:12" hidden="1" x14ac:dyDescent="0.25">
      <c r="A11" t="s">
        <v>1347</v>
      </c>
      <c r="B11" t="s">
        <v>869</v>
      </c>
      <c r="C11">
        <f>INDEX(density!$B$2:$B$17,MATCH(Table3[[#This Row],[bio-based plastics]],density!$A$2:$A$17,0))/INDEX(density!$B$2:$B$17,MATCH(Table3[[#This Row],[traditional plastics]],density!$A$2:$A$17,0))</f>
        <v>1.3695652173913044</v>
      </c>
      <c r="D11">
        <f>109/150</f>
        <v>0.72666666666666668</v>
      </c>
      <c r="E11" t="s">
        <v>1359</v>
      </c>
      <c r="F11">
        <v>2014</v>
      </c>
      <c r="G11" t="s">
        <v>1358</v>
      </c>
      <c r="I11" t="s">
        <v>1403</v>
      </c>
      <c r="J11" t="s">
        <v>1404</v>
      </c>
      <c r="K11" t="s">
        <v>1402</v>
      </c>
      <c r="L11" t="s">
        <v>40</v>
      </c>
    </row>
    <row r="12" spans="1:12" hidden="1" x14ac:dyDescent="0.25">
      <c r="A12" t="s">
        <v>865</v>
      </c>
      <c r="B12" t="s">
        <v>869</v>
      </c>
      <c r="C12">
        <f>INDEX(density!$B$2:$B$17,MATCH(Table3[[#This Row],[bio-based plastics]],density!$A$2:$A$17,0))/INDEX(density!$B$2:$B$17,MATCH(Table3[[#This Row],[traditional plastics]],density!$A$2:$A$17,0))</f>
        <v>1.3586956521739131</v>
      </c>
      <c r="D12">
        <v>1</v>
      </c>
      <c r="E12" t="s">
        <v>1361</v>
      </c>
      <c r="F12">
        <v>2018</v>
      </c>
      <c r="G12" t="s">
        <v>1360</v>
      </c>
      <c r="I12" t="s">
        <v>1403</v>
      </c>
      <c r="J12" t="s">
        <v>1404</v>
      </c>
      <c r="K12" t="s">
        <v>1402</v>
      </c>
      <c r="L12" t="s">
        <v>40</v>
      </c>
    </row>
    <row r="13" spans="1:12" hidden="1" x14ac:dyDescent="0.25">
      <c r="A13" t="s">
        <v>867</v>
      </c>
      <c r="B13" t="s">
        <v>866</v>
      </c>
      <c r="C13">
        <f>INDEX(density!$B$2:$B$17,MATCH(Table3[[#This Row],[bio-based plastics]],density!$A$2:$A$17,0))/INDEX(density!$B$2:$B$17,MATCH(Table3[[#This Row],[traditional plastics]],density!$A$2:$A$17,0))</f>
        <v>0.9051094890510949</v>
      </c>
      <c r="D13">
        <f>26.79/24.72</f>
        <v>1.0837378640776698</v>
      </c>
      <c r="E13" t="s">
        <v>1372</v>
      </c>
      <c r="F13">
        <v>2021</v>
      </c>
      <c r="I13" t="s">
        <v>1371</v>
      </c>
      <c r="J13" t="s">
        <v>1481</v>
      </c>
      <c r="K13" t="s">
        <v>1465</v>
      </c>
      <c r="L13" t="s">
        <v>40</v>
      </c>
    </row>
    <row r="14" spans="1:12" hidden="1" x14ac:dyDescent="0.25">
      <c r="A14" t="s">
        <v>867</v>
      </c>
      <c r="B14" t="s">
        <v>333</v>
      </c>
      <c r="C14">
        <f>INDEX(density!$B$2:$B$17,MATCH(Table3[[#This Row],[bio-based plastics]],density!$A$2:$A$17,0))/INDEX(density!$B$2:$B$17,MATCH(Table3[[#This Row],[traditional plastics]],density!$A$2:$A$17,0))</f>
        <v>1.3011542497376705</v>
      </c>
      <c r="D14">
        <f>25.2/31.6</f>
        <v>0.79746835443037967</v>
      </c>
      <c r="E14" t="s">
        <v>1373</v>
      </c>
      <c r="F14">
        <v>2021</v>
      </c>
      <c r="I14" t="s">
        <v>1371</v>
      </c>
      <c r="J14" t="s">
        <v>1481</v>
      </c>
      <c r="K14" t="s">
        <v>1465</v>
      </c>
      <c r="L14" t="s">
        <v>40</v>
      </c>
    </row>
    <row r="15" spans="1:12" hidden="1" x14ac:dyDescent="0.25">
      <c r="A15" t="s">
        <v>867</v>
      </c>
      <c r="B15" t="s">
        <v>866</v>
      </c>
      <c r="C15">
        <f>INDEX(density!$B$2:$B$17,MATCH(Table3[[#This Row],[bio-based plastics]],density!$A$2:$A$17,0))/INDEX(density!$B$2:$B$17,MATCH(Table3[[#This Row],[traditional plastics]],density!$A$2:$A$17,0))</f>
        <v>0.9051094890510949</v>
      </c>
      <c r="D15">
        <v>1</v>
      </c>
      <c r="E15" s="65" t="s">
        <v>1373</v>
      </c>
      <c r="F15">
        <v>2021</v>
      </c>
      <c r="I15" t="s">
        <v>1371</v>
      </c>
      <c r="J15" t="s">
        <v>1481</v>
      </c>
      <c r="K15" t="s">
        <v>1465</v>
      </c>
      <c r="L15" t="s">
        <v>40</v>
      </c>
    </row>
    <row r="16" spans="1:12" hidden="1" x14ac:dyDescent="0.25">
      <c r="A16" t="s">
        <v>1376</v>
      </c>
      <c r="B16" t="s">
        <v>333</v>
      </c>
      <c r="C16" t="e">
        <f>INDEX(density!$B$2:$B$17,MATCH(Table3[[#This Row],[bio-based plastics]],density!$A$2:$A$17,0))/INDEX(density!$B$2:$B$17,MATCH(Table3[[#This Row],[traditional plastics]],density!$A$2:$A$17,0))</f>
        <v>#N/A</v>
      </c>
      <c r="D16">
        <f>1063.8/572</f>
        <v>1.8597902097902097</v>
      </c>
      <c r="E16" t="s">
        <v>1378</v>
      </c>
      <c r="F16">
        <v>2022</v>
      </c>
      <c r="G16" t="s">
        <v>1374</v>
      </c>
      <c r="I16" t="s">
        <v>1468</v>
      </c>
      <c r="J16" s="175" t="s">
        <v>1633</v>
      </c>
      <c r="K16" t="s">
        <v>1464</v>
      </c>
      <c r="L16" t="s">
        <v>40</v>
      </c>
    </row>
    <row r="17" spans="1:12" hidden="1" x14ac:dyDescent="0.25">
      <c r="A17" t="s">
        <v>1377</v>
      </c>
      <c r="B17" t="s">
        <v>333</v>
      </c>
      <c r="C17" t="e">
        <f>INDEX(density!$B$2:$B$17,MATCH(Table3[[#This Row],[bio-based plastics]],density!$A$2:$A$17,0))/INDEX(density!$B$2:$B$17,MATCH(Table3[[#This Row],[traditional plastics]],density!$A$2:$A$17,0))</f>
        <v>#N/A</v>
      </c>
      <c r="D17">
        <f>435.24/572</f>
        <v>0.76090909090909098</v>
      </c>
      <c r="E17" t="s">
        <v>1378</v>
      </c>
      <c r="F17">
        <v>2022</v>
      </c>
      <c r="I17" t="s">
        <v>1468</v>
      </c>
      <c r="J17" s="175" t="s">
        <v>1633</v>
      </c>
      <c r="K17" t="s">
        <v>1464</v>
      </c>
      <c r="L17" t="s">
        <v>40</v>
      </c>
    </row>
    <row r="18" spans="1:12" hidden="1" x14ac:dyDescent="0.25">
      <c r="A18" t="s">
        <v>862</v>
      </c>
      <c r="B18" t="s">
        <v>864</v>
      </c>
      <c r="C18">
        <f>INDEX(density!$B$2:$B$17,MATCH(Table3[[#This Row],[bio-based plastics]],density!$A$2:$A$17,0))/INDEX(density!$B$2:$B$17,MATCH(Table3[[#This Row],[traditional plastics]],density!$A$2:$A$17,0))</f>
        <v>1.3774104683195592</v>
      </c>
      <c r="D18">
        <f>9.03/4.9</f>
        <v>1.8428571428571425</v>
      </c>
      <c r="E18" s="65" t="s">
        <v>1379</v>
      </c>
      <c r="F18">
        <v>2010</v>
      </c>
      <c r="G18" t="s">
        <v>1380</v>
      </c>
      <c r="I18" t="s">
        <v>1468</v>
      </c>
      <c r="J18" s="175" t="s">
        <v>1633</v>
      </c>
      <c r="K18" t="s">
        <v>1464</v>
      </c>
      <c r="L18" t="s">
        <v>40</v>
      </c>
    </row>
    <row r="19" spans="1:12" hidden="1" x14ac:dyDescent="0.25">
      <c r="A19" t="s">
        <v>867</v>
      </c>
      <c r="B19" t="s">
        <v>333</v>
      </c>
      <c r="C19">
        <f>INDEX(density!$B$2:$B$17,MATCH(Table3[[#This Row],[bio-based plastics]],density!$A$2:$A$17,0))/INDEX(density!$B$2:$B$17,MATCH(Table3[[#This Row],[traditional plastics]],density!$A$2:$A$17,0))</f>
        <v>1.3011542497376705</v>
      </c>
      <c r="D19">
        <f>1548/874</f>
        <v>1.77116704805492</v>
      </c>
      <c r="E19" t="s">
        <v>1594</v>
      </c>
      <c r="F19">
        <v>2019</v>
      </c>
      <c r="I19" t="s">
        <v>1468</v>
      </c>
      <c r="J19" s="175" t="s">
        <v>1633</v>
      </c>
      <c r="K19" t="s">
        <v>1464</v>
      </c>
      <c r="L19" t="s">
        <v>40</v>
      </c>
    </row>
    <row r="20" spans="1:12" hidden="1" x14ac:dyDescent="0.25">
      <c r="A20" t="s">
        <v>867</v>
      </c>
      <c r="B20" t="s">
        <v>1383</v>
      </c>
      <c r="C20">
        <f>INDEX(density!$B$2:$B$17,MATCH(Table3[[#This Row],[bio-based plastics]],density!$A$2:$A$17,0))/INDEX(density!$B$2:$B$17,MATCH(Table3[[#This Row],[traditional plastics]],density!$A$2:$A$17,0))</f>
        <v>1.1588785046728971</v>
      </c>
      <c r="D20">
        <v>1</v>
      </c>
      <c r="E20" s="65" t="s">
        <v>1385</v>
      </c>
      <c r="F20">
        <v>2015</v>
      </c>
      <c r="I20" t="s">
        <v>1443</v>
      </c>
      <c r="J20" t="s">
        <v>1636</v>
      </c>
      <c r="K20" t="s">
        <v>1465</v>
      </c>
      <c r="L20" t="s">
        <v>40</v>
      </c>
    </row>
    <row r="21" spans="1:12" hidden="1" x14ac:dyDescent="0.25">
      <c r="A21" t="s">
        <v>867</v>
      </c>
      <c r="B21" t="s">
        <v>1386</v>
      </c>
      <c r="C21">
        <f>INDEX(density!$B$2:$B$17,MATCH(Table3[[#This Row],[bio-based plastics]],density!$A$2:$A$17,0))/INDEX(density!$B$2:$B$17,MATCH(Table3[[#This Row],[traditional plastics]],density!$A$2:$A$17,0))</f>
        <v>1.180952380952381</v>
      </c>
      <c r="D21">
        <f>12.9/10.9</f>
        <v>1.1834862385321101</v>
      </c>
      <c r="E21" t="s">
        <v>1389</v>
      </c>
      <c r="F21">
        <v>2018</v>
      </c>
      <c r="I21" t="s">
        <v>1387</v>
      </c>
      <c r="J21" t="s">
        <v>1636</v>
      </c>
      <c r="K21" t="s">
        <v>1465</v>
      </c>
      <c r="L21" t="s">
        <v>40</v>
      </c>
    </row>
    <row r="22" spans="1:12" hidden="1" x14ac:dyDescent="0.25">
      <c r="A22" s="160" t="s">
        <v>867</v>
      </c>
      <c r="B22" s="160" t="s">
        <v>866</v>
      </c>
      <c r="C22">
        <v>0.9051094890510949</v>
      </c>
      <c r="D22">
        <v>0.9051094890510949</v>
      </c>
      <c r="H22" t="s">
        <v>1593</v>
      </c>
      <c r="J22" s="175" t="s">
        <v>1633</v>
      </c>
      <c r="K22" t="s">
        <v>1464</v>
      </c>
      <c r="L22" t="s">
        <v>1614</v>
      </c>
    </row>
    <row r="23" spans="1:12" hidden="1" x14ac:dyDescent="0.25">
      <c r="A23" t="s">
        <v>867</v>
      </c>
      <c r="B23" t="s">
        <v>1383</v>
      </c>
      <c r="C23">
        <f>INDEX(density!$B$2:$B$17,MATCH(Table3[[#This Row],[bio-based plastics]],density!$A$2:$A$17,0))/INDEX(density!$B$2:$B$17,MATCH(Table3[[#This Row],[traditional plastics]],density!$A$2:$A$17,0))</f>
        <v>1.1588785046728971</v>
      </c>
      <c r="D23">
        <f>5976/4476</f>
        <v>1.3351206434316354</v>
      </c>
      <c r="E23" s="65" t="s">
        <v>1391</v>
      </c>
      <c r="F23">
        <v>2016</v>
      </c>
      <c r="I23" t="s">
        <v>1390</v>
      </c>
      <c r="J23" t="s">
        <v>1492</v>
      </c>
      <c r="K23" t="s">
        <v>1465</v>
      </c>
      <c r="L23" t="s">
        <v>40</v>
      </c>
    </row>
    <row r="24" spans="1:12" hidden="1" x14ac:dyDescent="0.25">
      <c r="A24" t="s">
        <v>867</v>
      </c>
      <c r="B24" t="s">
        <v>866</v>
      </c>
      <c r="C24">
        <f>INDEX(density!$B$2:$B$17,MATCH(Table3[[#This Row],[bio-based plastics]],density!$A$2:$A$17,0))/INDEX(density!$B$2:$B$17,MATCH(Table3[[#This Row],[traditional plastics]],density!$A$2:$A$17,0))</f>
        <v>0.9051094890510949</v>
      </c>
      <c r="D24">
        <f>5976/5828</f>
        <v>1.0253946465339738</v>
      </c>
      <c r="E24" t="s">
        <v>1391</v>
      </c>
      <c r="F24">
        <v>2016</v>
      </c>
      <c r="I24" t="s">
        <v>1390</v>
      </c>
      <c r="J24" t="s">
        <v>1492</v>
      </c>
      <c r="K24" t="s">
        <v>1465</v>
      </c>
      <c r="L24" t="s">
        <v>40</v>
      </c>
    </row>
    <row r="25" spans="1:12" hidden="1" x14ac:dyDescent="0.25">
      <c r="A25" t="s">
        <v>1605</v>
      </c>
      <c r="B25" t="s">
        <v>1530</v>
      </c>
      <c r="C25">
        <f>INDEX(density!$B$2:$B$17,MATCH(Table3[[#This Row],[bio-based plastics]],density!$A$2:$A$17,0))/INDEX(density!$B$2:$B$17,MATCH(Table3[[#This Row],[traditional plastics]],density!$A$2:$A$17,0))</f>
        <v>5.161290322580645</v>
      </c>
      <c r="D25">
        <f>13.9/9.9</f>
        <v>1.404040404040404</v>
      </c>
      <c r="E25" t="s">
        <v>1394</v>
      </c>
      <c r="F25">
        <v>2019</v>
      </c>
      <c r="G25" t="s">
        <v>1392</v>
      </c>
      <c r="I25" t="s">
        <v>1393</v>
      </c>
      <c r="J25" t="s">
        <v>1511</v>
      </c>
      <c r="K25" t="s">
        <v>1465</v>
      </c>
      <c r="L25" t="s">
        <v>40</v>
      </c>
    </row>
    <row r="26" spans="1:12" hidden="1" x14ac:dyDescent="0.25">
      <c r="A26" t="s">
        <v>867</v>
      </c>
      <c r="B26" t="s">
        <v>864</v>
      </c>
      <c r="C26">
        <f>INDEX(density!$B$2:$B$17,MATCH(Table3[[#This Row],[bio-based plastics]],density!$A$2:$A$17,0))/INDEX(density!$B$2:$B$17,MATCH(Table3[[#This Row],[traditional plastics]],density!$A$2:$A$17,0))</f>
        <v>1.3663911845730028</v>
      </c>
      <c r="D26">
        <f>13.9/11.9</f>
        <v>1.1680672268907564</v>
      </c>
      <c r="E26" t="s">
        <v>1394</v>
      </c>
      <c r="F26">
        <v>2019</v>
      </c>
      <c r="I26" t="s">
        <v>1393</v>
      </c>
      <c r="J26" t="s">
        <v>1511</v>
      </c>
      <c r="K26" t="s">
        <v>1465</v>
      </c>
      <c r="L26" t="s">
        <v>40</v>
      </c>
    </row>
    <row r="27" spans="1:12" hidden="1" x14ac:dyDescent="0.25">
      <c r="A27" t="s">
        <v>867</v>
      </c>
      <c r="B27" t="s">
        <v>866</v>
      </c>
      <c r="C27">
        <f>INDEX(density!$B$2:$B$17,MATCH(Table3[[#This Row],[bio-based plastics]],density!$A$2:$A$17,0))/INDEX(density!$B$2:$B$17,MATCH(Table3[[#This Row],[traditional plastics]],density!$A$2:$A$17,0))</f>
        <v>0.9051094890510949</v>
      </c>
      <c r="D27">
        <f>13.9/18.43</f>
        <v>0.75420510037981559</v>
      </c>
      <c r="E27" t="s">
        <v>1394</v>
      </c>
      <c r="F27">
        <v>2019</v>
      </c>
      <c r="I27" t="s">
        <v>1393</v>
      </c>
      <c r="J27" t="s">
        <v>1511</v>
      </c>
      <c r="K27" t="s">
        <v>1465</v>
      </c>
      <c r="L27" t="s">
        <v>40</v>
      </c>
    </row>
    <row r="28" spans="1:12" hidden="1" x14ac:dyDescent="0.25">
      <c r="A28" t="s">
        <v>867</v>
      </c>
      <c r="B28" t="s">
        <v>864</v>
      </c>
      <c r="C28">
        <f>INDEX(density!$B$2:$B$17,MATCH(Table3[[#This Row],[bio-based plastics]],density!$A$2:$A$17,0))/INDEX(density!$B$2:$B$17,MATCH(Table3[[#This Row],[traditional plastics]],density!$A$2:$A$17,0))</f>
        <v>1.3663911845730028</v>
      </c>
      <c r="D28">
        <f>4.6/3.9</f>
        <v>1.1794871794871795</v>
      </c>
      <c r="E28" t="s">
        <v>1395</v>
      </c>
      <c r="F28">
        <v>2021</v>
      </c>
      <c r="I28" t="s">
        <v>1384</v>
      </c>
      <c r="J28" t="s">
        <v>1636</v>
      </c>
      <c r="K28" t="s">
        <v>1465</v>
      </c>
      <c r="L28" t="s">
        <v>40</v>
      </c>
    </row>
    <row r="29" spans="1:12" hidden="1" x14ac:dyDescent="0.25">
      <c r="A29" t="s">
        <v>867</v>
      </c>
      <c r="B29" t="s">
        <v>866</v>
      </c>
      <c r="C29">
        <f>INDEX(density!$B$2:$B$17,MATCH(Table3[[#This Row],[bio-based plastics]],density!$A$2:$A$17,0))/INDEX(density!$B$2:$B$17,MATCH(Table3[[#This Row],[traditional plastics]],density!$A$2:$A$17,0))</f>
        <v>0.9051094890510949</v>
      </c>
      <c r="D29">
        <f>4.6/5.5</f>
        <v>0.83636363636363631</v>
      </c>
      <c r="E29" t="s">
        <v>1395</v>
      </c>
      <c r="F29">
        <v>2021</v>
      </c>
      <c r="I29" t="s">
        <v>1384</v>
      </c>
      <c r="J29" t="s">
        <v>1636</v>
      </c>
      <c r="K29" t="s">
        <v>1465</v>
      </c>
      <c r="L29" t="s">
        <v>40</v>
      </c>
    </row>
    <row r="30" spans="1:12" hidden="1" x14ac:dyDescent="0.25">
      <c r="A30" t="s">
        <v>1413</v>
      </c>
      <c r="B30" t="s">
        <v>864</v>
      </c>
      <c r="C30" t="e">
        <f>INDEX(density!$B$2:$B$17,MATCH(Table3[[#This Row],[bio-based plastics]],density!$A$2:$A$17,0))/INDEX(density!$B$2:$B$17,MATCH(Table3[[#This Row],[traditional plastics]],density!$A$2:$A$17,0))</f>
        <v>#N/A</v>
      </c>
      <c r="D30">
        <f>12.9/15</f>
        <v>0.86</v>
      </c>
      <c r="E30" t="s">
        <v>1419</v>
      </c>
      <c r="F30">
        <v>2022</v>
      </c>
      <c r="I30" t="s">
        <v>1414</v>
      </c>
      <c r="J30" t="s">
        <v>1636</v>
      </c>
      <c r="K30" t="s">
        <v>1465</v>
      </c>
      <c r="L30" t="s">
        <v>40</v>
      </c>
    </row>
    <row r="31" spans="1:12" hidden="1" x14ac:dyDescent="0.25">
      <c r="A31" t="s">
        <v>1415</v>
      </c>
      <c r="B31" t="s">
        <v>864</v>
      </c>
      <c r="C31" t="e">
        <f>INDEX(density!$B$2:$B$17,MATCH(Table3[[#This Row],[bio-based plastics]],density!$A$2:$A$17,0))/INDEX(density!$B$2:$B$17,MATCH(Table3[[#This Row],[traditional plastics]],density!$A$2:$A$17,0))</f>
        <v>#N/A</v>
      </c>
      <c r="D31">
        <f>4.4/6</f>
        <v>0.73333333333333339</v>
      </c>
      <c r="E31" t="s">
        <v>1419</v>
      </c>
      <c r="F31">
        <v>2022</v>
      </c>
      <c r="I31" t="s">
        <v>1384</v>
      </c>
      <c r="J31" t="s">
        <v>1636</v>
      </c>
      <c r="K31" t="s">
        <v>1465</v>
      </c>
      <c r="L31" t="s">
        <v>40</v>
      </c>
    </row>
    <row r="32" spans="1:12" hidden="1" x14ac:dyDescent="0.25">
      <c r="A32" t="s">
        <v>1416</v>
      </c>
      <c r="B32" t="s">
        <v>864</v>
      </c>
      <c r="C32" t="e">
        <f>INDEX(density!$B$2:$B$17,MATCH(Table3[[#This Row],[bio-based plastics]],density!$A$2:$A$17,0))/INDEX(density!$B$2:$B$17,MATCH(Table3[[#This Row],[traditional plastics]],density!$A$2:$A$17,0))</f>
        <v>#N/A</v>
      </c>
      <c r="D32">
        <f>7.6/7.6</f>
        <v>1</v>
      </c>
      <c r="E32" t="s">
        <v>1419</v>
      </c>
      <c r="F32">
        <v>2022</v>
      </c>
      <c r="I32" t="s">
        <v>1417</v>
      </c>
      <c r="J32" t="s">
        <v>1636</v>
      </c>
      <c r="K32" t="s">
        <v>1465</v>
      </c>
      <c r="L32" t="s">
        <v>40</v>
      </c>
    </row>
    <row r="33" spans="1:17" hidden="1" x14ac:dyDescent="0.25">
      <c r="A33" t="s">
        <v>1413</v>
      </c>
      <c r="B33" t="s">
        <v>1418</v>
      </c>
      <c r="C33" t="e">
        <f>INDEX(density!$B$2:$B$17,MATCH(Table3[[#This Row],[bio-based plastics]],density!$A$2:$A$17,0))/INDEX(density!$B$2:$B$17,MATCH(Table3[[#This Row],[traditional plastics]],density!$A$2:$A$17,0))</f>
        <v>#N/A</v>
      </c>
      <c r="D33">
        <f>12.9/15</f>
        <v>0.86</v>
      </c>
      <c r="E33" t="s">
        <v>1419</v>
      </c>
      <c r="F33">
        <v>2022</v>
      </c>
      <c r="I33" t="s">
        <v>1414</v>
      </c>
      <c r="J33" t="s">
        <v>1636</v>
      </c>
      <c r="K33" t="s">
        <v>1465</v>
      </c>
      <c r="L33" t="s">
        <v>40</v>
      </c>
    </row>
    <row r="34" spans="1:17" hidden="1" x14ac:dyDescent="0.25">
      <c r="A34" t="s">
        <v>1415</v>
      </c>
      <c r="B34" t="s">
        <v>1386</v>
      </c>
      <c r="C34" t="e">
        <f>INDEX(density!$B$2:$B$17,MATCH(Table3[[#This Row],[bio-based plastics]],density!$A$2:$A$17,0))/INDEX(density!$B$2:$B$17,MATCH(Table3[[#This Row],[traditional plastics]],density!$A$2:$A$17,0))</f>
        <v>#N/A</v>
      </c>
      <c r="D34">
        <f>4.4/6</f>
        <v>0.73333333333333339</v>
      </c>
      <c r="E34" t="s">
        <v>1419</v>
      </c>
      <c r="F34">
        <v>2022</v>
      </c>
      <c r="I34" t="s">
        <v>1384</v>
      </c>
      <c r="J34" t="s">
        <v>1636</v>
      </c>
      <c r="K34" t="s">
        <v>1465</v>
      </c>
      <c r="L34" t="s">
        <v>40</v>
      </c>
    </row>
    <row r="35" spans="1:17" hidden="1" x14ac:dyDescent="0.25">
      <c r="A35" t="s">
        <v>1416</v>
      </c>
      <c r="B35" t="s">
        <v>1386</v>
      </c>
      <c r="C35" t="e">
        <f>INDEX(density!$B$2:$B$17,MATCH(Table3[[#This Row],[bio-based plastics]],density!$A$2:$A$17,0))/INDEX(density!$B$2:$B$17,MATCH(Table3[[#This Row],[traditional plastics]],density!$A$2:$A$17,0))</f>
        <v>#N/A</v>
      </c>
      <c r="D35">
        <f>7.6/7.6</f>
        <v>1</v>
      </c>
      <c r="E35" t="s">
        <v>1419</v>
      </c>
      <c r="F35">
        <v>2022</v>
      </c>
      <c r="I35" t="s">
        <v>1417</v>
      </c>
      <c r="J35" t="s">
        <v>1636</v>
      </c>
      <c r="K35" t="s">
        <v>1465</v>
      </c>
      <c r="L35" t="s">
        <v>40</v>
      </c>
    </row>
    <row r="36" spans="1:17" hidden="1" x14ac:dyDescent="0.25">
      <c r="A36" t="s">
        <v>867</v>
      </c>
      <c r="B36" t="s">
        <v>1383</v>
      </c>
      <c r="C36">
        <f>INDEX(density!$B$2:$B$17,MATCH(Table3[[#This Row],[bio-based plastics]],density!$A$2:$A$17,0))/INDEX(density!$B$2:$B$17,MATCH(Table3[[#This Row],[traditional plastics]],density!$A$2:$A$17,0))</f>
        <v>1.1588785046728971</v>
      </c>
      <c r="D36">
        <f>60/45</f>
        <v>1.3333333333333333</v>
      </c>
      <c r="E36" t="s">
        <v>1423</v>
      </c>
      <c r="F36">
        <v>2020</v>
      </c>
      <c r="H36" t="s">
        <v>1424</v>
      </c>
      <c r="I36" t="s">
        <v>1390</v>
      </c>
      <c r="J36" t="s">
        <v>1492</v>
      </c>
      <c r="K36" t="s">
        <v>1465</v>
      </c>
      <c r="L36" t="s">
        <v>40</v>
      </c>
      <c r="O36" t="s">
        <v>1396</v>
      </c>
    </row>
    <row r="37" spans="1:17" hidden="1" x14ac:dyDescent="0.25">
      <c r="A37" t="s">
        <v>1605</v>
      </c>
      <c r="B37" t="s">
        <v>1530</v>
      </c>
      <c r="C37">
        <f>INDEX(density!$B$2:$B$17,MATCH(Table3[[#This Row],[bio-based plastics]],density!$A$2:$A$17,0))/INDEX(density!$B$2:$B$17,MATCH(Table3[[#This Row],[traditional plastics]],density!$A$2:$A$17,0))</f>
        <v>5.161290322580645</v>
      </c>
      <c r="D37">
        <f>25.2/10.45</f>
        <v>2.4114832535885169</v>
      </c>
      <c r="E37" t="s">
        <v>1423</v>
      </c>
      <c r="F37">
        <v>2020</v>
      </c>
      <c r="I37" t="s">
        <v>1422</v>
      </c>
      <c r="J37" t="s">
        <v>1511</v>
      </c>
      <c r="K37" t="s">
        <v>1465</v>
      </c>
      <c r="L37" t="s">
        <v>40</v>
      </c>
      <c r="O37" t="s">
        <v>1397</v>
      </c>
    </row>
    <row r="38" spans="1:17" hidden="1" x14ac:dyDescent="0.25">
      <c r="A38" t="s">
        <v>867</v>
      </c>
      <c r="B38" t="s">
        <v>1386</v>
      </c>
      <c r="C38">
        <f>INDEX(density!$B$2:$B$17,MATCH(Table3[[#This Row],[bio-based plastics]],density!$A$2:$A$17,0))/INDEX(density!$B$2:$B$17,MATCH(Table3[[#This Row],[traditional plastics]],density!$A$2:$A$17,0))</f>
        <v>1.180952380952381</v>
      </c>
      <c r="D38">
        <f>25.2/20.85</f>
        <v>1.2086330935251797</v>
      </c>
      <c r="E38" t="s">
        <v>1423</v>
      </c>
      <c r="F38">
        <v>2020</v>
      </c>
      <c r="H38" t="s">
        <v>1421</v>
      </c>
      <c r="I38" t="s">
        <v>1422</v>
      </c>
      <c r="J38" t="s">
        <v>1511</v>
      </c>
      <c r="K38" t="s">
        <v>1465</v>
      </c>
      <c r="L38" t="s">
        <v>40</v>
      </c>
      <c r="O38" t="s">
        <v>1398</v>
      </c>
      <c r="P38" t="s">
        <v>1375</v>
      </c>
    </row>
    <row r="39" spans="1:17" hidden="1" x14ac:dyDescent="0.25">
      <c r="A39" t="s">
        <v>867</v>
      </c>
      <c r="B39" t="s">
        <v>866</v>
      </c>
      <c r="C39">
        <f>INDEX(density!$B$2:$B$17,MATCH(Table3[[#This Row],[bio-based plastics]],density!$A$2:$A$17,0))/INDEX(density!$B$2:$B$17,MATCH(Table3[[#This Row],[traditional plastics]],density!$A$2:$A$17,0))</f>
        <v>0.9051094890510949</v>
      </c>
      <c r="D39">
        <f>25.2/27.15</f>
        <v>0.92817679558011057</v>
      </c>
      <c r="E39" t="s">
        <v>1423</v>
      </c>
      <c r="F39">
        <v>2020</v>
      </c>
      <c r="I39" t="s">
        <v>1422</v>
      </c>
      <c r="J39" t="s">
        <v>1511</v>
      </c>
      <c r="K39" t="s">
        <v>1465</v>
      </c>
      <c r="L39" t="s">
        <v>40</v>
      </c>
      <c r="P39" t="s">
        <v>1399</v>
      </c>
      <c r="Q39" t="s">
        <v>1400</v>
      </c>
    </row>
    <row r="40" spans="1:17" hidden="1" x14ac:dyDescent="0.25">
      <c r="A40" t="s">
        <v>867</v>
      </c>
      <c r="B40" t="s">
        <v>864</v>
      </c>
      <c r="C40">
        <f>INDEX(density!$B$2:$B$17,MATCH(Table3[[#This Row],[bio-based plastics]],density!$A$2:$A$17,0))/INDEX(density!$B$2:$B$17,MATCH(Table3[[#This Row],[traditional plastics]],density!$A$2:$A$17,0))</f>
        <v>1.3663911845730028</v>
      </c>
      <c r="D40">
        <f>25.2/19.8</f>
        <v>1.2727272727272727</v>
      </c>
      <c r="E40" t="s">
        <v>1423</v>
      </c>
      <c r="F40">
        <v>2020</v>
      </c>
      <c r="I40" t="s">
        <v>1422</v>
      </c>
      <c r="J40" t="s">
        <v>1511</v>
      </c>
      <c r="K40" t="s">
        <v>1465</v>
      </c>
      <c r="L40" t="s">
        <v>40</v>
      </c>
      <c r="P40" t="s">
        <v>1401</v>
      </c>
      <c r="Q40" t="s">
        <v>1400</v>
      </c>
    </row>
    <row r="41" spans="1:17" hidden="1" x14ac:dyDescent="0.25">
      <c r="A41" t="s">
        <v>867</v>
      </c>
      <c r="B41" t="s">
        <v>1383</v>
      </c>
      <c r="C41">
        <f>INDEX(density!$B$2:$B$17,MATCH(Table3[[#This Row],[bio-based plastics]],density!$A$2:$A$17,0))/INDEX(density!$B$2:$B$17,MATCH(Table3[[#This Row],[traditional plastics]],density!$A$2:$A$17,0))</f>
        <v>1.1588785046728971</v>
      </c>
      <c r="D41">
        <f>13.6/10.1</f>
        <v>1.3465346534653466</v>
      </c>
      <c r="E41" t="s">
        <v>1555</v>
      </c>
      <c r="F41">
        <v>2018</v>
      </c>
      <c r="I41" t="s">
        <v>1552</v>
      </c>
      <c r="J41" t="s">
        <v>1636</v>
      </c>
      <c r="K41" t="s">
        <v>1465</v>
      </c>
      <c r="L41" t="s">
        <v>40</v>
      </c>
      <c r="O41" t="s">
        <v>1402</v>
      </c>
      <c r="P41" t="s">
        <v>1404</v>
      </c>
      <c r="Q41" s="157">
        <v>0.41</v>
      </c>
    </row>
    <row r="42" spans="1:17" hidden="1" x14ac:dyDescent="0.25">
      <c r="A42" t="s">
        <v>867</v>
      </c>
      <c r="B42" t="s">
        <v>866</v>
      </c>
      <c r="C42">
        <f>INDEX(density!$B$2:$B$17,MATCH(Table3[[#This Row],[bio-based plastics]],density!$A$2:$A$17,0))/INDEX(density!$B$2:$B$17,MATCH(Table3[[#This Row],[traditional plastics]],density!$A$2:$A$17,0))</f>
        <v>0.9051094890510949</v>
      </c>
      <c r="D42">
        <f>4.59/5.51</f>
        <v>0.83303085299455537</v>
      </c>
      <c r="E42" t="s">
        <v>1555</v>
      </c>
      <c r="F42">
        <v>2018</v>
      </c>
      <c r="I42" t="s">
        <v>1553</v>
      </c>
      <c r="J42" t="s">
        <v>1636</v>
      </c>
      <c r="K42" t="s">
        <v>1465</v>
      </c>
      <c r="L42" t="s">
        <v>40</v>
      </c>
      <c r="P42" t="s">
        <v>1405</v>
      </c>
      <c r="Q42" s="157">
        <v>0.1</v>
      </c>
    </row>
    <row r="43" spans="1:17" hidden="1" x14ac:dyDescent="0.25">
      <c r="A43" t="s">
        <v>867</v>
      </c>
      <c r="B43" t="s">
        <v>864</v>
      </c>
      <c r="C43">
        <f>INDEX(density!$B$2:$B$17,MATCH(Table3[[#This Row],[bio-based plastics]],density!$A$2:$A$17,0))/INDEX(density!$B$2:$B$17,MATCH(Table3[[#This Row],[traditional plastics]],density!$A$2:$A$17,0))</f>
        <v>1.3663911845730028</v>
      </c>
      <c r="D43">
        <f>4.59/3.88</f>
        <v>1.1829896907216495</v>
      </c>
      <c r="E43" t="s">
        <v>1555</v>
      </c>
      <c r="F43">
        <v>2018</v>
      </c>
      <c r="I43" t="s">
        <v>1553</v>
      </c>
      <c r="J43" t="s">
        <v>1636</v>
      </c>
      <c r="K43" t="s">
        <v>1465</v>
      </c>
      <c r="L43" t="s">
        <v>40</v>
      </c>
      <c r="P43" t="s">
        <v>1406</v>
      </c>
    </row>
    <row r="44" spans="1:17" hidden="1" x14ac:dyDescent="0.25">
      <c r="A44" t="s">
        <v>867</v>
      </c>
      <c r="B44" t="s">
        <v>864</v>
      </c>
      <c r="C44">
        <f>INDEX(density!$B$2:$B$17,MATCH(Table3[[#This Row],[bio-based plastics]],density!$A$2:$A$17,0))/INDEX(density!$B$2:$B$17,MATCH(Table3[[#This Row],[traditional plastics]],density!$A$2:$A$17,0))</f>
        <v>1.3663911845730028</v>
      </c>
      <c r="D44">
        <v>1</v>
      </c>
      <c r="E44" t="s">
        <v>1555</v>
      </c>
      <c r="F44">
        <v>2018</v>
      </c>
      <c r="I44" t="s">
        <v>1554</v>
      </c>
      <c r="J44" t="s">
        <v>1473</v>
      </c>
      <c r="K44" t="s">
        <v>1464</v>
      </c>
      <c r="L44" t="s">
        <v>40</v>
      </c>
      <c r="P44" t="s">
        <v>1407</v>
      </c>
    </row>
    <row r="45" spans="1:17" hidden="1" x14ac:dyDescent="0.25">
      <c r="A45" t="s">
        <v>867</v>
      </c>
      <c r="B45" t="s">
        <v>866</v>
      </c>
      <c r="C45">
        <f>INDEX(density!$B$2:$B$17,MATCH(Table3[[#This Row],[bio-based plastics]],density!$A$2:$A$17,0))/INDEX(density!$B$2:$B$17,MATCH(Table3[[#This Row],[traditional plastics]],density!$A$2:$A$17,0))</f>
        <v>0.9051094890510949</v>
      </c>
      <c r="D45">
        <f>(13.6+14.4)/2/15.5</f>
        <v>0.90322580645161288</v>
      </c>
      <c r="E45" t="s">
        <v>1558</v>
      </c>
      <c r="F45">
        <v>2009</v>
      </c>
      <c r="I45" t="s">
        <v>1553</v>
      </c>
      <c r="J45" t="s">
        <v>1636</v>
      </c>
      <c r="K45" t="s">
        <v>1465</v>
      </c>
      <c r="L45" t="s">
        <v>40</v>
      </c>
      <c r="O45" t="s">
        <v>1408</v>
      </c>
      <c r="P45" t="s">
        <v>1409</v>
      </c>
    </row>
    <row r="46" spans="1:17" hidden="1" x14ac:dyDescent="0.25">
      <c r="A46" t="s">
        <v>867</v>
      </c>
      <c r="B46" t="s">
        <v>864</v>
      </c>
      <c r="C46">
        <f>INDEX(density!$B$2:$B$17,MATCH(Table3[[#This Row],[bio-based plastics]],density!$A$2:$A$17,0))/INDEX(density!$B$2:$B$17,MATCH(Table3[[#This Row],[traditional plastics]],density!$A$2:$A$17,0))</f>
        <v>1.3663911845730028</v>
      </c>
      <c r="D46">
        <f>(136+144)/(127.3+131.8)</f>
        <v>1.080663836356619</v>
      </c>
      <c r="E46" t="s">
        <v>1558</v>
      </c>
      <c r="F46">
        <v>2009</v>
      </c>
      <c r="I46" t="s">
        <v>1553</v>
      </c>
      <c r="J46" t="s">
        <v>1636</v>
      </c>
      <c r="K46" t="s">
        <v>1465</v>
      </c>
      <c r="L46" t="s">
        <v>40</v>
      </c>
      <c r="O46" t="s">
        <v>1410</v>
      </c>
    </row>
    <row r="47" spans="1:17" hidden="1" x14ac:dyDescent="0.25">
      <c r="A47" t="s">
        <v>867</v>
      </c>
      <c r="B47" t="s">
        <v>864</v>
      </c>
      <c r="C47">
        <f>INDEX(density!$B$2:$B$17,MATCH(Table3[[#This Row],[bio-based plastics]],density!$A$2:$A$17,0))/INDEX(density!$B$2:$B$17,MATCH(Table3[[#This Row],[traditional plastics]],density!$A$2:$A$17,0))</f>
        <v>1.3663911845730028</v>
      </c>
      <c r="D47">
        <f>8.91/7.9</f>
        <v>1.1278481012658228</v>
      </c>
      <c r="E47" t="s">
        <v>1560</v>
      </c>
      <c r="F47">
        <v>2004</v>
      </c>
      <c r="I47" t="s">
        <v>1559</v>
      </c>
      <c r="J47" t="s">
        <v>1636</v>
      </c>
      <c r="K47" t="s">
        <v>1465</v>
      </c>
      <c r="L47" t="s">
        <v>40</v>
      </c>
      <c r="O47" t="s">
        <v>1411</v>
      </c>
    </row>
    <row r="48" spans="1:17" hidden="1" x14ac:dyDescent="0.25">
      <c r="A48" t="s">
        <v>1562</v>
      </c>
      <c r="B48" t="s">
        <v>864</v>
      </c>
      <c r="C48" t="e">
        <f>INDEX(density!$B$2:$B$17,MATCH(Table3[[#This Row],[bio-based plastics]],density!$A$2:$A$17,0))/INDEX(density!$B$2:$B$17,MATCH(Table3[[#This Row],[traditional plastics]],density!$A$2:$A$17,0))</f>
        <v>#N/A</v>
      </c>
      <c r="D48">
        <f>8.2/6</f>
        <v>1.3666666666666665</v>
      </c>
      <c r="E48" t="s">
        <v>1564</v>
      </c>
      <c r="F48">
        <v>2014</v>
      </c>
      <c r="I48" t="s">
        <v>1561</v>
      </c>
      <c r="J48" t="s">
        <v>1636</v>
      </c>
      <c r="K48" t="s">
        <v>1465</v>
      </c>
      <c r="L48" t="s">
        <v>40</v>
      </c>
      <c r="O48" t="s">
        <v>1412</v>
      </c>
    </row>
    <row r="49" spans="1:12" hidden="1" x14ac:dyDescent="0.25">
      <c r="A49" t="s">
        <v>1563</v>
      </c>
      <c r="B49" t="s">
        <v>864</v>
      </c>
      <c r="C49" t="e">
        <f>INDEX(density!$B$2:$B$17,MATCH(Table3[[#This Row],[bio-based plastics]],density!$A$2:$A$17,0))/INDEX(density!$B$2:$B$17,MATCH(Table3[[#This Row],[traditional plastics]],density!$A$2:$A$17,0))</f>
        <v>#N/A</v>
      </c>
      <c r="D49">
        <f>8.2/6</f>
        <v>1.3666666666666665</v>
      </c>
      <c r="E49" t="s">
        <v>1564</v>
      </c>
      <c r="F49">
        <v>2014</v>
      </c>
      <c r="I49" t="s">
        <v>1561</v>
      </c>
      <c r="J49" t="s">
        <v>1636</v>
      </c>
      <c r="K49" t="s">
        <v>1465</v>
      </c>
      <c r="L49" t="s">
        <v>40</v>
      </c>
    </row>
    <row r="50" spans="1:12" hidden="1" x14ac:dyDescent="0.25">
      <c r="A50" t="s">
        <v>867</v>
      </c>
      <c r="B50" t="s">
        <v>1532</v>
      </c>
      <c r="C50">
        <f>INDEX(density!$B$2:$B$17,MATCH(Table3[[#This Row],[bio-based plastics]],density!$A$2:$A$17,0))/INDEX(density!$B$2:$B$17,MATCH(Table3[[#This Row],[traditional plastics]],density!$A$2:$A$17,0))</f>
        <v>1.2097560975609756</v>
      </c>
      <c r="D50">
        <f>1.2/1.1</f>
        <v>1.0909090909090908</v>
      </c>
      <c r="E50" t="s">
        <v>1566</v>
      </c>
      <c r="F50">
        <v>2016</v>
      </c>
      <c r="I50" t="s">
        <v>1565</v>
      </c>
      <c r="J50" s="175" t="s">
        <v>1632</v>
      </c>
      <c r="K50" t="s">
        <v>1534</v>
      </c>
      <c r="L50" t="s">
        <v>40</v>
      </c>
    </row>
    <row r="51" spans="1:12" hidden="1" x14ac:dyDescent="0.25">
      <c r="A51" t="s">
        <v>867</v>
      </c>
      <c r="B51" t="s">
        <v>1383</v>
      </c>
      <c r="C51">
        <f>INDEX(density!$B$2:$B$17,MATCH(Table3[[#This Row],[bio-based plastics]],density!$A$2:$A$17,0))/INDEX(density!$B$2:$B$17,MATCH(Table3[[#This Row],[traditional plastics]],density!$A$2:$A$17,0))</f>
        <v>1.1588785046728971</v>
      </c>
      <c r="D51">
        <f>0.213/0.045</f>
        <v>4.7333333333333334</v>
      </c>
      <c r="E51" t="s">
        <v>1567</v>
      </c>
      <c r="F51">
        <v>2017</v>
      </c>
      <c r="I51" t="s">
        <v>1390</v>
      </c>
      <c r="J51" t="s">
        <v>1492</v>
      </c>
      <c r="K51" t="s">
        <v>1465</v>
      </c>
      <c r="L51" t="s">
        <v>40</v>
      </c>
    </row>
    <row r="52" spans="1:12" hidden="1" x14ac:dyDescent="0.25">
      <c r="A52" t="s">
        <v>865</v>
      </c>
      <c r="B52" t="s">
        <v>1383</v>
      </c>
      <c r="C52">
        <f>INDEX(density!$B$2:$B$17,MATCH(Table3[[#This Row],[bio-based plastics]],density!$A$2:$A$17,0))/INDEX(density!$B$2:$B$17,MATCH(Table3[[#This Row],[traditional plastics]],density!$A$2:$A$17,0))</f>
        <v>1.1682242990654206</v>
      </c>
      <c r="D52">
        <f>0.161/0.045</f>
        <v>3.5777777777777779</v>
      </c>
      <c r="E52" t="s">
        <v>1567</v>
      </c>
      <c r="F52">
        <v>2017</v>
      </c>
      <c r="I52" t="s">
        <v>1390</v>
      </c>
      <c r="J52" t="s">
        <v>1492</v>
      </c>
      <c r="K52" t="s">
        <v>1465</v>
      </c>
      <c r="L52" t="s">
        <v>40</v>
      </c>
    </row>
    <row r="53" spans="1:12" hidden="1" x14ac:dyDescent="0.25">
      <c r="A53" t="s">
        <v>867</v>
      </c>
      <c r="B53" t="s">
        <v>869</v>
      </c>
      <c r="C53">
        <f>INDEX(density!$B$2:$B$17,MATCH(Table3[[#This Row],[bio-based plastics]],density!$A$2:$A$17,0))/INDEX(density!$B$2:$B$17,MATCH(Table3[[#This Row],[traditional plastics]],density!$A$2:$A$17,0))</f>
        <v>1.3478260869565217</v>
      </c>
      <c r="D53">
        <f>188/138</f>
        <v>1.3623188405797102</v>
      </c>
      <c r="E53" t="s">
        <v>1568</v>
      </c>
      <c r="F53">
        <v>2013</v>
      </c>
      <c r="I53" t="s">
        <v>1554</v>
      </c>
      <c r="J53" t="s">
        <v>1473</v>
      </c>
      <c r="K53" t="s">
        <v>1464</v>
      </c>
      <c r="L53" t="s">
        <v>40</v>
      </c>
    </row>
    <row r="54" spans="1:12" hidden="1" x14ac:dyDescent="0.25">
      <c r="A54" t="s">
        <v>1605</v>
      </c>
      <c r="B54" t="s">
        <v>1530</v>
      </c>
      <c r="C54">
        <f>INDEX(density!$B$2:$B$17,MATCH(Table3[[#This Row],[bio-based plastics]],density!$A$2:$A$17,0))/INDEX(density!$B$2:$B$17,MATCH(Table3[[#This Row],[traditional plastics]],density!$A$2:$A$17,0))</f>
        <v>5.161290322580645</v>
      </c>
      <c r="D54">
        <f>24.75/25</f>
        <v>0.99</v>
      </c>
      <c r="E54" t="s">
        <v>1569</v>
      </c>
      <c r="F54">
        <v>2015</v>
      </c>
      <c r="I54" t="s">
        <v>1537</v>
      </c>
      <c r="J54" s="171" t="s">
        <v>1626</v>
      </c>
      <c r="K54" t="s">
        <v>1411</v>
      </c>
      <c r="L54" t="s">
        <v>40</v>
      </c>
    </row>
    <row r="55" spans="1:12" hidden="1" x14ac:dyDescent="0.25">
      <c r="A55" t="s">
        <v>867</v>
      </c>
      <c r="B55" t="s">
        <v>866</v>
      </c>
      <c r="C55">
        <f>INDEX(density!$B$2:$B$17,MATCH(Table3[[#This Row],[bio-based plastics]],density!$A$2:$A$17,0))/INDEX(density!$B$2:$B$17,MATCH(Table3[[#This Row],[traditional plastics]],density!$A$2:$A$17,0))</f>
        <v>0.9051094890510949</v>
      </c>
      <c r="D55">
        <v>1</v>
      </c>
      <c r="E55" t="s">
        <v>1367</v>
      </c>
      <c r="F55">
        <v>2010</v>
      </c>
      <c r="I55" t="s">
        <v>1570</v>
      </c>
      <c r="J55" t="s">
        <v>1481</v>
      </c>
      <c r="K55" t="s">
        <v>1465</v>
      </c>
      <c r="L55" t="s">
        <v>40</v>
      </c>
    </row>
    <row r="56" spans="1:12" hidden="1" x14ac:dyDescent="0.25">
      <c r="A56" t="s">
        <v>867</v>
      </c>
      <c r="B56" t="s">
        <v>864</v>
      </c>
      <c r="C56">
        <f>INDEX(density!$B$2:$B$17,MATCH(Table3[[#This Row],[bio-based plastics]],density!$A$2:$A$17,0))/INDEX(density!$B$2:$B$17,MATCH(Table3[[#This Row],[traditional plastics]],density!$A$2:$A$17,0))</f>
        <v>1.3663911845730028</v>
      </c>
      <c r="D56">
        <f>13/14</f>
        <v>0.9285714285714286</v>
      </c>
      <c r="E56" t="s">
        <v>1571</v>
      </c>
      <c r="F56">
        <v>1997</v>
      </c>
      <c r="G56" t="s">
        <v>1573</v>
      </c>
      <c r="I56" t="s">
        <v>1572</v>
      </c>
      <c r="J56" t="s">
        <v>1625</v>
      </c>
      <c r="K56" t="s">
        <v>1411</v>
      </c>
      <c r="L56" t="s">
        <v>40</v>
      </c>
    </row>
    <row r="57" spans="1:12" hidden="1" x14ac:dyDescent="0.25">
      <c r="A57" t="s">
        <v>867</v>
      </c>
      <c r="B57" t="s">
        <v>1383</v>
      </c>
      <c r="C57">
        <f>INDEX(density!$B$2:$B$17,MATCH(Table3[[#This Row],[bio-based plastics]],density!$A$2:$A$17,0))/INDEX(density!$B$2:$B$17,MATCH(Table3[[#This Row],[traditional plastics]],density!$A$2:$A$17,0))</f>
        <v>1.1588785046728971</v>
      </c>
      <c r="D57">
        <f>11.36/8.98</f>
        <v>1.265033407572383</v>
      </c>
      <c r="E57" t="s">
        <v>1574</v>
      </c>
      <c r="F57">
        <v>2017</v>
      </c>
      <c r="I57" t="s">
        <v>1422</v>
      </c>
      <c r="J57" t="s">
        <v>1511</v>
      </c>
      <c r="K57" t="s">
        <v>1465</v>
      </c>
      <c r="L57" t="s">
        <v>40</v>
      </c>
    </row>
    <row r="58" spans="1:12" hidden="1" x14ac:dyDescent="0.25">
      <c r="A58" t="s">
        <v>867</v>
      </c>
      <c r="B58" t="s">
        <v>866</v>
      </c>
      <c r="C58">
        <f>INDEX(density!$B$2:$B$17,MATCH(Table3[[#This Row],[bio-based plastics]],density!$A$2:$A$17,0))/INDEX(density!$B$2:$B$17,MATCH(Table3[[#This Row],[traditional plastics]],density!$A$2:$A$17,0))</f>
        <v>0.9051094890510949</v>
      </c>
      <c r="D58">
        <f>8.28/8.34</f>
        <v>0.99280575539568339</v>
      </c>
      <c r="E58" t="s">
        <v>1576</v>
      </c>
      <c r="F58">
        <v>2017</v>
      </c>
      <c r="I58" t="s">
        <v>1575</v>
      </c>
      <c r="J58" t="s">
        <v>1492</v>
      </c>
      <c r="K58" t="s">
        <v>1465</v>
      </c>
      <c r="L58" t="s">
        <v>40</v>
      </c>
    </row>
    <row r="59" spans="1:12" hidden="1" x14ac:dyDescent="0.25">
      <c r="A59" t="s">
        <v>867</v>
      </c>
      <c r="B59" t="s">
        <v>1383</v>
      </c>
      <c r="C59">
        <f>INDEX(density!$B$2:$B$17,MATCH(Table3[[#This Row],[bio-based plastics]],density!$A$2:$A$17,0))/INDEX(density!$B$2:$B$17,MATCH(Table3[[#This Row],[traditional plastics]],density!$A$2:$A$17,0))</f>
        <v>1.1588785046728971</v>
      </c>
      <c r="D59">
        <f>29.6/24.2</f>
        <v>1.2231404958677687</v>
      </c>
      <c r="E59" t="s">
        <v>1577</v>
      </c>
      <c r="F59">
        <v>2009</v>
      </c>
      <c r="I59" t="s">
        <v>1420</v>
      </c>
      <c r="J59" t="s">
        <v>1492</v>
      </c>
      <c r="K59" t="s">
        <v>1465</v>
      </c>
      <c r="L59" t="s">
        <v>40</v>
      </c>
    </row>
    <row r="60" spans="1:12" hidden="1" x14ac:dyDescent="0.25">
      <c r="A60" t="s">
        <v>867</v>
      </c>
      <c r="B60" t="s">
        <v>866</v>
      </c>
      <c r="C60">
        <f>INDEX(density!$B$2:$B$17,MATCH(Table3[[#This Row],[bio-based plastics]],density!$A$2:$A$17,0))/INDEX(density!$B$2:$B$17,MATCH(Table3[[#This Row],[traditional plastics]],density!$A$2:$A$17,0))</f>
        <v>0.9051094890510949</v>
      </c>
      <c r="D60">
        <f>1246/1370</f>
        <v>0.90948905109489053</v>
      </c>
      <c r="E60" t="s">
        <v>1577</v>
      </c>
      <c r="F60">
        <v>2009</v>
      </c>
      <c r="G60" t="s">
        <v>1578</v>
      </c>
      <c r="I60" t="s">
        <v>1420</v>
      </c>
      <c r="J60" t="s">
        <v>1492</v>
      </c>
      <c r="K60" t="s">
        <v>1465</v>
      </c>
      <c r="L60" t="s">
        <v>40</v>
      </c>
    </row>
    <row r="61" spans="1:12" hidden="1" x14ac:dyDescent="0.25">
      <c r="A61" t="s">
        <v>867</v>
      </c>
      <c r="B61" t="s">
        <v>1619</v>
      </c>
      <c r="C61" t="e">
        <f>INDEX(density!$B$2:$B$17,MATCH(Table3[[#This Row],[bio-based plastics]],density!$A$2:$A$17,0))/INDEX(density!$B$2:$B$17,MATCH(Table3[[#This Row],[traditional plastics]],density!$A$2:$A$17,0))</f>
        <v>#N/A</v>
      </c>
      <c r="D61">
        <f>0.49/0.752</f>
        <v>0.65159574468085102</v>
      </c>
      <c r="E61" t="s">
        <v>1579</v>
      </c>
      <c r="F61">
        <v>2016</v>
      </c>
      <c r="I61" s="158" t="s">
        <v>1457</v>
      </c>
      <c r="J61" s="175" t="s">
        <v>1632</v>
      </c>
      <c r="K61" t="s">
        <v>1534</v>
      </c>
      <c r="L61" t="s">
        <v>40</v>
      </c>
    </row>
    <row r="62" spans="1:12" hidden="1" x14ac:dyDescent="0.25">
      <c r="A62" t="s">
        <v>867</v>
      </c>
      <c r="B62" t="s">
        <v>1383</v>
      </c>
      <c r="C62">
        <f>INDEX(density!$B$2:$B$17,MATCH(Table3[[#This Row],[bio-based plastics]],density!$A$2:$A$17,0))/INDEX(density!$B$2:$B$17,MATCH(Table3[[#This Row],[traditional plastics]],density!$A$2:$A$17,0))</f>
        <v>1.1588785046728971</v>
      </c>
      <c r="D62">
        <v>1</v>
      </c>
      <c r="E62" t="s">
        <v>1385</v>
      </c>
      <c r="F62">
        <v>2015</v>
      </c>
      <c r="I62" t="s">
        <v>1580</v>
      </c>
      <c r="J62" t="s">
        <v>1636</v>
      </c>
      <c r="K62" t="s">
        <v>1465</v>
      </c>
      <c r="L62" t="s">
        <v>40</v>
      </c>
    </row>
    <row r="63" spans="1:12" hidden="1" x14ac:dyDescent="0.25">
      <c r="A63" t="s">
        <v>867</v>
      </c>
      <c r="B63" t="s">
        <v>1383</v>
      </c>
      <c r="C63">
        <f>INDEX(density!$B$2:$B$17,MATCH(Table3[[#This Row],[bio-based plastics]],density!$A$2:$A$17,0))/INDEX(density!$B$2:$B$17,MATCH(Table3[[#This Row],[traditional plastics]],density!$A$2:$A$17,0))</f>
        <v>1.1588785046728971</v>
      </c>
      <c r="D63">
        <f>1250/1050</f>
        <v>1.1904761904761905</v>
      </c>
      <c r="E63" t="s">
        <v>1581</v>
      </c>
      <c r="F63">
        <v>2008</v>
      </c>
      <c r="I63" t="s">
        <v>1384</v>
      </c>
      <c r="J63" t="s">
        <v>1636</v>
      </c>
      <c r="K63" t="s">
        <v>1465</v>
      </c>
      <c r="L63" t="s">
        <v>40</v>
      </c>
    </row>
    <row r="64" spans="1:12" hidden="1" x14ac:dyDescent="0.25">
      <c r="A64" t="s">
        <v>867</v>
      </c>
      <c r="B64" t="s">
        <v>864</v>
      </c>
      <c r="C64">
        <f>INDEX(density!$B$2:$B$17,MATCH(Table3[[#This Row],[bio-based plastics]],density!$A$2:$A$17,0))/INDEX(density!$B$2:$B$17,MATCH(Table3[[#This Row],[traditional plastics]],density!$A$2:$A$17,0))</f>
        <v>1.3663911845730028</v>
      </c>
      <c r="D64">
        <v>1</v>
      </c>
      <c r="E64" t="s">
        <v>1583</v>
      </c>
      <c r="F64">
        <v>2017</v>
      </c>
      <c r="I64" t="s">
        <v>1582</v>
      </c>
      <c r="J64" t="s">
        <v>1433</v>
      </c>
      <c r="K64" t="s">
        <v>1528</v>
      </c>
      <c r="L64" t="s">
        <v>40</v>
      </c>
    </row>
    <row r="65" spans="1:12" hidden="1" x14ac:dyDescent="0.25">
      <c r="A65" t="s">
        <v>862</v>
      </c>
      <c r="B65" t="s">
        <v>864</v>
      </c>
      <c r="C65">
        <f>INDEX(density!$B$2:$B$17,MATCH(Table3[[#This Row],[bio-based plastics]],density!$A$2:$A$17,0))/INDEX(density!$B$2:$B$17,MATCH(Table3[[#This Row],[traditional plastics]],density!$A$2:$A$17,0))</f>
        <v>1.3774104683195592</v>
      </c>
      <c r="D65">
        <f>(39.8+57.4)/(28.7+41.3)</f>
        <v>1.3885714285714283</v>
      </c>
      <c r="E65" t="s">
        <v>1586</v>
      </c>
      <c r="F65">
        <v>2005</v>
      </c>
      <c r="I65" t="s">
        <v>1585</v>
      </c>
      <c r="J65" t="s">
        <v>1511</v>
      </c>
      <c r="K65" t="s">
        <v>1465</v>
      </c>
      <c r="L65" t="s">
        <v>40</v>
      </c>
    </row>
    <row r="66" spans="1:12" x14ac:dyDescent="0.25">
      <c r="A66" t="s">
        <v>1589</v>
      </c>
      <c r="B66" t="s">
        <v>864</v>
      </c>
      <c r="C66" t="e">
        <f>INDEX(density!$B$2:$B$17,MATCH(Table3[[#This Row],[bio-based plastics]],density!$A$2:$A$17,0))/INDEX(density!$B$2:$B$17,MATCH(Table3[[#This Row],[traditional plastics]],density!$A$2:$A$17,0))</f>
        <v>#N/A</v>
      </c>
      <c r="D66">
        <f>4.21/2.7</f>
        <v>1.5592592592592591</v>
      </c>
      <c r="E66" t="s">
        <v>1590</v>
      </c>
      <c r="H66" t="s">
        <v>1591</v>
      </c>
      <c r="J66" t="s">
        <v>1473</v>
      </c>
      <c r="K66" t="s">
        <v>1464</v>
      </c>
      <c r="L66" t="s">
        <v>40</v>
      </c>
    </row>
    <row r="67" spans="1:12" x14ac:dyDescent="0.25">
      <c r="A67" t="s">
        <v>1589</v>
      </c>
      <c r="B67" t="s">
        <v>869</v>
      </c>
      <c r="C67" t="e">
        <f>INDEX(density!$B$2:$B$17,MATCH(Table3[[#This Row],[bio-based plastics]],density!$A$2:$A$17,0))/INDEX(density!$B$2:$B$17,MATCH(Table3[[#This Row],[traditional plastics]],density!$A$2:$A$17,0))</f>
        <v>#N/A</v>
      </c>
      <c r="D67">
        <f>4.21/5.28</f>
        <v>0.79734848484848475</v>
      </c>
      <c r="E67" t="s">
        <v>1590</v>
      </c>
      <c r="H67" t="s">
        <v>1591</v>
      </c>
      <c r="J67" t="s">
        <v>1473</v>
      </c>
      <c r="K67" t="s">
        <v>1464</v>
      </c>
      <c r="L67" t="s">
        <v>40</v>
      </c>
    </row>
    <row r="68" spans="1:12" x14ac:dyDescent="0.25">
      <c r="A68" t="s">
        <v>865</v>
      </c>
      <c r="B68" t="s">
        <v>866</v>
      </c>
      <c r="C68">
        <f>INDEX(density!$B$2:$B$17,MATCH(Table3[[#This Row],[bio-based plastics]],density!$A$2:$A$17,0))/INDEX(density!$B$2:$B$17,MATCH(Table3[[#This Row],[traditional plastics]],density!$A$2:$A$17,0))</f>
        <v>0.91240875912408759</v>
      </c>
      <c r="D68">
        <f>93.15/165.01</f>
        <v>0.56451124174292477</v>
      </c>
      <c r="E68" t="s">
        <v>1590</v>
      </c>
      <c r="H68" t="s">
        <v>1592</v>
      </c>
      <c r="J68" t="s">
        <v>1511</v>
      </c>
      <c r="K68" t="s">
        <v>1465</v>
      </c>
      <c r="L68" t="s">
        <v>40</v>
      </c>
    </row>
    <row r="69" spans="1:12" x14ac:dyDescent="0.25">
      <c r="A69" t="s">
        <v>865</v>
      </c>
      <c r="B69" t="s">
        <v>864</v>
      </c>
      <c r="C69">
        <f>INDEX(density!$B$2:$B$17,MATCH(Table3[[#This Row],[bio-based plastics]],density!$A$2:$A$17,0))/INDEX(density!$B$2:$B$17,MATCH(Table3[[#This Row],[traditional plastics]],density!$A$2:$A$17,0))</f>
        <v>1.3774104683195592</v>
      </c>
      <c r="D69">
        <f>93.15/107.61</f>
        <v>0.8656258712015612</v>
      </c>
      <c r="E69" t="s">
        <v>1590</v>
      </c>
      <c r="H69" t="s">
        <v>1592</v>
      </c>
      <c r="J69" t="s">
        <v>1511</v>
      </c>
      <c r="K69" t="s">
        <v>1465</v>
      </c>
      <c r="L69" t="s">
        <v>40</v>
      </c>
    </row>
    <row r="70" spans="1:12" x14ac:dyDescent="0.25">
      <c r="A70" t="s">
        <v>865</v>
      </c>
      <c r="B70" t="s">
        <v>864</v>
      </c>
      <c r="C70">
        <f>INDEX(density!$B$2:$B$17,MATCH(Table3[[#This Row],[bio-based plastics]],density!$A$2:$A$17,0))/INDEX(density!$B$2:$B$17,MATCH(Table3[[#This Row],[traditional plastics]],density!$A$2:$A$17,0))</f>
        <v>1.3774104683195592</v>
      </c>
      <c r="D70">
        <f>0.99/0.72</f>
        <v>1.375</v>
      </c>
      <c r="E70" t="s">
        <v>1590</v>
      </c>
      <c r="H70" t="s">
        <v>1593</v>
      </c>
      <c r="J70" t="s">
        <v>1433</v>
      </c>
      <c r="K70" t="s">
        <v>1528</v>
      </c>
      <c r="L70" t="s">
        <v>1614</v>
      </c>
    </row>
    <row r="71" spans="1:12" hidden="1" x14ac:dyDescent="0.25">
      <c r="A71" s="160" t="s">
        <v>867</v>
      </c>
      <c r="B71" s="160" t="s">
        <v>866</v>
      </c>
      <c r="C71">
        <v>0.9051094890510949</v>
      </c>
      <c r="D71">
        <v>0.9051094890510949</v>
      </c>
      <c r="H71" t="s">
        <v>1593</v>
      </c>
      <c r="J71" s="160" t="s">
        <v>1473</v>
      </c>
      <c r="K71" s="160" t="s">
        <v>1464</v>
      </c>
      <c r="L71" t="s">
        <v>1614</v>
      </c>
    </row>
    <row r="72" spans="1:12" hidden="1" x14ac:dyDescent="0.25">
      <c r="A72" s="160" t="s">
        <v>867</v>
      </c>
      <c r="B72" s="160" t="s">
        <v>864</v>
      </c>
      <c r="C72">
        <v>1.3663911845730028</v>
      </c>
      <c r="D72">
        <v>1.3663911845730028</v>
      </c>
      <c r="H72" t="s">
        <v>1593</v>
      </c>
      <c r="J72" t="s">
        <v>1536</v>
      </c>
      <c r="K72" t="s">
        <v>1402</v>
      </c>
      <c r="L72" t="s">
        <v>1614</v>
      </c>
    </row>
    <row r="73" spans="1:12" hidden="1" x14ac:dyDescent="0.25">
      <c r="A73" s="160" t="s">
        <v>867</v>
      </c>
      <c r="B73" s="160" t="s">
        <v>333</v>
      </c>
      <c r="C73">
        <v>1.3011542497376705</v>
      </c>
      <c r="D73">
        <v>1.3011542497376705</v>
      </c>
      <c r="H73" t="s">
        <v>1593</v>
      </c>
      <c r="J73" s="167" t="s">
        <v>1536</v>
      </c>
      <c r="K73" t="s">
        <v>1402</v>
      </c>
      <c r="L73" t="s">
        <v>1614</v>
      </c>
    </row>
    <row r="74" spans="1:12" hidden="1" x14ac:dyDescent="0.25">
      <c r="A74" s="160" t="s">
        <v>867</v>
      </c>
      <c r="B74" s="160" t="s">
        <v>864</v>
      </c>
      <c r="C74">
        <v>1.3663911845730028</v>
      </c>
      <c r="D74">
        <v>1.3663911845730028</v>
      </c>
      <c r="H74" t="s">
        <v>1593</v>
      </c>
      <c r="J74" s="167" t="s">
        <v>1536</v>
      </c>
      <c r="K74" t="s">
        <v>1402</v>
      </c>
      <c r="L74" t="s">
        <v>1614</v>
      </c>
    </row>
    <row r="75" spans="1:12" hidden="1" x14ac:dyDescent="0.25">
      <c r="A75" s="160" t="s">
        <v>862</v>
      </c>
      <c r="B75" s="160" t="s">
        <v>864</v>
      </c>
      <c r="C75">
        <v>1.3774104683195592</v>
      </c>
      <c r="D75">
        <v>1.3774104683195592</v>
      </c>
      <c r="H75" t="s">
        <v>1593</v>
      </c>
      <c r="J75" t="s">
        <v>1436</v>
      </c>
      <c r="K75" t="s">
        <v>1528</v>
      </c>
      <c r="L75" t="s">
        <v>1614</v>
      </c>
    </row>
    <row r="76" spans="1:12" hidden="1" x14ac:dyDescent="0.25">
      <c r="A76" s="160" t="s">
        <v>1605</v>
      </c>
      <c r="B76" s="160" t="s">
        <v>1609</v>
      </c>
      <c r="C76">
        <v>2.4615384615384617</v>
      </c>
      <c r="D76">
        <v>2.4615384615384617</v>
      </c>
      <c r="H76" t="s">
        <v>1593</v>
      </c>
      <c r="J76" t="s">
        <v>1438</v>
      </c>
      <c r="K76" t="s">
        <v>1408</v>
      </c>
      <c r="L76" t="s">
        <v>1614</v>
      </c>
    </row>
    <row r="77" spans="1:12" hidden="1" x14ac:dyDescent="0.25">
      <c r="A77" s="160" t="s">
        <v>1605</v>
      </c>
      <c r="B77" s="160" t="s">
        <v>1530</v>
      </c>
      <c r="C77">
        <v>5.161290322580645</v>
      </c>
      <c r="D77">
        <v>5.161290322580645</v>
      </c>
      <c r="H77" t="s">
        <v>1593</v>
      </c>
      <c r="J77" t="s">
        <v>1438</v>
      </c>
      <c r="K77" t="s">
        <v>1408</v>
      </c>
      <c r="L77" t="s">
        <v>1614</v>
      </c>
    </row>
    <row r="78" spans="1:12" hidden="1" x14ac:dyDescent="0.25">
      <c r="A78" s="160" t="s">
        <v>862</v>
      </c>
      <c r="B78" s="160" t="s">
        <v>333</v>
      </c>
      <c r="C78">
        <v>1.3116474291710387</v>
      </c>
      <c r="D78">
        <v>1.3116474291710387</v>
      </c>
      <c r="H78" t="s">
        <v>1593</v>
      </c>
      <c r="I78" t="s">
        <v>1448</v>
      </c>
      <c r="J78" t="s">
        <v>1625</v>
      </c>
      <c r="K78" t="s">
        <v>1411</v>
      </c>
      <c r="L78" t="s">
        <v>1614</v>
      </c>
    </row>
    <row r="79" spans="1:12" hidden="1" x14ac:dyDescent="0.25">
      <c r="A79" s="160" t="s">
        <v>862</v>
      </c>
      <c r="B79" s="160" t="s">
        <v>864</v>
      </c>
      <c r="C79">
        <v>1.3774104683195592</v>
      </c>
      <c r="D79">
        <v>1.3774104683195592</v>
      </c>
      <c r="H79" t="s">
        <v>1593</v>
      </c>
      <c r="I79" t="s">
        <v>1448</v>
      </c>
      <c r="J79" t="s">
        <v>1625</v>
      </c>
      <c r="K79" t="s">
        <v>1411</v>
      </c>
      <c r="L79" t="s">
        <v>1614</v>
      </c>
    </row>
    <row r="80" spans="1:12" hidden="1" x14ac:dyDescent="0.25">
      <c r="A80" s="160" t="s">
        <v>867</v>
      </c>
      <c r="B80" s="160" t="s">
        <v>333</v>
      </c>
      <c r="C80">
        <v>1.3011542497376705</v>
      </c>
      <c r="D80">
        <v>1.3011542497376705</v>
      </c>
      <c r="H80" t="s">
        <v>1593</v>
      </c>
      <c r="I80" t="s">
        <v>1448</v>
      </c>
      <c r="J80" t="s">
        <v>1625</v>
      </c>
      <c r="K80" t="s">
        <v>1411</v>
      </c>
      <c r="L80" t="s">
        <v>1614</v>
      </c>
    </row>
    <row r="81" spans="1:12" hidden="1" x14ac:dyDescent="0.25">
      <c r="A81" s="160" t="s">
        <v>867</v>
      </c>
      <c r="B81" s="160" t="s">
        <v>864</v>
      </c>
      <c r="C81">
        <v>1.3663911845730028</v>
      </c>
      <c r="D81">
        <v>1.3663911845730028</v>
      </c>
      <c r="H81" t="s">
        <v>1593</v>
      </c>
      <c r="I81" t="s">
        <v>1448</v>
      </c>
      <c r="J81" t="s">
        <v>1625</v>
      </c>
      <c r="K81" t="s">
        <v>1411</v>
      </c>
      <c r="L81" t="s">
        <v>1614</v>
      </c>
    </row>
    <row r="82" spans="1:12" hidden="1" x14ac:dyDescent="0.25">
      <c r="A82" s="160" t="s">
        <v>862</v>
      </c>
      <c r="B82" s="160" t="s">
        <v>333</v>
      </c>
      <c r="C82">
        <v>1.3116474291710387</v>
      </c>
      <c r="D82">
        <v>1.3116474291710387</v>
      </c>
      <c r="H82" t="s">
        <v>1593</v>
      </c>
      <c r="I82" t="s">
        <v>1452</v>
      </c>
      <c r="J82" t="s">
        <v>1625</v>
      </c>
      <c r="K82" t="s">
        <v>1411</v>
      </c>
      <c r="L82" t="s">
        <v>1614</v>
      </c>
    </row>
    <row r="83" spans="1:12" hidden="1" x14ac:dyDescent="0.25">
      <c r="A83" s="160" t="s">
        <v>862</v>
      </c>
      <c r="B83" s="160" t="s">
        <v>864</v>
      </c>
      <c r="C83">
        <v>1.3774104683195592</v>
      </c>
      <c r="D83">
        <v>1.3774104683195592</v>
      </c>
      <c r="H83" t="s">
        <v>1593</v>
      </c>
      <c r="I83" t="s">
        <v>1452</v>
      </c>
      <c r="J83" t="s">
        <v>1625</v>
      </c>
      <c r="K83" t="s">
        <v>1411</v>
      </c>
      <c r="L83" t="s">
        <v>1614</v>
      </c>
    </row>
    <row r="84" spans="1:12" hidden="1" x14ac:dyDescent="0.25">
      <c r="A84" s="160" t="s">
        <v>867</v>
      </c>
      <c r="B84" s="160" t="s">
        <v>333</v>
      </c>
      <c r="C84">
        <v>1.3011542497376705</v>
      </c>
      <c r="D84">
        <v>1.3011542497376705</v>
      </c>
      <c r="H84" t="s">
        <v>1593</v>
      </c>
      <c r="I84" t="s">
        <v>1452</v>
      </c>
      <c r="J84" t="s">
        <v>1625</v>
      </c>
      <c r="K84" t="s">
        <v>1411</v>
      </c>
      <c r="L84" t="s">
        <v>1614</v>
      </c>
    </row>
    <row r="85" spans="1:12" hidden="1" x14ac:dyDescent="0.25">
      <c r="A85" s="160" t="s">
        <v>867</v>
      </c>
      <c r="B85" s="160" t="s">
        <v>864</v>
      </c>
      <c r="C85">
        <v>1.3663911845730028</v>
      </c>
      <c r="D85">
        <v>1.3663911845730028</v>
      </c>
      <c r="H85" t="s">
        <v>1593</v>
      </c>
      <c r="I85" t="s">
        <v>1452</v>
      </c>
      <c r="J85" t="s">
        <v>1625</v>
      </c>
      <c r="K85" t="s">
        <v>1411</v>
      </c>
      <c r="L85" t="s">
        <v>1614</v>
      </c>
    </row>
    <row r="86" spans="1:12" hidden="1" x14ac:dyDescent="0.25">
      <c r="A86" t="s">
        <v>1382</v>
      </c>
      <c r="B86" t="s">
        <v>863</v>
      </c>
      <c r="C86" t="e">
        <f>INDEX(density!$B$2:$B$17,MATCH(Table3[[#This Row],[bio-based plastics]],density!$A$2:$A$17,0))/INDEX(density!$B$2:$B$17,MATCH(Table3[[#This Row],[traditional plastics]],density!$A$2:$A$17,0))</f>
        <v>#N/A</v>
      </c>
      <c r="D86">
        <f>6549/5457</f>
        <v>1.200109950522265</v>
      </c>
      <c r="E86" t="s">
        <v>1381</v>
      </c>
      <c r="F86">
        <v>2017</v>
      </c>
      <c r="I86" t="s">
        <v>1541</v>
      </c>
      <c r="J86" s="175" t="s">
        <v>1633</v>
      </c>
      <c r="K86" t="s">
        <v>1464</v>
      </c>
      <c r="L86" t="s">
        <v>40</v>
      </c>
    </row>
    <row r="87" spans="1:12" hidden="1" x14ac:dyDescent="0.25">
      <c r="A87" s="160" t="s">
        <v>867</v>
      </c>
      <c r="B87" s="160" t="s">
        <v>869</v>
      </c>
      <c r="C87">
        <v>1.3478260869565217</v>
      </c>
      <c r="D87">
        <v>1.3478260869565217</v>
      </c>
      <c r="H87" t="s">
        <v>1593</v>
      </c>
      <c r="I87" t="s">
        <v>1541</v>
      </c>
      <c r="J87" s="175" t="s">
        <v>1633</v>
      </c>
      <c r="K87" t="s">
        <v>1464</v>
      </c>
      <c r="L87" t="s">
        <v>1614</v>
      </c>
    </row>
    <row r="88" spans="1:12" hidden="1" x14ac:dyDescent="0.25">
      <c r="A88" t="s">
        <v>867</v>
      </c>
      <c r="B88" t="s">
        <v>864</v>
      </c>
      <c r="C88">
        <f>INDEX(density!$B$2:$B$17,MATCH(Table3[[#This Row],[bio-based plastics]],density!$A$2:$A$17,0))/INDEX(density!$B$2:$B$17,MATCH(Table3[[#This Row],[traditional plastics]],density!$A$2:$A$17,0))</f>
        <v>1.3663911845730028</v>
      </c>
      <c r="D88">
        <f>1.4/1.2</f>
        <v>1.1666666666666667</v>
      </c>
      <c r="E88" t="s">
        <v>1389</v>
      </c>
      <c r="F88">
        <v>2018</v>
      </c>
      <c r="I88" t="s">
        <v>1388</v>
      </c>
      <c r="J88" t="s">
        <v>1616</v>
      </c>
      <c r="K88" t="s">
        <v>1464</v>
      </c>
      <c r="L88" t="s">
        <v>40</v>
      </c>
    </row>
    <row r="89" spans="1:12" hidden="1" x14ac:dyDescent="0.25">
      <c r="A89" s="160" t="s">
        <v>867</v>
      </c>
      <c r="B89" s="160" t="s">
        <v>864</v>
      </c>
      <c r="C89">
        <v>1.3663911845730028</v>
      </c>
      <c r="D89">
        <v>1.3663911845730028</v>
      </c>
      <c r="H89" t="s">
        <v>1593</v>
      </c>
      <c r="J89" t="s">
        <v>1492</v>
      </c>
      <c r="K89" t="s">
        <v>1465</v>
      </c>
      <c r="L89" t="s">
        <v>1614</v>
      </c>
    </row>
    <row r="90" spans="1:12" hidden="1" x14ac:dyDescent="0.25">
      <c r="A90" s="160" t="s">
        <v>867</v>
      </c>
      <c r="B90" s="160" t="s">
        <v>866</v>
      </c>
      <c r="C90">
        <v>0.9051094890510949</v>
      </c>
      <c r="D90">
        <v>0.9051094890510949</v>
      </c>
      <c r="H90" t="s">
        <v>1593</v>
      </c>
      <c r="J90" t="s">
        <v>1494</v>
      </c>
      <c r="K90" t="s">
        <v>1465</v>
      </c>
      <c r="L90" t="s">
        <v>1614</v>
      </c>
    </row>
    <row r="91" spans="1:12" hidden="1" x14ac:dyDescent="0.25">
      <c r="A91" s="160" t="s">
        <v>867</v>
      </c>
      <c r="B91" s="160" t="s">
        <v>1383</v>
      </c>
      <c r="C91">
        <v>1.1588785046728971</v>
      </c>
      <c r="D91">
        <v>1.1588785046728971</v>
      </c>
      <c r="H91" t="s">
        <v>1593</v>
      </c>
      <c r="J91" t="s">
        <v>1494</v>
      </c>
      <c r="K91" t="s">
        <v>1465</v>
      </c>
      <c r="L91" t="s">
        <v>1614</v>
      </c>
    </row>
    <row r="92" spans="1:12" hidden="1" x14ac:dyDescent="0.25">
      <c r="A92" s="160" t="s">
        <v>1605</v>
      </c>
      <c r="B92" s="160" t="s">
        <v>1530</v>
      </c>
      <c r="C92">
        <f>INDEX(density!$B$2:$B$17,MATCH(Table3[[#This Row],[bio-based plastics]],density!$A$2:$A$17,0))/INDEX(density!$B$2:$B$17,MATCH(Table3[[#This Row],[traditional plastics]],density!$A$2:$A$17,0))</f>
        <v>5.161290322580645</v>
      </c>
      <c r="D92">
        <f>INDEX(density!$B$2:$B$17,MATCH(Table3[[#This Row],[bio-based plastics]],density!$A$2:$A$17,0))/INDEX(density!$B$2:$B$17,MATCH(Table3[[#This Row],[traditional plastics]],density!$A$2:$A$17,0))</f>
        <v>5.161290322580645</v>
      </c>
      <c r="H92" t="s">
        <v>1593</v>
      </c>
      <c r="I92" t="s">
        <v>1443</v>
      </c>
      <c r="J92" t="s">
        <v>1636</v>
      </c>
      <c r="K92" t="s">
        <v>1465</v>
      </c>
      <c r="L92" t="s">
        <v>1614</v>
      </c>
    </row>
    <row r="93" spans="1:12" hidden="1" x14ac:dyDescent="0.25">
      <c r="A93" s="160" t="s">
        <v>867</v>
      </c>
      <c r="B93" s="160" t="s">
        <v>333</v>
      </c>
      <c r="C93">
        <v>1.3011542497376705</v>
      </c>
      <c r="D93">
        <v>1.3011542497376705</v>
      </c>
      <c r="H93" t="s">
        <v>1593</v>
      </c>
      <c r="I93" t="s">
        <v>1443</v>
      </c>
      <c r="J93" t="s">
        <v>1636</v>
      </c>
      <c r="K93" t="s">
        <v>1465</v>
      </c>
      <c r="L93" t="s">
        <v>1614</v>
      </c>
    </row>
    <row r="94" spans="1:12" hidden="1" x14ac:dyDescent="0.25">
      <c r="A94" s="160" t="s">
        <v>1605</v>
      </c>
      <c r="B94" s="160" t="s">
        <v>1530</v>
      </c>
      <c r="C94">
        <v>5.161290322580645</v>
      </c>
      <c r="D94">
        <v>5.161290322580645</v>
      </c>
      <c r="H94" t="s">
        <v>1593</v>
      </c>
      <c r="J94" t="s">
        <v>1535</v>
      </c>
      <c r="K94" t="s">
        <v>1465</v>
      </c>
      <c r="L94" t="s">
        <v>1614</v>
      </c>
    </row>
    <row r="95" spans="1:12" hidden="1" x14ac:dyDescent="0.25">
      <c r="A95" s="160" t="s">
        <v>862</v>
      </c>
      <c r="B95" s="160" t="s">
        <v>864</v>
      </c>
      <c r="C95">
        <v>1.3774104683195592</v>
      </c>
      <c r="D95">
        <v>1.3774104683195592</v>
      </c>
      <c r="H95" t="s">
        <v>1593</v>
      </c>
      <c r="I95" t="s">
        <v>1442</v>
      </c>
      <c r="J95" t="s">
        <v>1636</v>
      </c>
      <c r="K95" t="s">
        <v>1465</v>
      </c>
      <c r="L95" t="s">
        <v>1614</v>
      </c>
    </row>
    <row r="96" spans="1:12" hidden="1" x14ac:dyDescent="0.25">
      <c r="A96" s="160" t="s">
        <v>862</v>
      </c>
      <c r="B96" s="160" t="s">
        <v>1383</v>
      </c>
      <c r="C96">
        <v>1.1682242990654206</v>
      </c>
      <c r="D96">
        <v>1.1682242990654206</v>
      </c>
      <c r="H96" t="s">
        <v>1593</v>
      </c>
      <c r="I96" t="s">
        <v>1442</v>
      </c>
      <c r="J96" t="s">
        <v>1636</v>
      </c>
      <c r="K96" t="s">
        <v>1465</v>
      </c>
      <c r="L96" t="s">
        <v>1614</v>
      </c>
    </row>
    <row r="97" spans="1:12" hidden="1" x14ac:dyDescent="0.25">
      <c r="A97" s="160" t="s">
        <v>862</v>
      </c>
      <c r="B97" s="160" t="s">
        <v>1383</v>
      </c>
      <c r="C97">
        <v>1.1682242990654206</v>
      </c>
      <c r="D97">
        <v>1.1682242990654206</v>
      </c>
      <c r="H97" t="s">
        <v>1593</v>
      </c>
      <c r="J97" t="s">
        <v>1511</v>
      </c>
      <c r="K97" t="s">
        <v>1465</v>
      </c>
      <c r="L97" t="s">
        <v>1614</v>
      </c>
    </row>
    <row r="98" spans="1:12" hidden="1" x14ac:dyDescent="0.25">
      <c r="A98" s="160" t="s">
        <v>867</v>
      </c>
      <c r="B98" s="160" t="s">
        <v>866</v>
      </c>
      <c r="C98">
        <v>0.9051094890510949</v>
      </c>
      <c r="D98">
        <v>0.9051094890510949</v>
      </c>
      <c r="H98" t="s">
        <v>1593</v>
      </c>
      <c r="J98" t="s">
        <v>1526</v>
      </c>
      <c r="K98" t="s">
        <v>1513</v>
      </c>
      <c r="L98" t="s">
        <v>1614</v>
      </c>
    </row>
    <row r="99" spans="1:12" hidden="1" x14ac:dyDescent="0.25">
      <c r="A99" s="160" t="s">
        <v>867</v>
      </c>
      <c r="B99" s="160" t="s">
        <v>864</v>
      </c>
      <c r="C99">
        <v>1.3663911845730028</v>
      </c>
      <c r="D99">
        <v>1.3663911845730028</v>
      </c>
      <c r="H99" t="s">
        <v>1593</v>
      </c>
      <c r="J99" t="s">
        <v>1526</v>
      </c>
      <c r="K99" t="s">
        <v>1513</v>
      </c>
      <c r="L99" t="s">
        <v>1614</v>
      </c>
    </row>
    <row r="100" spans="1:12" hidden="1" x14ac:dyDescent="0.25">
      <c r="A100" s="160" t="s">
        <v>867</v>
      </c>
      <c r="B100" s="160" t="s">
        <v>333</v>
      </c>
      <c r="C100">
        <v>1.3011542497376705</v>
      </c>
      <c r="D100">
        <v>1.3011542497376705</v>
      </c>
      <c r="H100" t="s">
        <v>1593</v>
      </c>
      <c r="J100" t="s">
        <v>1526</v>
      </c>
      <c r="K100" t="s">
        <v>1513</v>
      </c>
      <c r="L100" t="s">
        <v>1614</v>
      </c>
    </row>
    <row r="101" spans="1:12" hidden="1" x14ac:dyDescent="0.25">
      <c r="A101" s="160" t="s">
        <v>867</v>
      </c>
      <c r="B101" s="160" t="s">
        <v>869</v>
      </c>
      <c r="C101">
        <v>1.3478260869565217</v>
      </c>
      <c r="D101">
        <v>1.3478260869565217</v>
      </c>
      <c r="H101" t="s">
        <v>1593</v>
      </c>
      <c r="J101" t="s">
        <v>1526</v>
      </c>
      <c r="K101" t="s">
        <v>1513</v>
      </c>
      <c r="L101" t="s">
        <v>1614</v>
      </c>
    </row>
    <row r="102" spans="1:12" hidden="1" x14ac:dyDescent="0.25">
      <c r="A102" s="177" t="s">
        <v>867</v>
      </c>
      <c r="B102" s="177" t="s">
        <v>1532</v>
      </c>
      <c r="C102" s="177">
        <f>INDEX(density!$B$2:$B$17,MATCH(Table3[[#This Row],[bio-based plastics]],density!$A$2:$A$17,0))/INDEX(density!$B$2:$B$17,MATCH(Table3[[#This Row],[traditional plastics]],density!$A$2:$A$17,0))</f>
        <v>1.2097560975609756</v>
      </c>
      <c r="D102" s="177">
        <f>0.49/0.752</f>
        <v>0.65159574468085102</v>
      </c>
      <c r="E102" s="177" t="s">
        <v>1579</v>
      </c>
      <c r="F102" s="177">
        <v>2016</v>
      </c>
      <c r="G102" s="177"/>
      <c r="H102" s="177"/>
      <c r="I102" s="178" t="s">
        <v>1457</v>
      </c>
      <c r="J102" s="175" t="s">
        <v>1632</v>
      </c>
      <c r="K102" s="177" t="s">
        <v>1534</v>
      </c>
      <c r="L102" s="177" t="s">
        <v>40</v>
      </c>
    </row>
    <row r="103" spans="1:12" hidden="1" x14ac:dyDescent="0.25">
      <c r="A103" t="s">
        <v>867</v>
      </c>
      <c r="B103" t="s">
        <v>869</v>
      </c>
      <c r="C103">
        <f>INDEX(density!$B$2:$B$17,MATCH(Table3[[#This Row],[bio-based plastics]],density!$A$2:$A$17,0))/INDEX(density!$B$2:$B$17,MATCH(Table3[[#This Row],[traditional plastics]],density!$A$2:$A$17,0))</f>
        <v>1.3478260869565217</v>
      </c>
      <c r="D103">
        <f>13/14</f>
        <v>0.9285714285714286</v>
      </c>
      <c r="E103" t="s">
        <v>1571</v>
      </c>
      <c r="F103">
        <v>1997</v>
      </c>
      <c r="G103" t="s">
        <v>1573</v>
      </c>
      <c r="I103" t="s">
        <v>1572</v>
      </c>
      <c r="J103" t="s">
        <v>1625</v>
      </c>
      <c r="K103" t="s">
        <v>1411</v>
      </c>
      <c r="L103" t="s">
        <v>40</v>
      </c>
    </row>
    <row r="106" spans="1:12" x14ac:dyDescent="0.25">
      <c r="L106" t="s">
        <v>1615</v>
      </c>
    </row>
  </sheetData>
  <hyperlinks>
    <hyperlink ref="E8" r:id="rId1"/>
    <hyperlink ref="E18" r:id="rId2"/>
    <hyperlink ref="E20" r:id="rId3"/>
    <hyperlink ref="E3" r:id="rId4"/>
    <hyperlink ref="E23" r:id="rId5"/>
    <hyperlink ref="E15" r:id="rId6"/>
  </hyperlinks>
  <pageMargins left="0.7" right="0.7" top="0.75" bottom="0.75" header="0.3" footer="0.3"/>
  <drawing r:id="rId7"/>
  <tableParts count="1">
    <tablePart r:id="rId8"/>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9"/>
  <sheetViews>
    <sheetView workbookViewId="0">
      <selection activeCell="C34" sqref="C34"/>
    </sheetView>
  </sheetViews>
  <sheetFormatPr defaultRowHeight="15" x14ac:dyDescent="0.25"/>
  <cols>
    <col min="1" max="1" width="19" customWidth="1"/>
    <col min="2" max="2" width="19.42578125" customWidth="1"/>
    <col min="3" max="3" width="13" customWidth="1"/>
    <col min="6" max="6" width="17" customWidth="1"/>
    <col min="7" max="7" width="15.85546875" customWidth="1"/>
    <col min="8" max="8" width="17.28515625" customWidth="1"/>
    <col min="9" max="9" width="26" customWidth="1"/>
    <col min="10" max="10" width="33.140625" customWidth="1"/>
    <col min="11" max="11" width="24.28515625" customWidth="1"/>
    <col min="12" max="12" width="13.85546875" customWidth="1"/>
    <col min="13" max="13" width="16" customWidth="1"/>
    <col min="14" max="14" width="17.7109375" customWidth="1"/>
    <col min="15" max="15" width="21.140625" customWidth="1"/>
    <col min="16" max="16" width="19.140625" customWidth="1"/>
  </cols>
  <sheetData>
    <row r="1" spans="1:16" x14ac:dyDescent="0.25">
      <c r="A1" t="s">
        <v>1342</v>
      </c>
      <c r="B1" t="s">
        <v>1343</v>
      </c>
      <c r="C1" t="s">
        <v>1369</v>
      </c>
      <c r="D1" t="s">
        <v>1428</v>
      </c>
      <c r="E1" t="s">
        <v>1608</v>
      </c>
      <c r="F1" t="s">
        <v>1514</v>
      </c>
      <c r="G1" t="s">
        <v>1515</v>
      </c>
      <c r="H1" t="s">
        <v>1516</v>
      </c>
      <c r="I1" t="s">
        <v>1517</v>
      </c>
      <c r="J1" t="s">
        <v>1518</v>
      </c>
      <c r="K1" t="s">
        <v>1519</v>
      </c>
      <c r="L1" t="s">
        <v>1520</v>
      </c>
      <c r="M1" t="s">
        <v>1521</v>
      </c>
      <c r="N1" t="s">
        <v>1522</v>
      </c>
      <c r="O1" t="s">
        <v>1523</v>
      </c>
      <c r="P1" t="s">
        <v>1524</v>
      </c>
    </row>
    <row r="2" spans="1:16" x14ac:dyDescent="0.25">
      <c r="A2" t="s">
        <v>867</v>
      </c>
      <c r="B2" t="s">
        <v>870</v>
      </c>
      <c r="C2" t="s">
        <v>1404</v>
      </c>
      <c r="D2" t="s">
        <v>1402</v>
      </c>
      <c r="F2">
        <v>1</v>
      </c>
      <c r="G2">
        <v>0</v>
      </c>
      <c r="H2">
        <v>1</v>
      </c>
      <c r="I2">
        <v>1</v>
      </c>
      <c r="J2">
        <v>0</v>
      </c>
      <c r="K2">
        <v>5</v>
      </c>
      <c r="L2" t="s">
        <v>1525</v>
      </c>
      <c r="M2">
        <v>0</v>
      </c>
      <c r="N2">
        <v>1</v>
      </c>
      <c r="O2">
        <v>1</v>
      </c>
      <c r="P2">
        <v>0</v>
      </c>
    </row>
    <row r="3" spans="1:16" s="160" customFormat="1" hidden="1" x14ac:dyDescent="0.25">
      <c r="A3" t="s">
        <v>1347</v>
      </c>
      <c r="B3" t="s">
        <v>870</v>
      </c>
      <c r="C3" t="s">
        <v>1404</v>
      </c>
      <c r="D3" t="s">
        <v>1402</v>
      </c>
      <c r="E3"/>
      <c r="F3">
        <v>1</v>
      </c>
      <c r="G3">
        <v>0</v>
      </c>
      <c r="H3">
        <v>1</v>
      </c>
      <c r="I3">
        <v>1</v>
      </c>
      <c r="J3">
        <v>0</v>
      </c>
      <c r="K3">
        <v>5</v>
      </c>
      <c r="L3" t="s">
        <v>1525</v>
      </c>
      <c r="M3">
        <v>0</v>
      </c>
      <c r="N3">
        <v>1</v>
      </c>
      <c r="O3">
        <v>1</v>
      </c>
      <c r="P3">
        <v>0</v>
      </c>
    </row>
    <row r="4" spans="1:16" hidden="1" x14ac:dyDescent="0.25">
      <c r="A4" t="s">
        <v>865</v>
      </c>
      <c r="B4" t="s">
        <v>870</v>
      </c>
      <c r="C4" t="s">
        <v>1404</v>
      </c>
      <c r="D4" t="s">
        <v>1402</v>
      </c>
      <c r="F4">
        <v>1</v>
      </c>
      <c r="G4">
        <v>0</v>
      </c>
      <c r="H4">
        <v>1</v>
      </c>
      <c r="I4">
        <v>1</v>
      </c>
      <c r="J4">
        <v>0</v>
      </c>
      <c r="K4">
        <v>5</v>
      </c>
      <c r="L4" t="s">
        <v>1525</v>
      </c>
      <c r="M4">
        <v>0</v>
      </c>
      <c r="N4">
        <v>1</v>
      </c>
      <c r="O4">
        <v>1</v>
      </c>
      <c r="P4">
        <v>0</v>
      </c>
    </row>
    <row r="5" spans="1:16" hidden="1" x14ac:dyDescent="0.25">
      <c r="A5" s="160" t="s">
        <v>861</v>
      </c>
      <c r="B5" s="160" t="s">
        <v>864</v>
      </c>
      <c r="C5" t="s">
        <v>1436</v>
      </c>
      <c r="D5" t="s">
        <v>1528</v>
      </c>
      <c r="E5" t="e">
        <f>INDEX(density!$B$2:$B$16,MATCH(Table2[[#This Row],[bio-based plastics]],density!$A$2:$A$16,0))/INDEX(density!$B$2:$B$16,MATCH(Table2[[#This Row],[traditional plastics]],density!$A$2:$A$16,0))</f>
        <v>#N/A</v>
      </c>
      <c r="F5">
        <v>1</v>
      </c>
      <c r="G5">
        <v>0</v>
      </c>
      <c r="H5">
        <v>0</v>
      </c>
      <c r="I5">
        <v>1</v>
      </c>
      <c r="J5">
        <v>0</v>
      </c>
      <c r="K5">
        <v>3</v>
      </c>
      <c r="L5" t="s">
        <v>1527</v>
      </c>
      <c r="M5">
        <v>0</v>
      </c>
      <c r="N5">
        <v>1</v>
      </c>
      <c r="O5">
        <v>0</v>
      </c>
      <c r="P5">
        <v>1</v>
      </c>
    </row>
    <row r="6" spans="1:16" x14ac:dyDescent="0.25">
      <c r="A6" s="160" t="s">
        <v>867</v>
      </c>
      <c r="B6" s="160" t="s">
        <v>864</v>
      </c>
      <c r="C6" t="s">
        <v>1536</v>
      </c>
      <c r="D6" t="s">
        <v>1402</v>
      </c>
      <c r="E6">
        <f>INDEX(density!$B$2:$B$16,MATCH(Table2[[#This Row],[bio-based plastics]],density!$A$2:$A$16,0))/INDEX(density!$B$2:$B$16,MATCH(Table2[[#This Row],[traditional plastics]],density!$A$2:$A$16,0))</f>
        <v>1.3663911845730028</v>
      </c>
      <c r="F6">
        <v>1</v>
      </c>
      <c r="G6">
        <v>0</v>
      </c>
      <c r="H6">
        <v>1</v>
      </c>
      <c r="I6">
        <v>1</v>
      </c>
      <c r="J6">
        <v>1</v>
      </c>
      <c r="K6">
        <v>3</v>
      </c>
      <c r="L6" t="s">
        <v>1525</v>
      </c>
      <c r="M6">
        <v>0</v>
      </c>
      <c r="N6">
        <v>1</v>
      </c>
      <c r="O6">
        <v>1</v>
      </c>
      <c r="P6">
        <v>0</v>
      </c>
    </row>
    <row r="7" spans="1:16" hidden="1" x14ac:dyDescent="0.25">
      <c r="A7" s="160" t="s">
        <v>861</v>
      </c>
      <c r="B7" s="160" t="s">
        <v>863</v>
      </c>
      <c r="C7" t="s">
        <v>1448</v>
      </c>
      <c r="D7" t="s">
        <v>1411</v>
      </c>
      <c r="E7" t="e">
        <f>INDEX(density!$B$2:$B$16,MATCH(Table2[[#This Row],[bio-based plastics]],density!$A$2:$A$16,0))/INDEX(density!$B$2:$B$16,MATCH(Table2[[#This Row],[traditional plastics]],density!$A$2:$A$16,0))</f>
        <v>#N/A</v>
      </c>
      <c r="F7">
        <v>1</v>
      </c>
      <c r="G7">
        <v>0</v>
      </c>
      <c r="H7">
        <v>1</v>
      </c>
      <c r="I7">
        <v>1</v>
      </c>
      <c r="J7">
        <v>0</v>
      </c>
      <c r="K7">
        <v>4</v>
      </c>
      <c r="L7" t="s">
        <v>1525</v>
      </c>
      <c r="M7">
        <v>0</v>
      </c>
      <c r="N7">
        <v>1</v>
      </c>
      <c r="O7">
        <v>1</v>
      </c>
      <c r="P7">
        <v>0</v>
      </c>
    </row>
    <row r="8" spans="1:16" x14ac:dyDescent="0.25">
      <c r="A8" s="160" t="s">
        <v>867</v>
      </c>
      <c r="B8" s="160" t="s">
        <v>333</v>
      </c>
      <c r="C8" t="s">
        <v>1431</v>
      </c>
      <c r="D8" t="s">
        <v>1402</v>
      </c>
      <c r="E8">
        <f>INDEX(density!$B$2:$B$16,MATCH(Table2[[#This Row],[bio-based plastics]],density!$A$2:$A$16,0))/INDEX(density!$B$2:$B$16,MATCH(Table2[[#This Row],[traditional plastics]],density!$A$2:$A$16,0))</f>
        <v>1.3011542497376705</v>
      </c>
      <c r="F8">
        <v>1</v>
      </c>
      <c r="G8">
        <v>0</v>
      </c>
      <c r="H8">
        <v>1</v>
      </c>
      <c r="I8">
        <v>1</v>
      </c>
      <c r="J8">
        <v>0</v>
      </c>
      <c r="K8">
        <v>3</v>
      </c>
      <c r="L8" t="s">
        <v>1525</v>
      </c>
      <c r="M8">
        <v>0</v>
      </c>
      <c r="N8">
        <v>1</v>
      </c>
      <c r="O8">
        <v>1</v>
      </c>
      <c r="P8">
        <v>1</v>
      </c>
    </row>
    <row r="9" spans="1:16" x14ac:dyDescent="0.25">
      <c r="A9" s="160" t="s">
        <v>867</v>
      </c>
      <c r="B9" s="160" t="s">
        <v>864</v>
      </c>
      <c r="C9" t="s">
        <v>1431</v>
      </c>
      <c r="D9" t="s">
        <v>1402</v>
      </c>
      <c r="E9">
        <f>INDEX(density!$B$2:$B$16,MATCH(Table2[[#This Row],[bio-based plastics]],density!$A$2:$A$16,0))/INDEX(density!$B$2:$B$16,MATCH(Table2[[#This Row],[traditional plastics]],density!$A$2:$A$16,0))</f>
        <v>1.3663911845730028</v>
      </c>
      <c r="F9">
        <v>1</v>
      </c>
      <c r="G9">
        <v>0</v>
      </c>
      <c r="H9">
        <v>1</v>
      </c>
      <c r="I9">
        <v>1</v>
      </c>
      <c r="J9">
        <v>0</v>
      </c>
      <c r="K9">
        <v>3</v>
      </c>
      <c r="L9" t="s">
        <v>1525</v>
      </c>
      <c r="M9">
        <v>0</v>
      </c>
      <c r="N9">
        <v>1</v>
      </c>
      <c r="O9">
        <v>1</v>
      </c>
      <c r="P9">
        <v>1</v>
      </c>
    </row>
    <row r="10" spans="1:16" x14ac:dyDescent="0.25">
      <c r="A10" t="s">
        <v>867</v>
      </c>
      <c r="B10" t="s">
        <v>864</v>
      </c>
      <c r="C10" t="s">
        <v>1433</v>
      </c>
      <c r="D10" t="s">
        <v>1528</v>
      </c>
      <c r="F10">
        <v>1</v>
      </c>
      <c r="G10">
        <v>0</v>
      </c>
      <c r="H10">
        <v>0</v>
      </c>
      <c r="I10">
        <v>1</v>
      </c>
      <c r="J10">
        <v>0</v>
      </c>
      <c r="K10">
        <v>5</v>
      </c>
      <c r="L10" t="s">
        <v>1527</v>
      </c>
      <c r="M10">
        <v>0</v>
      </c>
      <c r="N10">
        <v>1</v>
      </c>
      <c r="O10">
        <v>0</v>
      </c>
      <c r="P10">
        <v>1</v>
      </c>
    </row>
    <row r="11" spans="1:16" hidden="1" x14ac:dyDescent="0.25">
      <c r="A11" s="160" t="s">
        <v>861</v>
      </c>
      <c r="B11" s="160" t="s">
        <v>864</v>
      </c>
      <c r="C11" t="s">
        <v>1448</v>
      </c>
      <c r="D11" t="s">
        <v>1411</v>
      </c>
      <c r="E11" t="e">
        <f>INDEX(density!$B$2:$B$16,MATCH(Table2[[#This Row],[bio-based plastics]],density!$A$2:$A$16,0))/INDEX(density!$B$2:$B$16,MATCH(Table2[[#This Row],[traditional plastics]],density!$A$2:$A$16,0))</f>
        <v>#N/A</v>
      </c>
      <c r="F11">
        <v>1</v>
      </c>
      <c r="G11">
        <v>0</v>
      </c>
      <c r="H11">
        <v>1</v>
      </c>
      <c r="I11">
        <v>1</v>
      </c>
      <c r="J11">
        <v>0</v>
      </c>
      <c r="K11">
        <v>4</v>
      </c>
      <c r="L11" t="s">
        <v>1525</v>
      </c>
      <c r="M11">
        <v>0</v>
      </c>
      <c r="N11">
        <v>1</v>
      </c>
      <c r="O11">
        <v>1</v>
      </c>
      <c r="P11">
        <v>0</v>
      </c>
    </row>
    <row r="12" spans="1:16" hidden="1" x14ac:dyDescent="0.25">
      <c r="A12" s="160" t="s">
        <v>865</v>
      </c>
      <c r="B12" s="160" t="s">
        <v>1500</v>
      </c>
      <c r="C12" t="s">
        <v>1433</v>
      </c>
      <c r="D12" t="s">
        <v>1528</v>
      </c>
      <c r="F12">
        <v>1</v>
      </c>
      <c r="G12">
        <v>0</v>
      </c>
      <c r="H12">
        <v>0</v>
      </c>
      <c r="I12">
        <v>1</v>
      </c>
      <c r="J12">
        <v>0</v>
      </c>
      <c r="K12">
        <v>5</v>
      </c>
      <c r="L12" t="s">
        <v>1527</v>
      </c>
      <c r="M12">
        <v>0</v>
      </c>
      <c r="N12">
        <v>1</v>
      </c>
      <c r="O12">
        <v>0</v>
      </c>
      <c r="P12">
        <v>1</v>
      </c>
    </row>
    <row r="13" spans="1:16" hidden="1" x14ac:dyDescent="0.25">
      <c r="A13" s="160" t="s">
        <v>862</v>
      </c>
      <c r="B13" s="160" t="s">
        <v>864</v>
      </c>
      <c r="C13" t="s">
        <v>1436</v>
      </c>
      <c r="D13" t="s">
        <v>1528</v>
      </c>
      <c r="E13">
        <f>INDEX(density!$B$2:$B$16,MATCH(Table2[[#This Row],[bio-based plastics]],density!$A$2:$A$16,0))/INDEX(density!$B$2:$B$16,MATCH(Table2[[#This Row],[traditional plastics]],density!$A$2:$A$16,0))</f>
        <v>1.3774104683195592</v>
      </c>
      <c r="F13">
        <v>1</v>
      </c>
      <c r="G13">
        <v>0</v>
      </c>
      <c r="H13">
        <v>0</v>
      </c>
      <c r="I13">
        <v>1</v>
      </c>
      <c r="J13">
        <v>0</v>
      </c>
      <c r="K13">
        <v>3</v>
      </c>
      <c r="L13" t="s">
        <v>1527</v>
      </c>
      <c r="M13">
        <v>0</v>
      </c>
      <c r="N13">
        <v>1</v>
      </c>
      <c r="O13">
        <v>0</v>
      </c>
      <c r="P13">
        <v>1</v>
      </c>
    </row>
    <row r="14" spans="1:16" x14ac:dyDescent="0.25">
      <c r="A14" s="160" t="s">
        <v>1605</v>
      </c>
      <c r="B14" s="160" t="s">
        <v>1609</v>
      </c>
      <c r="C14" t="s">
        <v>1438</v>
      </c>
      <c r="D14" t="s">
        <v>1408</v>
      </c>
      <c r="E14">
        <f>INDEX(density!$B$2:$B$16,MATCH(Table2[[#This Row],[bio-based plastics]],density!$A$2:$A$16,0))/INDEX(density!$B$2:$B$17,MATCH(Table2[[#This Row],[traditional plastics]],density!$A$2:$A$17,0))</f>
        <v>2.4615384615384617</v>
      </c>
      <c r="F14">
        <v>1</v>
      </c>
      <c r="G14">
        <v>0</v>
      </c>
      <c r="H14">
        <v>1</v>
      </c>
      <c r="I14">
        <v>1</v>
      </c>
      <c r="J14">
        <v>0</v>
      </c>
      <c r="K14">
        <v>4</v>
      </c>
      <c r="L14" t="s">
        <v>1531</v>
      </c>
      <c r="M14">
        <v>0</v>
      </c>
      <c r="N14">
        <v>1</v>
      </c>
      <c r="O14">
        <v>0</v>
      </c>
      <c r="P14">
        <v>1</v>
      </c>
    </row>
    <row r="15" spans="1:16" x14ac:dyDescent="0.25">
      <c r="A15" s="160" t="s">
        <v>1605</v>
      </c>
      <c r="B15" s="160" t="s">
        <v>1530</v>
      </c>
      <c r="C15" t="s">
        <v>1438</v>
      </c>
      <c r="D15" t="s">
        <v>1408</v>
      </c>
      <c r="E15">
        <f>INDEX(density!$B$2:$B$16,MATCH(Table2[[#This Row],[bio-based plastics]],density!$A$2:$A$16,0))/INDEX(density!$B$2:$B$16,MATCH(Table2[[#This Row],[traditional plastics]],density!$A$2:$A$16,0))</f>
        <v>5.161290322580645</v>
      </c>
      <c r="F15">
        <v>1</v>
      </c>
      <c r="G15">
        <v>0</v>
      </c>
      <c r="H15">
        <v>1</v>
      </c>
      <c r="I15">
        <v>1</v>
      </c>
      <c r="J15">
        <v>0</v>
      </c>
      <c r="K15">
        <v>4</v>
      </c>
      <c r="L15" t="s">
        <v>1531</v>
      </c>
      <c r="M15">
        <v>0</v>
      </c>
      <c r="N15">
        <v>1</v>
      </c>
      <c r="O15">
        <v>0</v>
      </c>
      <c r="P15">
        <v>1</v>
      </c>
    </row>
    <row r="16" spans="1:16" x14ac:dyDescent="0.25">
      <c r="A16" s="161" t="s">
        <v>867</v>
      </c>
      <c r="B16" s="161" t="s">
        <v>1530</v>
      </c>
      <c r="C16" t="s">
        <v>1537</v>
      </c>
      <c r="D16" t="s">
        <v>1411</v>
      </c>
      <c r="F16">
        <v>1</v>
      </c>
      <c r="G16">
        <v>0</v>
      </c>
      <c r="H16">
        <v>1</v>
      </c>
      <c r="I16">
        <v>1</v>
      </c>
      <c r="J16">
        <v>1</v>
      </c>
      <c r="K16">
        <v>3</v>
      </c>
      <c r="L16" t="s">
        <v>1527</v>
      </c>
      <c r="M16">
        <v>0</v>
      </c>
      <c r="N16">
        <v>1</v>
      </c>
      <c r="O16">
        <v>0</v>
      </c>
      <c r="P16">
        <v>1</v>
      </c>
    </row>
    <row r="17" spans="1:16" hidden="1" x14ac:dyDescent="0.25">
      <c r="A17" s="160" t="s">
        <v>865</v>
      </c>
      <c r="B17" s="160" t="s">
        <v>1500</v>
      </c>
      <c r="C17" t="s">
        <v>1538</v>
      </c>
      <c r="D17" t="s">
        <v>1411</v>
      </c>
      <c r="F17">
        <v>1</v>
      </c>
      <c r="G17">
        <v>0</v>
      </c>
      <c r="H17">
        <v>0</v>
      </c>
      <c r="I17">
        <v>1</v>
      </c>
      <c r="J17">
        <v>0</v>
      </c>
      <c r="K17">
        <v>1</v>
      </c>
      <c r="L17" t="s">
        <v>1527</v>
      </c>
      <c r="M17">
        <v>0</v>
      </c>
      <c r="N17">
        <v>1</v>
      </c>
      <c r="O17">
        <v>0</v>
      </c>
      <c r="P17">
        <v>1</v>
      </c>
    </row>
    <row r="18" spans="1:16" hidden="1" x14ac:dyDescent="0.25">
      <c r="A18" s="160" t="s">
        <v>862</v>
      </c>
      <c r="B18" s="160" t="s">
        <v>333</v>
      </c>
      <c r="C18" t="s">
        <v>1448</v>
      </c>
      <c r="D18" t="s">
        <v>1411</v>
      </c>
      <c r="E18">
        <f>INDEX(density!$B$2:$B$16,MATCH(Table2[[#This Row],[bio-based plastics]],density!$A$2:$A$16,0))/INDEX(density!$B$2:$B$16,MATCH(Table2[[#This Row],[traditional plastics]],density!$A$2:$A$16,0))</f>
        <v>1.3116474291710387</v>
      </c>
      <c r="F18">
        <v>1</v>
      </c>
      <c r="G18">
        <v>0</v>
      </c>
      <c r="H18">
        <v>1</v>
      </c>
      <c r="I18">
        <v>1</v>
      </c>
      <c r="J18">
        <v>0</v>
      </c>
      <c r="K18">
        <v>4</v>
      </c>
      <c r="L18" t="s">
        <v>1525</v>
      </c>
      <c r="M18">
        <v>0</v>
      </c>
      <c r="N18">
        <v>1</v>
      </c>
      <c r="O18">
        <v>1</v>
      </c>
      <c r="P18">
        <v>0</v>
      </c>
    </row>
    <row r="19" spans="1:16" hidden="1" x14ac:dyDescent="0.25">
      <c r="A19" s="160" t="s">
        <v>862</v>
      </c>
      <c r="B19" s="160" t="s">
        <v>864</v>
      </c>
      <c r="C19" t="s">
        <v>1448</v>
      </c>
      <c r="D19" t="s">
        <v>1411</v>
      </c>
      <c r="E19">
        <f>INDEX(density!$B$2:$B$16,MATCH(Table2[[#This Row],[bio-based plastics]],density!$A$2:$A$16,0))/INDEX(density!$B$2:$B$16,MATCH(Table2[[#This Row],[traditional plastics]],density!$A$2:$A$16,0))</f>
        <v>1.3774104683195592</v>
      </c>
      <c r="F19">
        <v>1</v>
      </c>
      <c r="G19">
        <v>0</v>
      </c>
      <c r="H19">
        <v>1</v>
      </c>
      <c r="I19">
        <v>1</v>
      </c>
      <c r="J19">
        <v>0</v>
      </c>
      <c r="K19">
        <v>4</v>
      </c>
      <c r="L19" t="s">
        <v>1525</v>
      </c>
      <c r="M19">
        <v>0</v>
      </c>
      <c r="N19">
        <v>1</v>
      </c>
      <c r="O19">
        <v>1</v>
      </c>
      <c r="P19">
        <v>0</v>
      </c>
    </row>
    <row r="20" spans="1:16" x14ac:dyDescent="0.25">
      <c r="A20" s="160" t="s">
        <v>867</v>
      </c>
      <c r="B20" s="160" t="s">
        <v>333</v>
      </c>
      <c r="C20" t="s">
        <v>1448</v>
      </c>
      <c r="D20" t="s">
        <v>1411</v>
      </c>
      <c r="E20">
        <f>INDEX(density!$B$2:$B$16,MATCH(Table2[[#This Row],[bio-based plastics]],density!$A$2:$A$16,0))/INDEX(density!$B$2:$B$16,MATCH(Table2[[#This Row],[traditional plastics]],density!$A$2:$A$16,0))</f>
        <v>1.3011542497376705</v>
      </c>
      <c r="F20">
        <v>1</v>
      </c>
      <c r="G20">
        <v>0</v>
      </c>
      <c r="H20">
        <v>1</v>
      </c>
      <c r="I20">
        <v>1</v>
      </c>
      <c r="J20">
        <v>1</v>
      </c>
      <c r="K20">
        <v>4</v>
      </c>
      <c r="L20" t="s">
        <v>1525</v>
      </c>
      <c r="M20">
        <v>0</v>
      </c>
      <c r="N20">
        <v>1</v>
      </c>
      <c r="O20">
        <v>1</v>
      </c>
      <c r="P20">
        <v>0</v>
      </c>
    </row>
    <row r="21" spans="1:16" x14ac:dyDescent="0.25">
      <c r="A21" s="160" t="s">
        <v>867</v>
      </c>
      <c r="B21" s="160" t="s">
        <v>864</v>
      </c>
      <c r="C21" t="s">
        <v>1448</v>
      </c>
      <c r="D21" t="s">
        <v>1411</v>
      </c>
      <c r="E21">
        <f>INDEX(density!$B$2:$B$16,MATCH(Table2[[#This Row],[bio-based plastics]],density!$A$2:$A$16,0))/INDEX(density!$B$2:$B$16,MATCH(Table2[[#This Row],[traditional plastics]],density!$A$2:$A$16,0))</f>
        <v>1.3663911845730028</v>
      </c>
      <c r="F21">
        <v>1</v>
      </c>
      <c r="G21">
        <v>0</v>
      </c>
      <c r="H21">
        <v>1</v>
      </c>
      <c r="I21">
        <v>1</v>
      </c>
      <c r="J21">
        <v>1</v>
      </c>
      <c r="K21">
        <v>4</v>
      </c>
      <c r="L21" t="s">
        <v>1525</v>
      </c>
      <c r="M21">
        <v>0</v>
      </c>
      <c r="N21">
        <v>1</v>
      </c>
      <c r="O21">
        <v>1</v>
      </c>
      <c r="P21">
        <v>0</v>
      </c>
    </row>
    <row r="22" spans="1:16" hidden="1" x14ac:dyDescent="0.25">
      <c r="A22" s="160" t="s">
        <v>862</v>
      </c>
      <c r="B22" s="160" t="s">
        <v>333</v>
      </c>
      <c r="C22" t="s">
        <v>1452</v>
      </c>
      <c r="D22" t="s">
        <v>1411</v>
      </c>
      <c r="E22">
        <f>INDEX(density!$B$2:$B$16,MATCH(Table2[[#This Row],[bio-based plastics]],density!$A$2:$A$16,0))/INDEX(density!$B$2:$B$16,MATCH(Table2[[#This Row],[traditional plastics]],density!$A$2:$A$16,0))</f>
        <v>1.3116474291710387</v>
      </c>
      <c r="F22">
        <v>1</v>
      </c>
      <c r="G22">
        <v>0</v>
      </c>
      <c r="H22">
        <v>1</v>
      </c>
      <c r="I22">
        <v>1</v>
      </c>
      <c r="J22">
        <v>0</v>
      </c>
      <c r="K22">
        <v>5</v>
      </c>
      <c r="L22" t="s">
        <v>1525</v>
      </c>
      <c r="M22">
        <v>0</v>
      </c>
      <c r="N22">
        <v>1</v>
      </c>
      <c r="O22">
        <v>1</v>
      </c>
      <c r="P22">
        <v>0</v>
      </c>
    </row>
    <row r="23" spans="1:16" hidden="1" x14ac:dyDescent="0.25">
      <c r="A23" s="160" t="s">
        <v>862</v>
      </c>
      <c r="B23" s="160" t="s">
        <v>864</v>
      </c>
      <c r="C23" t="s">
        <v>1452</v>
      </c>
      <c r="D23" t="s">
        <v>1411</v>
      </c>
      <c r="E23">
        <f>INDEX(density!$B$2:$B$16,MATCH(Table2[[#This Row],[bio-based plastics]],density!$A$2:$A$16,0))/INDEX(density!$B$2:$B$16,MATCH(Table2[[#This Row],[traditional plastics]],density!$A$2:$A$16,0))</f>
        <v>1.3774104683195592</v>
      </c>
      <c r="F23">
        <v>1</v>
      </c>
      <c r="G23">
        <v>0</v>
      </c>
      <c r="H23">
        <v>1</v>
      </c>
      <c r="I23">
        <v>1</v>
      </c>
      <c r="J23">
        <v>0</v>
      </c>
      <c r="K23">
        <v>5</v>
      </c>
      <c r="L23" t="s">
        <v>1525</v>
      </c>
      <c r="M23">
        <v>0</v>
      </c>
      <c r="N23">
        <v>1</v>
      </c>
      <c r="O23">
        <v>1</v>
      </c>
      <c r="P23">
        <v>0</v>
      </c>
    </row>
    <row r="24" spans="1:16" hidden="1" x14ac:dyDescent="0.25">
      <c r="A24" s="160" t="s">
        <v>861</v>
      </c>
      <c r="B24" s="160" t="s">
        <v>866</v>
      </c>
      <c r="C24" t="s">
        <v>1526</v>
      </c>
      <c r="D24" t="s">
        <v>1513</v>
      </c>
      <c r="E24" t="e">
        <f>INDEX(density!$B$2:$B$16,MATCH(Table2[[#This Row],[bio-based plastics]],density!$A$2:$A$16,0))/INDEX(density!$B$2:$B$16,MATCH(Table2[[#This Row],[traditional plastics]],density!$A$2:$A$16,0))</f>
        <v>#N/A</v>
      </c>
      <c r="F24">
        <v>1</v>
      </c>
      <c r="G24">
        <v>0</v>
      </c>
      <c r="H24">
        <v>0</v>
      </c>
      <c r="I24">
        <v>1</v>
      </c>
      <c r="J24">
        <v>0</v>
      </c>
      <c r="K24">
        <v>5</v>
      </c>
      <c r="L24" t="s">
        <v>1527</v>
      </c>
      <c r="M24">
        <v>0</v>
      </c>
      <c r="N24">
        <v>1</v>
      </c>
      <c r="O24">
        <v>0</v>
      </c>
      <c r="P24">
        <v>0</v>
      </c>
    </row>
    <row r="25" spans="1:16" hidden="1" x14ac:dyDescent="0.25">
      <c r="A25" s="160" t="s">
        <v>861</v>
      </c>
      <c r="B25" s="160" t="s">
        <v>864</v>
      </c>
      <c r="C25" t="s">
        <v>1526</v>
      </c>
      <c r="D25" t="s">
        <v>1513</v>
      </c>
      <c r="E25" t="e">
        <f>INDEX(density!$B$2:$B$16,MATCH(Table2[[#This Row],[bio-based plastics]],density!$A$2:$A$16,0))/INDEX(density!$B$2:$B$16,MATCH(Table2[[#This Row],[traditional plastics]],density!$A$2:$A$16,0))</f>
        <v>#N/A</v>
      </c>
      <c r="F25">
        <v>1</v>
      </c>
      <c r="G25">
        <v>0</v>
      </c>
      <c r="H25">
        <v>0</v>
      </c>
      <c r="I25">
        <v>1</v>
      </c>
      <c r="J25">
        <v>0</v>
      </c>
      <c r="K25">
        <v>5</v>
      </c>
      <c r="L25" t="s">
        <v>1527</v>
      </c>
      <c r="M25">
        <v>0</v>
      </c>
      <c r="N25">
        <v>1</v>
      </c>
      <c r="O25">
        <v>0</v>
      </c>
      <c r="P25">
        <v>0</v>
      </c>
    </row>
    <row r="26" spans="1:16" hidden="1" x14ac:dyDescent="0.25">
      <c r="A26" s="160" t="s">
        <v>861</v>
      </c>
      <c r="B26" s="160" t="s">
        <v>333</v>
      </c>
      <c r="C26" t="s">
        <v>1526</v>
      </c>
      <c r="D26" t="s">
        <v>1513</v>
      </c>
      <c r="E26" t="e">
        <f>INDEX(density!$B$2:$B$16,MATCH(Table2[[#This Row],[bio-based plastics]],density!$A$2:$A$16,0))/INDEX(density!$B$2:$B$16,MATCH(Table2[[#This Row],[traditional plastics]],density!$A$2:$A$16,0))</f>
        <v>#N/A</v>
      </c>
      <c r="F26">
        <v>1</v>
      </c>
      <c r="G26">
        <v>0</v>
      </c>
      <c r="H26">
        <v>0</v>
      </c>
      <c r="I26">
        <v>1</v>
      </c>
      <c r="J26">
        <v>0</v>
      </c>
      <c r="K26">
        <v>5</v>
      </c>
      <c r="L26" t="s">
        <v>1527</v>
      </c>
      <c r="M26">
        <v>0</v>
      </c>
      <c r="N26">
        <v>1</v>
      </c>
      <c r="O26">
        <v>0</v>
      </c>
      <c r="P26">
        <v>0</v>
      </c>
    </row>
    <row r="27" spans="1:16" hidden="1" x14ac:dyDescent="0.25">
      <c r="A27" s="160" t="s">
        <v>861</v>
      </c>
      <c r="B27" s="160" t="s">
        <v>869</v>
      </c>
      <c r="C27" t="s">
        <v>1526</v>
      </c>
      <c r="D27" t="s">
        <v>1513</v>
      </c>
      <c r="E27" t="e">
        <f>INDEX(density!$B$2:$B$16,MATCH(Table2[[#This Row],[bio-based plastics]],density!$A$2:$A$16,0))/INDEX(density!$B$2:$B$16,MATCH(Table2[[#This Row],[traditional plastics]],density!$A$2:$A$16,0))</f>
        <v>#N/A</v>
      </c>
      <c r="F27">
        <v>1</v>
      </c>
      <c r="G27">
        <v>0</v>
      </c>
      <c r="H27">
        <v>0</v>
      </c>
      <c r="I27">
        <v>1</v>
      </c>
      <c r="J27">
        <v>0</v>
      </c>
      <c r="K27">
        <v>5</v>
      </c>
      <c r="L27" t="s">
        <v>1527</v>
      </c>
      <c r="M27">
        <v>0</v>
      </c>
      <c r="N27">
        <v>1</v>
      </c>
      <c r="O27">
        <v>0</v>
      </c>
      <c r="P27">
        <v>0</v>
      </c>
    </row>
    <row r="28" spans="1:16" hidden="1" x14ac:dyDescent="0.25">
      <c r="A28" s="160" t="s">
        <v>861</v>
      </c>
      <c r="B28" s="160" t="s">
        <v>866</v>
      </c>
      <c r="C28" t="s">
        <v>1540</v>
      </c>
      <c r="D28" t="s">
        <v>1534</v>
      </c>
      <c r="E28" t="e">
        <f>INDEX(density!$B$2:$B$16,MATCH(Table2[[#This Row],[bio-based plastics]],density!$A$2:$A$16,0))/INDEX(density!$B$2:$B$16,MATCH(Table2[[#This Row],[traditional plastics]],density!$A$2:$A$16,0))</f>
        <v>#N/A</v>
      </c>
      <c r="F28">
        <v>1</v>
      </c>
      <c r="G28">
        <v>0</v>
      </c>
      <c r="H28">
        <v>1</v>
      </c>
      <c r="I28">
        <v>1</v>
      </c>
      <c r="J28">
        <v>0</v>
      </c>
      <c r="K28">
        <v>2</v>
      </c>
      <c r="L28" t="s">
        <v>1527</v>
      </c>
      <c r="M28">
        <v>0</v>
      </c>
      <c r="N28">
        <v>1</v>
      </c>
      <c r="O28">
        <v>0</v>
      </c>
      <c r="P28">
        <v>1</v>
      </c>
    </row>
    <row r="29" spans="1:16" hidden="1" x14ac:dyDescent="0.25">
      <c r="A29" s="160" t="s">
        <v>861</v>
      </c>
      <c r="B29" s="160" t="s">
        <v>864</v>
      </c>
      <c r="C29" t="s">
        <v>1540</v>
      </c>
      <c r="D29" t="s">
        <v>1534</v>
      </c>
      <c r="E29" t="e">
        <f>INDEX(density!$B$2:$B$16,MATCH(Table2[[#This Row],[bio-based plastics]],density!$A$2:$A$16,0))/INDEX(density!$B$2:$B$16,MATCH(Table2[[#This Row],[traditional plastics]],density!$A$2:$A$16,0))</f>
        <v>#N/A</v>
      </c>
      <c r="F29">
        <v>1</v>
      </c>
      <c r="G29">
        <v>0</v>
      </c>
      <c r="H29">
        <v>1</v>
      </c>
      <c r="I29">
        <v>1</v>
      </c>
      <c r="J29">
        <v>0</v>
      </c>
      <c r="K29">
        <v>2</v>
      </c>
      <c r="L29" t="s">
        <v>1527</v>
      </c>
      <c r="M29">
        <v>0</v>
      </c>
      <c r="N29">
        <v>1</v>
      </c>
      <c r="O29">
        <v>0</v>
      </c>
      <c r="P29">
        <v>1</v>
      </c>
    </row>
    <row r="30" spans="1:16" hidden="1" x14ac:dyDescent="0.25">
      <c r="A30" s="160" t="s">
        <v>861</v>
      </c>
      <c r="B30" s="160" t="s">
        <v>333</v>
      </c>
      <c r="C30" t="s">
        <v>1540</v>
      </c>
      <c r="D30" t="s">
        <v>1534</v>
      </c>
      <c r="E30" t="e">
        <f>INDEX(density!$B$2:$B$16,MATCH(Table2[[#This Row],[bio-based plastics]],density!$A$2:$A$16,0))/INDEX(density!$B$2:$B$16,MATCH(Table2[[#This Row],[traditional plastics]],density!$A$2:$A$16,0))</f>
        <v>#N/A</v>
      </c>
      <c r="F30">
        <v>1</v>
      </c>
      <c r="G30">
        <v>0</v>
      </c>
      <c r="H30">
        <v>1</v>
      </c>
      <c r="I30">
        <v>1</v>
      </c>
      <c r="J30">
        <v>0</v>
      </c>
      <c r="K30">
        <v>2</v>
      </c>
      <c r="L30" t="s">
        <v>1527</v>
      </c>
      <c r="M30">
        <v>0</v>
      </c>
      <c r="N30">
        <v>1</v>
      </c>
      <c r="O30">
        <v>0</v>
      </c>
      <c r="P30">
        <v>1</v>
      </c>
    </row>
    <row r="31" spans="1:16" x14ac:dyDescent="0.25">
      <c r="A31" s="160" t="s">
        <v>867</v>
      </c>
      <c r="B31" s="160" t="s">
        <v>333</v>
      </c>
      <c r="C31" t="s">
        <v>1452</v>
      </c>
      <c r="D31" t="s">
        <v>1411</v>
      </c>
      <c r="E31">
        <f>INDEX(density!$B$2:$B$16,MATCH(Table2[[#This Row],[bio-based plastics]],density!$A$2:$A$16,0))/INDEX(density!$B$2:$B$16,MATCH(Table2[[#This Row],[traditional plastics]],density!$A$2:$A$16,0))</f>
        <v>1.3011542497376705</v>
      </c>
      <c r="F31">
        <v>1</v>
      </c>
      <c r="G31">
        <v>0</v>
      </c>
      <c r="H31">
        <v>1</v>
      </c>
      <c r="I31">
        <v>1</v>
      </c>
      <c r="J31">
        <v>1</v>
      </c>
      <c r="K31">
        <v>5</v>
      </c>
      <c r="L31" t="s">
        <v>1525</v>
      </c>
      <c r="M31">
        <v>0</v>
      </c>
      <c r="N31">
        <v>1</v>
      </c>
      <c r="O31">
        <v>1</v>
      </c>
      <c r="P31">
        <v>0</v>
      </c>
    </row>
    <row r="32" spans="1:16" x14ac:dyDescent="0.25">
      <c r="A32" s="160" t="s">
        <v>867</v>
      </c>
      <c r="B32" s="160" t="s">
        <v>864</v>
      </c>
      <c r="C32" t="s">
        <v>1452</v>
      </c>
      <c r="D32" t="s">
        <v>1411</v>
      </c>
      <c r="E32">
        <f>INDEX(density!$B$2:$B$16,MATCH(Table2[[#This Row],[bio-based plastics]],density!$A$2:$A$16,0))/INDEX(density!$B$2:$B$16,MATCH(Table2[[#This Row],[traditional plastics]],density!$A$2:$A$16,0))</f>
        <v>1.3663911845730028</v>
      </c>
      <c r="F32">
        <v>1</v>
      </c>
      <c r="G32">
        <v>0</v>
      </c>
      <c r="H32">
        <v>1</v>
      </c>
      <c r="I32">
        <v>1</v>
      </c>
      <c r="J32">
        <v>1</v>
      </c>
      <c r="K32">
        <v>5</v>
      </c>
      <c r="L32" t="s">
        <v>1525</v>
      </c>
      <c r="M32">
        <v>0</v>
      </c>
      <c r="N32">
        <v>1</v>
      </c>
      <c r="O32">
        <v>1</v>
      </c>
      <c r="P32">
        <v>0</v>
      </c>
    </row>
    <row r="33" spans="1:16" x14ac:dyDescent="0.25">
      <c r="A33" t="s">
        <v>867</v>
      </c>
      <c r="B33" t="s">
        <v>864</v>
      </c>
      <c r="C33" t="s">
        <v>1457</v>
      </c>
      <c r="D33" t="s">
        <v>1534</v>
      </c>
      <c r="F33">
        <v>1</v>
      </c>
      <c r="G33">
        <v>0</v>
      </c>
      <c r="H33">
        <v>1</v>
      </c>
      <c r="I33">
        <v>1</v>
      </c>
      <c r="J33">
        <v>0</v>
      </c>
      <c r="K33">
        <v>1</v>
      </c>
      <c r="L33" t="s">
        <v>1527</v>
      </c>
      <c r="M33">
        <v>0</v>
      </c>
      <c r="N33">
        <v>1</v>
      </c>
      <c r="O33">
        <v>0</v>
      </c>
      <c r="P33">
        <v>1</v>
      </c>
    </row>
    <row r="34" spans="1:16" x14ac:dyDescent="0.25">
      <c r="A34" t="s">
        <v>867</v>
      </c>
      <c r="B34" t="s">
        <v>1532</v>
      </c>
      <c r="C34" t="s">
        <v>1533</v>
      </c>
      <c r="D34" t="s">
        <v>1534</v>
      </c>
      <c r="F34">
        <v>1</v>
      </c>
      <c r="G34">
        <v>0</v>
      </c>
      <c r="H34">
        <v>1</v>
      </c>
      <c r="I34">
        <v>1</v>
      </c>
      <c r="J34">
        <v>0</v>
      </c>
      <c r="K34">
        <v>4</v>
      </c>
      <c r="L34" t="s">
        <v>1527</v>
      </c>
      <c r="M34">
        <v>0</v>
      </c>
      <c r="N34">
        <v>1</v>
      </c>
      <c r="O34">
        <v>0</v>
      </c>
      <c r="P34">
        <v>1</v>
      </c>
    </row>
    <row r="35" spans="1:16" x14ac:dyDescent="0.25">
      <c r="A35" s="161" t="s">
        <v>867</v>
      </c>
      <c r="B35" s="161" t="s">
        <v>333</v>
      </c>
      <c r="C35" t="s">
        <v>1468</v>
      </c>
      <c r="D35" t="s">
        <v>1464</v>
      </c>
      <c r="F35">
        <v>0</v>
      </c>
      <c r="G35">
        <v>1</v>
      </c>
      <c r="H35">
        <v>1</v>
      </c>
      <c r="I35">
        <v>1</v>
      </c>
      <c r="J35">
        <v>2</v>
      </c>
      <c r="K35">
        <v>11</v>
      </c>
      <c r="L35" t="s">
        <v>1525</v>
      </c>
      <c r="M35">
        <v>0</v>
      </c>
      <c r="N35">
        <v>1</v>
      </c>
      <c r="O35">
        <v>1</v>
      </c>
      <c r="P35">
        <v>0</v>
      </c>
    </row>
    <row r="36" spans="1:16" x14ac:dyDescent="0.25">
      <c r="A36" s="160" t="s">
        <v>867</v>
      </c>
      <c r="B36" s="160" t="s">
        <v>866</v>
      </c>
      <c r="C36" t="s">
        <v>1468</v>
      </c>
      <c r="D36" t="s">
        <v>1464</v>
      </c>
      <c r="E36">
        <f>INDEX(density!$B$2:$B$16,MATCH(Table2[[#This Row],[bio-based plastics]],density!$A$2:$A$16,0))/INDEX(density!$B$2:$B$16,MATCH(Table2[[#This Row],[traditional plastics]],density!$A$2:$A$16,0))</f>
        <v>0.9051094890510949</v>
      </c>
      <c r="F36">
        <v>0</v>
      </c>
      <c r="G36">
        <v>1</v>
      </c>
      <c r="H36">
        <v>1</v>
      </c>
      <c r="I36">
        <v>1</v>
      </c>
      <c r="J36">
        <v>2</v>
      </c>
      <c r="K36">
        <v>11</v>
      </c>
      <c r="L36" t="s">
        <v>1525</v>
      </c>
      <c r="M36">
        <v>0</v>
      </c>
      <c r="N36">
        <v>1</v>
      </c>
      <c r="O36">
        <v>1</v>
      </c>
      <c r="P36">
        <v>0</v>
      </c>
    </row>
    <row r="37" spans="1:16" x14ac:dyDescent="0.25">
      <c r="A37" t="s">
        <v>867</v>
      </c>
      <c r="B37" t="s">
        <v>863</v>
      </c>
      <c r="C37" t="s">
        <v>1473</v>
      </c>
      <c r="D37" t="s">
        <v>1464</v>
      </c>
      <c r="F37">
        <v>1</v>
      </c>
      <c r="G37">
        <v>1</v>
      </c>
      <c r="H37">
        <v>1</v>
      </c>
      <c r="I37">
        <v>1</v>
      </c>
      <c r="J37">
        <v>2</v>
      </c>
      <c r="K37">
        <v>12</v>
      </c>
      <c r="L37" t="s">
        <v>1525</v>
      </c>
      <c r="M37">
        <v>0</v>
      </c>
      <c r="N37">
        <v>1</v>
      </c>
      <c r="O37">
        <v>1</v>
      </c>
      <c r="P37">
        <v>0</v>
      </c>
    </row>
    <row r="38" spans="1:16" x14ac:dyDescent="0.25">
      <c r="A38" s="160" t="s">
        <v>867</v>
      </c>
      <c r="B38" s="160" t="s">
        <v>866</v>
      </c>
      <c r="C38" s="160" t="s">
        <v>1473</v>
      </c>
      <c r="D38" s="160" t="s">
        <v>1464</v>
      </c>
      <c r="E38">
        <f>INDEX(density!$B$2:$B$16,MATCH(Table2[[#This Row],[bio-based plastics]],density!$A$2:$A$16,0))/INDEX(density!$B$2:$B$16,MATCH(Table2[[#This Row],[traditional plastics]],density!$A$2:$A$16,0))</f>
        <v>0.9051094890510949</v>
      </c>
      <c r="F38" s="160">
        <v>1</v>
      </c>
      <c r="G38" s="160">
        <v>1</v>
      </c>
      <c r="H38" s="160">
        <v>1</v>
      </c>
      <c r="I38" s="160">
        <v>1</v>
      </c>
      <c r="J38" s="160">
        <v>2</v>
      </c>
      <c r="K38" s="160">
        <v>12</v>
      </c>
      <c r="L38" s="160" t="s">
        <v>1525</v>
      </c>
      <c r="M38" s="160">
        <v>0</v>
      </c>
      <c r="N38" s="160">
        <v>1</v>
      </c>
      <c r="O38" s="160">
        <v>1</v>
      </c>
      <c r="P38" s="160">
        <v>0</v>
      </c>
    </row>
    <row r="39" spans="1:16" hidden="1" x14ac:dyDescent="0.25">
      <c r="A39" s="160" t="s">
        <v>861</v>
      </c>
      <c r="B39" s="160" t="s">
        <v>869</v>
      </c>
      <c r="C39" t="s">
        <v>1540</v>
      </c>
      <c r="D39" t="s">
        <v>1534</v>
      </c>
      <c r="E39" t="e">
        <f>INDEX(density!$B$2:$B$16,MATCH(Table2[[#This Row],[bio-based plastics]],density!$A$2:$A$16,0))/INDEX(density!$B$2:$B$16,MATCH(Table2[[#This Row],[traditional plastics]],density!$A$2:$A$16,0))</f>
        <v>#N/A</v>
      </c>
      <c r="F39">
        <v>1</v>
      </c>
      <c r="G39">
        <v>0</v>
      </c>
      <c r="H39">
        <v>1</v>
      </c>
      <c r="I39">
        <v>1</v>
      </c>
      <c r="J39">
        <v>0</v>
      </c>
      <c r="K39">
        <v>2</v>
      </c>
      <c r="L39" t="s">
        <v>1527</v>
      </c>
      <c r="M39">
        <v>0</v>
      </c>
      <c r="N39">
        <v>1</v>
      </c>
      <c r="O39">
        <v>0</v>
      </c>
      <c r="P39">
        <v>1</v>
      </c>
    </row>
    <row r="40" spans="1:16" hidden="1" x14ac:dyDescent="0.25">
      <c r="A40" s="160" t="s">
        <v>861</v>
      </c>
      <c r="B40" s="160" t="s">
        <v>870</v>
      </c>
      <c r="C40" t="s">
        <v>1540</v>
      </c>
      <c r="D40" t="s">
        <v>1534</v>
      </c>
      <c r="E40" t="e">
        <f>INDEX(density!$B$2:$B$16,MATCH(Table2[[#This Row],[bio-based plastics]],density!$A$2:$A$16,0))/INDEX(density!$B$2:$B$16,MATCH(Table2[[#This Row],[traditional plastics]],density!$A$2:$A$16,0))</f>
        <v>#N/A</v>
      </c>
      <c r="F40">
        <v>1</v>
      </c>
      <c r="G40">
        <v>0</v>
      </c>
      <c r="H40">
        <v>1</v>
      </c>
      <c r="I40">
        <v>1</v>
      </c>
      <c r="J40">
        <v>0</v>
      </c>
      <c r="K40">
        <v>2</v>
      </c>
      <c r="L40" t="s">
        <v>1527</v>
      </c>
      <c r="M40">
        <v>0</v>
      </c>
      <c r="N40">
        <v>1</v>
      </c>
      <c r="O40">
        <v>0</v>
      </c>
      <c r="P40">
        <v>1</v>
      </c>
    </row>
    <row r="41" spans="1:16" x14ac:dyDescent="0.25">
      <c r="A41" t="s">
        <v>867</v>
      </c>
      <c r="B41" t="s">
        <v>864</v>
      </c>
      <c r="C41" t="s">
        <v>1473</v>
      </c>
      <c r="D41" t="s">
        <v>1464</v>
      </c>
      <c r="F41">
        <v>1</v>
      </c>
      <c r="G41">
        <v>1</v>
      </c>
      <c r="H41">
        <v>1</v>
      </c>
      <c r="I41">
        <v>1</v>
      </c>
      <c r="J41">
        <v>2</v>
      </c>
      <c r="K41">
        <v>12</v>
      </c>
      <c r="L41" t="s">
        <v>1525</v>
      </c>
      <c r="M41">
        <v>0</v>
      </c>
      <c r="N41">
        <v>1</v>
      </c>
      <c r="O41">
        <v>1</v>
      </c>
      <c r="P41">
        <v>0</v>
      </c>
    </row>
    <row r="42" spans="1:16" hidden="1" x14ac:dyDescent="0.25">
      <c r="A42" s="160" t="s">
        <v>1474</v>
      </c>
      <c r="B42" s="160" t="s">
        <v>864</v>
      </c>
      <c r="C42" t="s">
        <v>1473</v>
      </c>
      <c r="D42" t="s">
        <v>1464</v>
      </c>
      <c r="E42" t="e">
        <f>INDEX(density!$B$2:$B$16,MATCH(Table2[[#This Row],[bio-based plastics]],density!$A$2:$A$16,0))/INDEX(density!$B$2:$B$16,MATCH(Table2[[#This Row],[traditional plastics]],density!$A$2:$A$16,0))</f>
        <v>#N/A</v>
      </c>
      <c r="F42">
        <v>1</v>
      </c>
      <c r="G42">
        <v>0</v>
      </c>
      <c r="H42">
        <v>0</v>
      </c>
      <c r="I42">
        <v>1</v>
      </c>
      <c r="J42">
        <v>0</v>
      </c>
      <c r="K42">
        <v>12</v>
      </c>
      <c r="L42" t="s">
        <v>1525</v>
      </c>
      <c r="M42">
        <v>1</v>
      </c>
      <c r="N42">
        <v>0</v>
      </c>
      <c r="O42">
        <v>1</v>
      </c>
      <c r="P42">
        <v>0</v>
      </c>
    </row>
    <row r="43" spans="1:16" x14ac:dyDescent="0.25">
      <c r="A43" s="160" t="s">
        <v>867</v>
      </c>
      <c r="B43" s="160" t="s">
        <v>869</v>
      </c>
      <c r="C43" t="s">
        <v>1541</v>
      </c>
      <c r="D43" t="s">
        <v>1464</v>
      </c>
      <c r="E43">
        <f>INDEX(density!$B$2:$B$16,MATCH(Table2[[#This Row],[bio-based plastics]],density!$A$2:$A$16,0))/INDEX(density!$B$2:$B$16,MATCH(Table2[[#This Row],[traditional plastics]],density!$A$2:$A$16,0))</f>
        <v>1.3478260869565217</v>
      </c>
      <c r="F43">
        <v>0</v>
      </c>
      <c r="G43">
        <v>1</v>
      </c>
      <c r="H43">
        <v>1</v>
      </c>
      <c r="I43">
        <v>1</v>
      </c>
      <c r="J43">
        <v>1</v>
      </c>
      <c r="K43">
        <v>4</v>
      </c>
      <c r="L43" t="s">
        <v>1525</v>
      </c>
      <c r="M43">
        <v>0</v>
      </c>
      <c r="N43">
        <v>1</v>
      </c>
      <c r="O43">
        <v>1</v>
      </c>
      <c r="P43">
        <v>0</v>
      </c>
    </row>
    <row r="44" spans="1:16" hidden="1" x14ac:dyDescent="0.25">
      <c r="A44" t="s">
        <v>1542</v>
      </c>
      <c r="B44" t="s">
        <v>863</v>
      </c>
      <c r="C44" t="s">
        <v>1541</v>
      </c>
      <c r="D44" t="s">
        <v>1464</v>
      </c>
      <c r="F44">
        <v>0</v>
      </c>
      <c r="G44">
        <v>0</v>
      </c>
      <c r="H44">
        <v>1</v>
      </c>
      <c r="I44">
        <v>1</v>
      </c>
      <c r="J44">
        <v>0</v>
      </c>
      <c r="K44">
        <v>4</v>
      </c>
      <c r="L44" t="s">
        <v>1525</v>
      </c>
      <c r="M44">
        <v>0</v>
      </c>
      <c r="N44">
        <v>1</v>
      </c>
      <c r="O44">
        <v>1</v>
      </c>
      <c r="P44">
        <v>0</v>
      </c>
    </row>
    <row r="45" spans="1:16" x14ac:dyDescent="0.25">
      <c r="A45" t="s">
        <v>867</v>
      </c>
      <c r="B45" t="s">
        <v>866</v>
      </c>
      <c r="C45" t="s">
        <v>1481</v>
      </c>
      <c r="D45" t="s">
        <v>1465</v>
      </c>
      <c r="F45">
        <v>1</v>
      </c>
      <c r="G45">
        <v>1</v>
      </c>
      <c r="H45">
        <v>1</v>
      </c>
      <c r="I45">
        <v>1</v>
      </c>
      <c r="J45">
        <v>0</v>
      </c>
      <c r="K45">
        <v>7</v>
      </c>
      <c r="L45" t="s">
        <v>1525</v>
      </c>
      <c r="M45">
        <v>0</v>
      </c>
      <c r="N45">
        <v>1</v>
      </c>
      <c r="O45">
        <v>1</v>
      </c>
      <c r="P45">
        <v>1</v>
      </c>
    </row>
    <row r="46" spans="1:16" x14ac:dyDescent="0.25">
      <c r="A46" t="s">
        <v>867</v>
      </c>
      <c r="B46" t="s">
        <v>333</v>
      </c>
      <c r="C46" t="s">
        <v>1481</v>
      </c>
      <c r="D46" t="s">
        <v>1465</v>
      </c>
      <c r="F46">
        <v>1</v>
      </c>
      <c r="G46">
        <v>1</v>
      </c>
      <c r="H46">
        <v>1</v>
      </c>
      <c r="I46">
        <v>1</v>
      </c>
      <c r="J46">
        <v>0</v>
      </c>
      <c r="K46">
        <v>7</v>
      </c>
      <c r="L46" t="s">
        <v>1525</v>
      </c>
      <c r="M46">
        <v>0</v>
      </c>
      <c r="N46">
        <v>1</v>
      </c>
      <c r="O46">
        <v>1</v>
      </c>
      <c r="P46">
        <v>1</v>
      </c>
    </row>
    <row r="47" spans="1:16" hidden="1" x14ac:dyDescent="0.25">
      <c r="A47" t="s">
        <v>1135</v>
      </c>
      <c r="B47" t="s">
        <v>866</v>
      </c>
      <c r="C47" t="s">
        <v>1481</v>
      </c>
      <c r="D47" t="s">
        <v>1465</v>
      </c>
      <c r="F47">
        <v>1</v>
      </c>
      <c r="G47">
        <v>0</v>
      </c>
      <c r="H47">
        <v>1</v>
      </c>
      <c r="I47">
        <v>0</v>
      </c>
      <c r="J47">
        <v>0</v>
      </c>
      <c r="K47">
        <v>7</v>
      </c>
      <c r="L47" t="s">
        <v>1525</v>
      </c>
      <c r="M47">
        <v>1</v>
      </c>
      <c r="N47">
        <v>0</v>
      </c>
      <c r="O47">
        <v>1</v>
      </c>
      <c r="P47">
        <v>1</v>
      </c>
    </row>
    <row r="48" spans="1:16" x14ac:dyDescent="0.25">
      <c r="A48" t="s">
        <v>867</v>
      </c>
      <c r="B48" t="s">
        <v>866</v>
      </c>
      <c r="C48" t="s">
        <v>1492</v>
      </c>
      <c r="D48" t="s">
        <v>1465</v>
      </c>
      <c r="F48">
        <v>1</v>
      </c>
      <c r="G48">
        <v>1</v>
      </c>
      <c r="H48">
        <v>1</v>
      </c>
      <c r="I48">
        <v>1</v>
      </c>
      <c r="J48">
        <v>0</v>
      </c>
      <c r="K48">
        <v>3</v>
      </c>
      <c r="L48" t="s">
        <v>1525</v>
      </c>
      <c r="M48">
        <v>0</v>
      </c>
      <c r="N48">
        <v>1</v>
      </c>
      <c r="O48">
        <v>1</v>
      </c>
      <c r="P48">
        <v>1</v>
      </c>
    </row>
    <row r="49" spans="1:16" x14ac:dyDescent="0.25">
      <c r="A49" t="s">
        <v>867</v>
      </c>
      <c r="B49" t="s">
        <v>1383</v>
      </c>
      <c r="C49" t="s">
        <v>1492</v>
      </c>
      <c r="D49" t="s">
        <v>1465</v>
      </c>
      <c r="F49">
        <v>1</v>
      </c>
      <c r="G49">
        <v>1</v>
      </c>
      <c r="H49">
        <v>1</v>
      </c>
      <c r="I49">
        <v>1</v>
      </c>
      <c r="J49">
        <v>0</v>
      </c>
      <c r="K49">
        <v>3</v>
      </c>
      <c r="L49" t="s">
        <v>1525</v>
      </c>
      <c r="M49">
        <v>0</v>
      </c>
      <c r="N49">
        <v>1</v>
      </c>
      <c r="O49">
        <v>1</v>
      </c>
      <c r="P49">
        <v>1</v>
      </c>
    </row>
    <row r="50" spans="1:16" hidden="1" x14ac:dyDescent="0.25">
      <c r="A50" s="160" t="s">
        <v>861</v>
      </c>
      <c r="B50" s="160" t="s">
        <v>863</v>
      </c>
      <c r="C50" t="s">
        <v>1452</v>
      </c>
      <c r="D50" t="s">
        <v>1411</v>
      </c>
      <c r="E50" t="e">
        <f>INDEX(density!$B$2:$B$16,MATCH(Table2[[#This Row],[bio-based plastics]],density!$A$2:$A$16,0))/INDEX(density!$B$2:$B$16,MATCH(Table2[[#This Row],[traditional plastics]],density!$A$2:$A$16,0))</f>
        <v>#N/A</v>
      </c>
      <c r="F50">
        <v>1</v>
      </c>
      <c r="G50">
        <v>0</v>
      </c>
      <c r="H50">
        <v>1</v>
      </c>
      <c r="I50">
        <v>1</v>
      </c>
      <c r="J50">
        <v>0</v>
      </c>
      <c r="K50">
        <v>5</v>
      </c>
      <c r="L50" t="s">
        <v>1525</v>
      </c>
      <c r="M50">
        <v>0</v>
      </c>
      <c r="N50">
        <v>1</v>
      </c>
      <c r="O50">
        <v>1</v>
      </c>
      <c r="P50">
        <v>0</v>
      </c>
    </row>
    <row r="51" spans="1:16" hidden="1" x14ac:dyDescent="0.25">
      <c r="A51" s="160" t="s">
        <v>861</v>
      </c>
      <c r="B51" s="160" t="s">
        <v>864</v>
      </c>
      <c r="C51" t="s">
        <v>1452</v>
      </c>
      <c r="D51" t="s">
        <v>1411</v>
      </c>
      <c r="E51" t="e">
        <f>INDEX(density!$B$2:$B$16,MATCH(Table2[[#This Row],[bio-based plastics]],density!$A$2:$A$16,0))/INDEX(density!$B$2:$B$16,MATCH(Table2[[#This Row],[traditional plastics]],density!$A$2:$A$16,0))</f>
        <v>#N/A</v>
      </c>
      <c r="F51">
        <v>1</v>
      </c>
      <c r="G51">
        <v>0</v>
      </c>
      <c r="H51">
        <v>1</v>
      </c>
      <c r="I51">
        <v>1</v>
      </c>
      <c r="J51">
        <v>0</v>
      </c>
      <c r="K51">
        <v>5</v>
      </c>
      <c r="L51" t="s">
        <v>1525</v>
      </c>
      <c r="M51">
        <v>0</v>
      </c>
      <c r="N51">
        <v>1</v>
      </c>
      <c r="O51">
        <v>1</v>
      </c>
      <c r="P51">
        <v>0</v>
      </c>
    </row>
    <row r="52" spans="1:16" hidden="1" x14ac:dyDescent="0.25">
      <c r="A52" s="160" t="s">
        <v>861</v>
      </c>
      <c r="B52" s="160" t="s">
        <v>333</v>
      </c>
      <c r="C52" t="s">
        <v>1473</v>
      </c>
      <c r="D52" t="s">
        <v>1464</v>
      </c>
      <c r="E52" t="e">
        <f>INDEX(density!$B$2:$B$16,MATCH(Table2[[#This Row],[bio-based plastics]],density!$A$2:$A$16,0))/INDEX(density!$B$2:$B$16,MATCH(Table2[[#This Row],[traditional plastics]],density!$A$2:$A$16,0))</f>
        <v>#N/A</v>
      </c>
      <c r="F52">
        <v>1</v>
      </c>
      <c r="G52">
        <v>0</v>
      </c>
      <c r="H52">
        <v>1</v>
      </c>
      <c r="I52">
        <v>1</v>
      </c>
      <c r="J52">
        <v>0</v>
      </c>
      <c r="K52">
        <v>12</v>
      </c>
      <c r="L52" t="s">
        <v>1525</v>
      </c>
      <c r="M52">
        <v>0</v>
      </c>
      <c r="N52">
        <v>1</v>
      </c>
      <c r="O52">
        <v>1</v>
      </c>
      <c r="P52">
        <v>0</v>
      </c>
    </row>
    <row r="53" spans="1:16" hidden="1" x14ac:dyDescent="0.25">
      <c r="A53" s="160" t="s">
        <v>861</v>
      </c>
      <c r="B53" s="160" t="s">
        <v>869</v>
      </c>
      <c r="C53" t="s">
        <v>1473</v>
      </c>
      <c r="D53" t="s">
        <v>1464</v>
      </c>
      <c r="E53" t="e">
        <f>INDEX(density!$B$2:$B$16,MATCH(Table2[[#This Row],[bio-based plastics]],density!$A$2:$A$16,0))/INDEX(density!$B$2:$B$16,MATCH(Table2[[#This Row],[traditional plastics]],density!$A$2:$A$16,0))</f>
        <v>#N/A</v>
      </c>
      <c r="F53">
        <v>1</v>
      </c>
      <c r="G53">
        <v>0</v>
      </c>
      <c r="H53">
        <v>1</v>
      </c>
      <c r="I53">
        <v>1</v>
      </c>
      <c r="J53">
        <v>0</v>
      </c>
      <c r="K53">
        <v>12</v>
      </c>
      <c r="L53" t="s">
        <v>1525</v>
      </c>
      <c r="M53">
        <v>0</v>
      </c>
      <c r="N53">
        <v>1</v>
      </c>
      <c r="O53">
        <v>1</v>
      </c>
      <c r="P53">
        <v>0</v>
      </c>
    </row>
    <row r="54" spans="1:16" hidden="1" x14ac:dyDescent="0.25">
      <c r="A54" s="160" t="s">
        <v>861</v>
      </c>
      <c r="B54" s="160" t="s">
        <v>864</v>
      </c>
      <c r="C54" t="s">
        <v>1473</v>
      </c>
      <c r="D54" t="s">
        <v>1464</v>
      </c>
      <c r="E54" t="e">
        <f>INDEX(density!$B$2:$B$16,MATCH(Table2[[#This Row],[bio-based plastics]],density!$A$2:$A$16,0))/INDEX(density!$B$2:$B$16,MATCH(Table2[[#This Row],[traditional plastics]],density!$A$2:$A$16,0))</f>
        <v>#N/A</v>
      </c>
      <c r="F54">
        <v>1</v>
      </c>
      <c r="G54">
        <v>0</v>
      </c>
      <c r="H54">
        <v>1</v>
      </c>
      <c r="I54">
        <v>1</v>
      </c>
      <c r="J54">
        <v>0</v>
      </c>
      <c r="K54">
        <v>12</v>
      </c>
      <c r="L54" t="s">
        <v>1525</v>
      </c>
      <c r="M54">
        <v>0</v>
      </c>
      <c r="N54">
        <v>1</v>
      </c>
      <c r="O54">
        <v>1</v>
      </c>
      <c r="P54">
        <v>0</v>
      </c>
    </row>
    <row r="55" spans="1:16" hidden="1" x14ac:dyDescent="0.25">
      <c r="A55" s="160" t="s">
        <v>861</v>
      </c>
      <c r="B55" s="160" t="s">
        <v>864</v>
      </c>
      <c r="C55" t="s">
        <v>1468</v>
      </c>
      <c r="D55" t="s">
        <v>1464</v>
      </c>
      <c r="E55" t="e">
        <f>INDEX(density!$B$2:$B$16,MATCH(Table2[[#This Row],[bio-based plastics]],density!$A$2:$A$16,0))/INDEX(density!$B$2:$B$16,MATCH(Table2[[#This Row],[traditional plastics]],density!$A$2:$A$16,0))</f>
        <v>#N/A</v>
      </c>
      <c r="F55">
        <v>0</v>
      </c>
      <c r="G55">
        <v>0</v>
      </c>
      <c r="H55">
        <v>1</v>
      </c>
      <c r="I55">
        <v>1</v>
      </c>
      <c r="J55">
        <v>0</v>
      </c>
      <c r="K55">
        <v>11</v>
      </c>
      <c r="L55" t="s">
        <v>1525</v>
      </c>
      <c r="M55">
        <v>0</v>
      </c>
      <c r="N55">
        <v>1</v>
      </c>
      <c r="O55">
        <v>1</v>
      </c>
      <c r="P55">
        <v>0</v>
      </c>
    </row>
    <row r="56" spans="1:16" x14ac:dyDescent="0.25">
      <c r="A56" t="s">
        <v>867</v>
      </c>
      <c r="B56" t="s">
        <v>1530</v>
      </c>
      <c r="C56" t="s">
        <v>1492</v>
      </c>
      <c r="D56" t="s">
        <v>1465</v>
      </c>
      <c r="F56">
        <v>1</v>
      </c>
      <c r="G56">
        <v>1</v>
      </c>
      <c r="H56">
        <v>1</v>
      </c>
      <c r="I56">
        <v>1</v>
      </c>
      <c r="J56">
        <v>0</v>
      </c>
      <c r="K56">
        <v>3</v>
      </c>
      <c r="L56" t="s">
        <v>1525</v>
      </c>
      <c r="M56">
        <v>0</v>
      </c>
      <c r="N56">
        <v>1</v>
      </c>
      <c r="O56">
        <v>1</v>
      </c>
      <c r="P56">
        <v>1</v>
      </c>
    </row>
    <row r="57" spans="1:16" hidden="1" x14ac:dyDescent="0.25">
      <c r="A57" s="160" t="s">
        <v>861</v>
      </c>
      <c r="B57" s="160" t="s">
        <v>866</v>
      </c>
      <c r="C57" t="s">
        <v>1481</v>
      </c>
      <c r="D57" t="s">
        <v>1465</v>
      </c>
      <c r="E57" t="e">
        <f>INDEX(density!$B$2:$B$16,MATCH(Table2[[#This Row],[bio-based plastics]],density!$A$2:$A$16,0))/INDEX(density!$B$2:$B$16,MATCH(Table2[[#This Row],[traditional plastics]],density!$A$2:$A$16,0))</f>
        <v>#N/A</v>
      </c>
      <c r="F57">
        <v>1</v>
      </c>
      <c r="G57">
        <v>0</v>
      </c>
      <c r="H57">
        <v>1</v>
      </c>
      <c r="I57">
        <v>1</v>
      </c>
      <c r="J57">
        <v>0</v>
      </c>
      <c r="K57">
        <v>7</v>
      </c>
      <c r="L57" t="s">
        <v>1525</v>
      </c>
      <c r="M57">
        <v>0</v>
      </c>
      <c r="N57">
        <v>1</v>
      </c>
      <c r="O57">
        <v>1</v>
      </c>
      <c r="P57">
        <v>1</v>
      </c>
    </row>
    <row r="58" spans="1:16" x14ac:dyDescent="0.25">
      <c r="A58" s="160" t="s">
        <v>867</v>
      </c>
      <c r="B58" s="160" t="s">
        <v>864</v>
      </c>
      <c r="C58" t="s">
        <v>1492</v>
      </c>
      <c r="D58" t="s">
        <v>1465</v>
      </c>
      <c r="E58">
        <f>INDEX(density!$B$2:$B$16,MATCH(Table2[[#This Row],[bio-based plastics]],density!$A$2:$A$16,0))/INDEX(density!$B$2:$B$16,MATCH(Table2[[#This Row],[traditional plastics]],density!$A$2:$A$16,0))</f>
        <v>1.3663911845730028</v>
      </c>
      <c r="F58">
        <v>1</v>
      </c>
      <c r="G58">
        <v>1</v>
      </c>
      <c r="H58">
        <v>1</v>
      </c>
      <c r="I58">
        <v>1</v>
      </c>
      <c r="J58">
        <v>0</v>
      </c>
      <c r="K58">
        <v>3</v>
      </c>
      <c r="L58" t="s">
        <v>1525</v>
      </c>
      <c r="M58">
        <v>0</v>
      </c>
      <c r="N58">
        <v>1</v>
      </c>
      <c r="O58">
        <v>1</v>
      </c>
      <c r="P58">
        <v>1</v>
      </c>
    </row>
    <row r="59" spans="1:16" hidden="1" x14ac:dyDescent="0.25">
      <c r="A59" t="s">
        <v>865</v>
      </c>
      <c r="B59" t="s">
        <v>1383</v>
      </c>
      <c r="C59" t="s">
        <v>1492</v>
      </c>
      <c r="D59" t="s">
        <v>1465</v>
      </c>
      <c r="F59">
        <v>1</v>
      </c>
      <c r="G59">
        <v>0</v>
      </c>
      <c r="H59">
        <v>1</v>
      </c>
      <c r="I59">
        <v>1</v>
      </c>
      <c r="J59">
        <v>0</v>
      </c>
      <c r="K59">
        <v>3</v>
      </c>
      <c r="L59" t="s">
        <v>1525</v>
      </c>
      <c r="M59">
        <v>0</v>
      </c>
      <c r="N59">
        <v>1</v>
      </c>
      <c r="O59">
        <v>1</v>
      </c>
      <c r="P59">
        <v>1</v>
      </c>
    </row>
    <row r="60" spans="1:16" hidden="1" x14ac:dyDescent="0.25">
      <c r="A60" s="160" t="s">
        <v>861</v>
      </c>
      <c r="B60" s="160" t="s">
        <v>864</v>
      </c>
      <c r="C60" t="s">
        <v>1481</v>
      </c>
      <c r="D60" t="s">
        <v>1465</v>
      </c>
      <c r="E60" t="e">
        <f>INDEX(density!$B$2:$B$16,MATCH(Table2[[#This Row],[bio-based plastics]],density!$A$2:$A$16,0))/INDEX(density!$B$2:$B$16,MATCH(Table2[[#This Row],[traditional plastics]],density!$A$2:$A$16,0))</f>
        <v>#N/A</v>
      </c>
      <c r="F60">
        <v>1</v>
      </c>
      <c r="G60">
        <v>0</v>
      </c>
      <c r="H60">
        <v>1</v>
      </c>
      <c r="I60">
        <v>1</v>
      </c>
      <c r="J60">
        <v>0</v>
      </c>
      <c r="K60">
        <v>7</v>
      </c>
      <c r="L60" t="s">
        <v>1525</v>
      </c>
      <c r="M60">
        <v>0</v>
      </c>
      <c r="N60">
        <v>1</v>
      </c>
      <c r="O60">
        <v>1</v>
      </c>
      <c r="P60">
        <v>1</v>
      </c>
    </row>
    <row r="61" spans="1:16" x14ac:dyDescent="0.25">
      <c r="A61" s="160" t="s">
        <v>867</v>
      </c>
      <c r="B61" s="160" t="s">
        <v>866</v>
      </c>
      <c r="C61" t="s">
        <v>1494</v>
      </c>
      <c r="D61" t="s">
        <v>1465</v>
      </c>
      <c r="E61">
        <f>INDEX(density!$B$2:$B$16,MATCH(Table2[[#This Row],[bio-based plastics]],density!$A$2:$A$16,0))/INDEX(density!$B$2:$B$16,MATCH(Table2[[#This Row],[traditional plastics]],density!$A$2:$A$16,0))</f>
        <v>0.9051094890510949</v>
      </c>
      <c r="F61">
        <v>1</v>
      </c>
      <c r="G61">
        <v>1</v>
      </c>
      <c r="H61">
        <v>1</v>
      </c>
      <c r="I61">
        <v>1</v>
      </c>
      <c r="J61">
        <v>0</v>
      </c>
      <c r="K61">
        <v>1</v>
      </c>
      <c r="L61" t="s">
        <v>1525</v>
      </c>
      <c r="M61">
        <v>0</v>
      </c>
      <c r="N61">
        <v>1</v>
      </c>
      <c r="O61">
        <v>1</v>
      </c>
      <c r="P61">
        <v>1</v>
      </c>
    </row>
    <row r="62" spans="1:16" x14ac:dyDescent="0.25">
      <c r="A62" s="160" t="s">
        <v>867</v>
      </c>
      <c r="B62" s="160" t="s">
        <v>1383</v>
      </c>
      <c r="C62" t="s">
        <v>1494</v>
      </c>
      <c r="D62" t="s">
        <v>1465</v>
      </c>
      <c r="E62">
        <f>INDEX(density!$B$2:$B$16,MATCH(Table2[[#This Row],[bio-based plastics]],density!$A$2:$A$16,0))/INDEX(density!$B$2:$B$16,MATCH(Table2[[#This Row],[traditional plastics]],density!$A$2:$A$16,0))</f>
        <v>1.1588785046728971</v>
      </c>
      <c r="F62">
        <v>1</v>
      </c>
      <c r="G62">
        <v>1</v>
      </c>
      <c r="H62">
        <v>1</v>
      </c>
      <c r="I62">
        <v>1</v>
      </c>
      <c r="J62">
        <v>0</v>
      </c>
      <c r="K62">
        <v>1</v>
      </c>
      <c r="L62" t="s">
        <v>1525</v>
      </c>
      <c r="M62">
        <v>0</v>
      </c>
      <c r="N62">
        <v>1</v>
      </c>
      <c r="O62">
        <v>1</v>
      </c>
      <c r="P62">
        <v>1</v>
      </c>
    </row>
    <row r="63" spans="1:16" x14ac:dyDescent="0.25">
      <c r="A63" t="s">
        <v>867</v>
      </c>
      <c r="B63" t="s">
        <v>1383</v>
      </c>
      <c r="C63" t="s">
        <v>1443</v>
      </c>
      <c r="D63" t="s">
        <v>1465</v>
      </c>
      <c r="F63">
        <v>1</v>
      </c>
      <c r="G63">
        <v>1</v>
      </c>
      <c r="H63">
        <v>1</v>
      </c>
      <c r="I63">
        <v>1</v>
      </c>
      <c r="J63">
        <v>2</v>
      </c>
      <c r="K63">
        <v>3</v>
      </c>
      <c r="L63" t="s">
        <v>1525</v>
      </c>
      <c r="M63">
        <v>0</v>
      </c>
      <c r="N63">
        <v>1</v>
      </c>
      <c r="O63">
        <v>1</v>
      </c>
      <c r="P63">
        <v>1</v>
      </c>
    </row>
    <row r="64" spans="1:16" x14ac:dyDescent="0.25">
      <c r="A64" s="160" t="s">
        <v>867</v>
      </c>
      <c r="B64" s="160" t="s">
        <v>1530</v>
      </c>
      <c r="C64" t="s">
        <v>1443</v>
      </c>
      <c r="D64" t="s">
        <v>1465</v>
      </c>
      <c r="E64">
        <f>INDEX(density!$B$2:$B$16,MATCH(Table2[[#This Row],[bio-based plastics]],density!$A$2:$A$16,0))/INDEX(density!$B$2:$B$16,MATCH(Table2[[#This Row],[traditional plastics]],density!$A$2:$A$16,0))</f>
        <v>40</v>
      </c>
      <c r="F64">
        <v>1</v>
      </c>
      <c r="G64">
        <v>1</v>
      </c>
      <c r="H64">
        <v>1</v>
      </c>
      <c r="I64">
        <v>1</v>
      </c>
      <c r="J64">
        <v>2</v>
      </c>
      <c r="K64">
        <v>3</v>
      </c>
      <c r="L64" t="s">
        <v>1525</v>
      </c>
      <c r="M64">
        <v>0</v>
      </c>
      <c r="N64">
        <v>1</v>
      </c>
      <c r="O64">
        <v>1</v>
      </c>
      <c r="P64">
        <v>1</v>
      </c>
    </row>
    <row r="65" spans="1:16" x14ac:dyDescent="0.25">
      <c r="A65" t="s">
        <v>867</v>
      </c>
      <c r="B65" t="s">
        <v>864</v>
      </c>
      <c r="C65" t="s">
        <v>1443</v>
      </c>
      <c r="D65" t="s">
        <v>1465</v>
      </c>
      <c r="F65">
        <v>1</v>
      </c>
      <c r="G65">
        <v>1</v>
      </c>
      <c r="H65">
        <v>1</v>
      </c>
      <c r="I65">
        <v>1</v>
      </c>
      <c r="J65">
        <v>2</v>
      </c>
      <c r="K65">
        <v>3</v>
      </c>
      <c r="L65" t="s">
        <v>1525</v>
      </c>
      <c r="M65">
        <v>0</v>
      </c>
      <c r="N65">
        <v>1</v>
      </c>
      <c r="O65">
        <v>1</v>
      </c>
      <c r="P65">
        <v>1</v>
      </c>
    </row>
    <row r="66" spans="1:16" x14ac:dyDescent="0.25">
      <c r="A66" t="s">
        <v>867</v>
      </c>
      <c r="B66" t="s">
        <v>866</v>
      </c>
      <c r="C66" t="s">
        <v>1443</v>
      </c>
      <c r="D66" t="s">
        <v>1465</v>
      </c>
      <c r="F66">
        <v>1</v>
      </c>
      <c r="G66">
        <v>1</v>
      </c>
      <c r="H66">
        <v>1</v>
      </c>
      <c r="I66">
        <v>1</v>
      </c>
      <c r="J66">
        <v>2</v>
      </c>
      <c r="K66">
        <v>3</v>
      </c>
      <c r="L66" t="s">
        <v>1525</v>
      </c>
      <c r="M66">
        <v>0</v>
      </c>
      <c r="N66">
        <v>1</v>
      </c>
      <c r="O66">
        <v>1</v>
      </c>
      <c r="P66">
        <v>1</v>
      </c>
    </row>
    <row r="67" spans="1:16" x14ac:dyDescent="0.25">
      <c r="A67" s="160" t="s">
        <v>867</v>
      </c>
      <c r="B67" s="160" t="s">
        <v>333</v>
      </c>
      <c r="C67" t="s">
        <v>1443</v>
      </c>
      <c r="D67" t="s">
        <v>1465</v>
      </c>
      <c r="E67">
        <f>INDEX(density!$B$2:$B$16,MATCH(Table2[[#This Row],[bio-based plastics]],density!$A$2:$A$16,0))/INDEX(density!$B$2:$B$16,MATCH(Table2[[#This Row],[traditional plastics]],density!$A$2:$A$16,0))</f>
        <v>1.3011542497376705</v>
      </c>
      <c r="F67">
        <v>1</v>
      </c>
      <c r="G67">
        <v>1</v>
      </c>
      <c r="H67">
        <v>1</v>
      </c>
      <c r="I67">
        <v>1</v>
      </c>
      <c r="J67">
        <v>2</v>
      </c>
      <c r="K67">
        <v>3</v>
      </c>
      <c r="L67" t="s">
        <v>1525</v>
      </c>
      <c r="M67">
        <v>0</v>
      </c>
      <c r="N67">
        <v>1</v>
      </c>
      <c r="O67">
        <v>1</v>
      </c>
      <c r="P67">
        <v>1</v>
      </c>
    </row>
    <row r="68" spans="1:16" hidden="1" x14ac:dyDescent="0.25">
      <c r="A68" s="160" t="s">
        <v>861</v>
      </c>
      <c r="B68" s="160" t="s">
        <v>864</v>
      </c>
      <c r="C68" t="s">
        <v>1511</v>
      </c>
      <c r="D68" t="s">
        <v>1465</v>
      </c>
      <c r="E68" t="e">
        <f>INDEX(density!$B$2:$B$16,MATCH(Table2[[#This Row],[bio-based plastics]],density!$A$2:$A$16,0))/INDEX(density!$B$2:$B$16,MATCH(Table2[[#This Row],[traditional plastics]],density!$A$2:$A$16,0))</f>
        <v>#N/A</v>
      </c>
      <c r="F68">
        <v>1</v>
      </c>
      <c r="G68">
        <v>0</v>
      </c>
      <c r="H68">
        <v>1</v>
      </c>
      <c r="I68">
        <v>1</v>
      </c>
      <c r="J68">
        <v>0</v>
      </c>
      <c r="K68">
        <v>6</v>
      </c>
      <c r="L68" t="s">
        <v>1525</v>
      </c>
      <c r="M68">
        <v>0</v>
      </c>
      <c r="N68">
        <v>1</v>
      </c>
      <c r="O68">
        <v>1</v>
      </c>
      <c r="P68">
        <v>1</v>
      </c>
    </row>
    <row r="69" spans="1:16" x14ac:dyDescent="0.25">
      <c r="A69" s="160" t="s">
        <v>1605</v>
      </c>
      <c r="B69" s="160" t="s">
        <v>1530</v>
      </c>
      <c r="C69" t="s">
        <v>1535</v>
      </c>
      <c r="D69" t="s">
        <v>1465</v>
      </c>
      <c r="E69">
        <f>INDEX(density!$B$2:$B$16,MATCH(Table2[[#This Row],[bio-based plastics]],density!$A$2:$A$16,0))/INDEX(density!$B$2:$B$16,MATCH(Table2[[#This Row],[traditional plastics]],density!$A$2:$A$16,0))</f>
        <v>5.161290322580645</v>
      </c>
      <c r="F69">
        <v>1</v>
      </c>
      <c r="G69">
        <v>1</v>
      </c>
      <c r="H69">
        <v>1</v>
      </c>
      <c r="I69">
        <v>1</v>
      </c>
      <c r="J69">
        <v>0</v>
      </c>
      <c r="K69">
        <v>4</v>
      </c>
      <c r="L69" t="s">
        <v>1525</v>
      </c>
      <c r="M69">
        <v>0</v>
      </c>
      <c r="N69">
        <v>1</v>
      </c>
      <c r="O69">
        <v>1</v>
      </c>
      <c r="P69">
        <v>1</v>
      </c>
    </row>
    <row r="70" spans="1:16" hidden="1" x14ac:dyDescent="0.25">
      <c r="A70" s="160" t="s">
        <v>861</v>
      </c>
      <c r="B70" s="160" t="s">
        <v>333</v>
      </c>
      <c r="C70" t="s">
        <v>1539</v>
      </c>
      <c r="D70" t="s">
        <v>1465</v>
      </c>
      <c r="E70" t="e">
        <f>INDEX(density!$B$2:$B$16,MATCH(Table2[[#This Row],[bio-based plastics]],density!$A$2:$A$16,0))/INDEX(density!$B$2:$B$16,MATCH(Table2[[#This Row],[traditional plastics]],density!$A$2:$A$16,0))</f>
        <v>#N/A</v>
      </c>
      <c r="F70">
        <v>1</v>
      </c>
      <c r="G70">
        <v>0</v>
      </c>
      <c r="H70">
        <v>1</v>
      </c>
      <c r="I70">
        <v>1</v>
      </c>
      <c r="J70">
        <v>0</v>
      </c>
      <c r="K70">
        <v>2</v>
      </c>
      <c r="L70" t="s">
        <v>1525</v>
      </c>
      <c r="M70">
        <v>0</v>
      </c>
      <c r="N70">
        <v>1</v>
      </c>
      <c r="O70">
        <v>1</v>
      </c>
      <c r="P70">
        <v>1</v>
      </c>
    </row>
    <row r="71" spans="1:16" hidden="1" x14ac:dyDescent="0.25">
      <c r="A71" s="160" t="s">
        <v>861</v>
      </c>
      <c r="B71" s="160" t="s">
        <v>864</v>
      </c>
      <c r="C71" t="s">
        <v>1442</v>
      </c>
      <c r="D71" t="s">
        <v>1465</v>
      </c>
      <c r="E71" t="e">
        <f>INDEX(density!$B$2:$B$16,MATCH(Table2[[#This Row],[bio-based plastics]],density!$A$2:$A$16,0))/INDEX(density!$B$2:$B$16,MATCH(Table2[[#This Row],[traditional plastics]],density!$A$2:$A$16,0))</f>
        <v>#N/A</v>
      </c>
      <c r="F71">
        <v>0</v>
      </c>
      <c r="G71">
        <v>0</v>
      </c>
      <c r="H71">
        <v>1</v>
      </c>
      <c r="I71">
        <v>1</v>
      </c>
      <c r="J71">
        <v>0</v>
      </c>
      <c r="K71">
        <v>5</v>
      </c>
      <c r="L71" t="s">
        <v>1525</v>
      </c>
      <c r="M71">
        <v>0</v>
      </c>
      <c r="N71">
        <v>1</v>
      </c>
      <c r="O71">
        <v>1</v>
      </c>
      <c r="P71">
        <v>1</v>
      </c>
    </row>
    <row r="72" spans="1:16" hidden="1" x14ac:dyDescent="0.25">
      <c r="A72" s="160" t="s">
        <v>861</v>
      </c>
      <c r="B72" s="160" t="s">
        <v>1383</v>
      </c>
      <c r="C72" t="s">
        <v>1442</v>
      </c>
      <c r="D72" t="s">
        <v>1465</v>
      </c>
      <c r="E72" t="e">
        <f>INDEX(density!$B$2:$B$16,MATCH(Table2[[#This Row],[bio-based plastics]],density!$A$2:$A$16,0))/INDEX(density!$B$2:$B$16,MATCH(Table2[[#This Row],[traditional plastics]],density!$A$2:$A$16,0))</f>
        <v>#N/A</v>
      </c>
      <c r="F72">
        <v>0</v>
      </c>
      <c r="G72">
        <v>0</v>
      </c>
      <c r="H72">
        <v>1</v>
      </c>
      <c r="I72">
        <v>1</v>
      </c>
      <c r="J72">
        <v>0</v>
      </c>
      <c r="K72">
        <v>5</v>
      </c>
      <c r="L72" t="s">
        <v>1525</v>
      </c>
      <c r="M72">
        <v>0</v>
      </c>
      <c r="N72">
        <v>1</v>
      </c>
      <c r="O72">
        <v>1</v>
      </c>
      <c r="P72">
        <v>1</v>
      </c>
    </row>
    <row r="73" spans="1:16" hidden="1" x14ac:dyDescent="0.25">
      <c r="A73" s="160" t="s">
        <v>1347</v>
      </c>
      <c r="B73" s="160" t="s">
        <v>1500</v>
      </c>
      <c r="C73" t="s">
        <v>1465</v>
      </c>
      <c r="D73" t="s">
        <v>1465</v>
      </c>
      <c r="F73">
        <v>1</v>
      </c>
      <c r="G73">
        <v>0</v>
      </c>
      <c r="H73">
        <v>1</v>
      </c>
      <c r="I73">
        <v>1</v>
      </c>
      <c r="J73">
        <v>0</v>
      </c>
      <c r="K73">
        <v>1</v>
      </c>
      <c r="L73" t="s">
        <v>1525</v>
      </c>
      <c r="M73">
        <v>0</v>
      </c>
      <c r="N73">
        <v>1</v>
      </c>
      <c r="O73">
        <v>1</v>
      </c>
      <c r="P73">
        <v>1</v>
      </c>
    </row>
    <row r="74" spans="1:16" x14ac:dyDescent="0.25">
      <c r="A74" t="s">
        <v>867</v>
      </c>
      <c r="B74" t="s">
        <v>864</v>
      </c>
      <c r="C74" t="s">
        <v>1501</v>
      </c>
      <c r="D74" t="s">
        <v>1465</v>
      </c>
      <c r="F74">
        <v>0</v>
      </c>
      <c r="G74">
        <v>1</v>
      </c>
      <c r="H74">
        <v>1</v>
      </c>
      <c r="I74">
        <v>1</v>
      </c>
      <c r="J74">
        <v>0</v>
      </c>
      <c r="K74">
        <v>2</v>
      </c>
      <c r="L74" t="s">
        <v>1525</v>
      </c>
      <c r="M74">
        <v>0</v>
      </c>
      <c r="N74">
        <v>1</v>
      </c>
      <c r="O74">
        <v>1</v>
      </c>
      <c r="P74">
        <v>1</v>
      </c>
    </row>
    <row r="75" spans="1:16" hidden="1" x14ac:dyDescent="0.25">
      <c r="A75" t="s">
        <v>865</v>
      </c>
      <c r="B75" t="s">
        <v>864</v>
      </c>
      <c r="C75" t="s">
        <v>1501</v>
      </c>
      <c r="D75" t="s">
        <v>1465</v>
      </c>
      <c r="F75">
        <v>0</v>
      </c>
      <c r="G75">
        <v>0</v>
      </c>
      <c r="H75">
        <v>1</v>
      </c>
      <c r="I75">
        <v>1</v>
      </c>
      <c r="J75">
        <v>0</v>
      </c>
      <c r="K75">
        <v>2</v>
      </c>
      <c r="L75" t="s">
        <v>1525</v>
      </c>
      <c r="M75">
        <v>0</v>
      </c>
      <c r="N75">
        <v>1</v>
      </c>
      <c r="O75">
        <v>1</v>
      </c>
      <c r="P75">
        <v>1</v>
      </c>
    </row>
    <row r="76" spans="1:16" hidden="1" x14ac:dyDescent="0.25">
      <c r="A76" s="160" t="s">
        <v>862</v>
      </c>
      <c r="B76" s="160" t="s">
        <v>864</v>
      </c>
      <c r="C76" t="s">
        <v>1442</v>
      </c>
      <c r="D76" t="s">
        <v>1465</v>
      </c>
      <c r="E76">
        <f>INDEX(density!$B$2:$B$16,MATCH(Table2[[#This Row],[bio-based plastics]],density!$A$2:$A$16,0))/INDEX(density!$B$2:$B$16,MATCH(Table2[[#This Row],[traditional plastics]],density!$A$2:$A$16,0))</f>
        <v>1.3774104683195592</v>
      </c>
      <c r="F76">
        <v>0</v>
      </c>
      <c r="G76">
        <v>0</v>
      </c>
      <c r="H76">
        <v>1</v>
      </c>
      <c r="I76">
        <v>1</v>
      </c>
      <c r="J76">
        <v>0</v>
      </c>
      <c r="K76">
        <v>5</v>
      </c>
      <c r="L76" t="s">
        <v>1525</v>
      </c>
      <c r="M76">
        <v>0</v>
      </c>
      <c r="N76">
        <v>1</v>
      </c>
      <c r="O76">
        <v>1</v>
      </c>
      <c r="P76">
        <v>1</v>
      </c>
    </row>
    <row r="77" spans="1:16" hidden="1" x14ac:dyDescent="0.25">
      <c r="A77" s="160" t="s">
        <v>862</v>
      </c>
      <c r="B77" s="160" t="s">
        <v>1383</v>
      </c>
      <c r="C77" t="s">
        <v>1442</v>
      </c>
      <c r="D77" t="s">
        <v>1465</v>
      </c>
      <c r="E77">
        <f>INDEX(density!$B$2:$B$16,MATCH(Table2[[#This Row],[bio-based plastics]],density!$A$2:$A$16,0))/INDEX(density!$B$2:$B$16,MATCH(Table2[[#This Row],[traditional plastics]],density!$A$2:$A$16,0))</f>
        <v>1.1682242990654206</v>
      </c>
      <c r="F77">
        <v>0</v>
      </c>
      <c r="G77">
        <v>0</v>
      </c>
      <c r="H77">
        <v>1</v>
      </c>
      <c r="I77">
        <v>1</v>
      </c>
      <c r="J77">
        <v>0</v>
      </c>
      <c r="K77">
        <v>5</v>
      </c>
      <c r="L77" t="s">
        <v>1525</v>
      </c>
      <c r="M77">
        <v>0</v>
      </c>
      <c r="N77">
        <v>1</v>
      </c>
      <c r="O77">
        <v>1</v>
      </c>
      <c r="P77">
        <v>1</v>
      </c>
    </row>
    <row r="78" spans="1:16" x14ac:dyDescent="0.25">
      <c r="A78" t="s">
        <v>867</v>
      </c>
      <c r="B78" t="s">
        <v>864</v>
      </c>
      <c r="C78" t="s">
        <v>1442</v>
      </c>
      <c r="D78" t="s">
        <v>1465</v>
      </c>
      <c r="F78">
        <v>0</v>
      </c>
      <c r="G78">
        <v>1</v>
      </c>
      <c r="H78">
        <v>1</v>
      </c>
      <c r="I78">
        <v>1</v>
      </c>
      <c r="J78">
        <v>0</v>
      </c>
      <c r="K78">
        <v>5</v>
      </c>
      <c r="L78" t="s">
        <v>1525</v>
      </c>
      <c r="M78">
        <v>0</v>
      </c>
      <c r="N78">
        <v>1</v>
      </c>
      <c r="O78">
        <v>1</v>
      </c>
      <c r="P78">
        <v>1</v>
      </c>
    </row>
    <row r="79" spans="1:16" x14ac:dyDescent="0.25">
      <c r="A79" t="s">
        <v>867</v>
      </c>
      <c r="B79" t="s">
        <v>1383</v>
      </c>
      <c r="C79" t="s">
        <v>1442</v>
      </c>
      <c r="D79" t="s">
        <v>1465</v>
      </c>
      <c r="F79">
        <v>0</v>
      </c>
      <c r="G79">
        <v>1</v>
      </c>
      <c r="H79">
        <v>1</v>
      </c>
      <c r="I79">
        <v>1</v>
      </c>
      <c r="J79">
        <v>0</v>
      </c>
      <c r="K79">
        <v>5</v>
      </c>
      <c r="L79" t="s">
        <v>1525</v>
      </c>
      <c r="M79">
        <v>0</v>
      </c>
      <c r="N79">
        <v>1</v>
      </c>
      <c r="O79">
        <v>1</v>
      </c>
      <c r="P79">
        <v>1</v>
      </c>
    </row>
    <row r="80" spans="1:16" x14ac:dyDescent="0.25">
      <c r="A80" t="s">
        <v>867</v>
      </c>
      <c r="B80" t="s">
        <v>863</v>
      </c>
      <c r="C80" t="s">
        <v>1442</v>
      </c>
      <c r="D80" t="s">
        <v>1465</v>
      </c>
      <c r="F80">
        <v>0</v>
      </c>
      <c r="G80">
        <v>1</v>
      </c>
      <c r="H80">
        <v>1</v>
      </c>
      <c r="I80">
        <v>1</v>
      </c>
      <c r="J80">
        <v>0</v>
      </c>
      <c r="K80">
        <v>5</v>
      </c>
      <c r="L80" t="s">
        <v>1525</v>
      </c>
      <c r="M80">
        <v>0</v>
      </c>
      <c r="N80">
        <v>1</v>
      </c>
      <c r="O80">
        <v>1</v>
      </c>
      <c r="P80">
        <v>1</v>
      </c>
    </row>
    <row r="81" spans="1:16" hidden="1" x14ac:dyDescent="0.25">
      <c r="A81" s="160" t="s">
        <v>1505</v>
      </c>
      <c r="B81" s="160" t="s">
        <v>864</v>
      </c>
      <c r="C81" t="s">
        <v>1442</v>
      </c>
      <c r="D81" t="s">
        <v>1465</v>
      </c>
      <c r="E81" t="e">
        <f>INDEX(density!$B$2:$B$16,MATCH(Table2[[#This Row],[bio-based plastics]],density!$A$2:$A$16,0))/INDEX(density!$B$2:$B$16,MATCH(Table2[[#This Row],[traditional plastics]],density!$A$2:$A$16,0))</f>
        <v>#N/A</v>
      </c>
      <c r="F81">
        <v>0</v>
      </c>
      <c r="G81">
        <v>0</v>
      </c>
      <c r="H81">
        <v>0</v>
      </c>
      <c r="I81">
        <v>1</v>
      </c>
      <c r="J81">
        <v>0</v>
      </c>
      <c r="K81">
        <v>5</v>
      </c>
      <c r="L81" t="s">
        <v>1525</v>
      </c>
      <c r="M81">
        <v>1</v>
      </c>
      <c r="N81">
        <v>0</v>
      </c>
      <c r="O81">
        <v>1</v>
      </c>
      <c r="P81">
        <v>1</v>
      </c>
    </row>
    <row r="82" spans="1:16" x14ac:dyDescent="0.25">
      <c r="A82" t="s">
        <v>867</v>
      </c>
      <c r="B82" t="s">
        <v>1383</v>
      </c>
      <c r="C82" t="s">
        <v>1511</v>
      </c>
      <c r="D82" t="s">
        <v>1465</v>
      </c>
      <c r="F82">
        <v>1</v>
      </c>
      <c r="G82">
        <v>1</v>
      </c>
      <c r="H82">
        <v>1</v>
      </c>
      <c r="I82">
        <v>1</v>
      </c>
      <c r="J82">
        <v>0</v>
      </c>
      <c r="K82">
        <v>6</v>
      </c>
      <c r="L82" t="s">
        <v>1525</v>
      </c>
      <c r="M82">
        <v>0</v>
      </c>
      <c r="N82">
        <v>1</v>
      </c>
      <c r="O82">
        <v>1</v>
      </c>
      <c r="P82">
        <v>1</v>
      </c>
    </row>
    <row r="83" spans="1:16" x14ac:dyDescent="0.25">
      <c r="A83" t="s">
        <v>867</v>
      </c>
      <c r="B83" t="s">
        <v>866</v>
      </c>
      <c r="C83" t="s">
        <v>1511</v>
      </c>
      <c r="D83" t="s">
        <v>1465</v>
      </c>
      <c r="F83">
        <v>1</v>
      </c>
      <c r="G83">
        <v>1</v>
      </c>
      <c r="H83">
        <v>1</v>
      </c>
      <c r="I83">
        <v>1</v>
      </c>
      <c r="J83">
        <v>0</v>
      </c>
      <c r="K83">
        <v>6</v>
      </c>
      <c r="L83" t="s">
        <v>1525</v>
      </c>
      <c r="M83">
        <v>0</v>
      </c>
      <c r="N83">
        <v>1</v>
      </c>
      <c r="O83">
        <v>1</v>
      </c>
      <c r="P83">
        <v>1</v>
      </c>
    </row>
    <row r="84" spans="1:16" hidden="1" x14ac:dyDescent="0.25">
      <c r="A84" s="161" t="s">
        <v>865</v>
      </c>
      <c r="B84" s="161" t="s">
        <v>1383</v>
      </c>
      <c r="C84" t="s">
        <v>1511</v>
      </c>
      <c r="D84" t="s">
        <v>1465</v>
      </c>
      <c r="F84">
        <v>1</v>
      </c>
      <c r="G84">
        <v>0</v>
      </c>
      <c r="H84">
        <v>1</v>
      </c>
      <c r="I84">
        <v>1</v>
      </c>
      <c r="J84">
        <v>0</v>
      </c>
      <c r="K84">
        <v>6</v>
      </c>
      <c r="L84" t="s">
        <v>1525</v>
      </c>
      <c r="M84">
        <v>0</v>
      </c>
      <c r="N84">
        <v>1</v>
      </c>
      <c r="O84">
        <v>1</v>
      </c>
      <c r="P84">
        <v>1</v>
      </c>
    </row>
    <row r="85" spans="1:16" hidden="1" x14ac:dyDescent="0.25">
      <c r="A85" s="160" t="s">
        <v>862</v>
      </c>
      <c r="B85" s="160" t="s">
        <v>1383</v>
      </c>
      <c r="C85" t="s">
        <v>1511</v>
      </c>
      <c r="D85" t="s">
        <v>1465</v>
      </c>
      <c r="E85">
        <f>INDEX(density!$B$2:$B$16,MATCH(Table2[[#This Row],[bio-based plastics]],density!$A$2:$A$16,0))/INDEX(density!$B$2:$B$16,MATCH(Table2[[#This Row],[traditional plastics]],density!$A$2:$A$16,0))</f>
        <v>1.1682242990654206</v>
      </c>
      <c r="F85">
        <v>1</v>
      </c>
      <c r="G85">
        <v>0</v>
      </c>
      <c r="H85">
        <v>1</v>
      </c>
      <c r="I85">
        <v>1</v>
      </c>
      <c r="J85">
        <v>0</v>
      </c>
      <c r="K85">
        <v>6</v>
      </c>
      <c r="L85" t="s">
        <v>1525</v>
      </c>
      <c r="M85">
        <v>0</v>
      </c>
      <c r="N85">
        <v>1</v>
      </c>
      <c r="O85">
        <v>1</v>
      </c>
      <c r="P85">
        <v>1</v>
      </c>
    </row>
    <row r="86" spans="1:16" x14ac:dyDescent="0.25">
      <c r="A86" s="160" t="s">
        <v>867</v>
      </c>
      <c r="B86" s="160" t="s">
        <v>866</v>
      </c>
      <c r="C86" t="s">
        <v>1526</v>
      </c>
      <c r="D86" t="s">
        <v>1513</v>
      </c>
      <c r="E86">
        <f>INDEX(density!$B$2:$B$16,MATCH(Table2[[#This Row],[bio-based plastics]],density!$A$2:$A$16,0))/INDEX(density!$B$2:$B$16,MATCH(Table2[[#This Row],[traditional plastics]],density!$A$2:$A$16,0))</f>
        <v>0.9051094890510949</v>
      </c>
      <c r="F86">
        <v>1</v>
      </c>
      <c r="G86">
        <v>0</v>
      </c>
      <c r="H86">
        <v>1</v>
      </c>
      <c r="I86">
        <v>1</v>
      </c>
      <c r="J86">
        <v>0</v>
      </c>
      <c r="K86">
        <v>5</v>
      </c>
      <c r="L86" t="s">
        <v>1527</v>
      </c>
      <c r="M86">
        <v>0</v>
      </c>
      <c r="N86">
        <v>1</v>
      </c>
      <c r="O86">
        <v>0</v>
      </c>
      <c r="P86">
        <v>0</v>
      </c>
    </row>
    <row r="87" spans="1:16" x14ac:dyDescent="0.25">
      <c r="A87" s="160" t="s">
        <v>867</v>
      </c>
      <c r="B87" s="160" t="s">
        <v>864</v>
      </c>
      <c r="C87" t="s">
        <v>1526</v>
      </c>
      <c r="D87" t="s">
        <v>1513</v>
      </c>
      <c r="E87">
        <f>INDEX(density!$B$2:$B$16,MATCH(Table2[[#This Row],[bio-based plastics]],density!$A$2:$A$16,0))/INDEX(density!$B$2:$B$16,MATCH(Table2[[#This Row],[traditional plastics]],density!$A$2:$A$16,0))</f>
        <v>1.3663911845730028</v>
      </c>
      <c r="F87">
        <v>1</v>
      </c>
      <c r="G87">
        <v>0</v>
      </c>
      <c r="H87">
        <v>1</v>
      </c>
      <c r="I87">
        <v>1</v>
      </c>
      <c r="J87">
        <v>0</v>
      </c>
      <c r="K87">
        <v>5</v>
      </c>
      <c r="L87" t="s">
        <v>1527</v>
      </c>
      <c r="M87">
        <v>0</v>
      </c>
      <c r="N87">
        <v>1</v>
      </c>
      <c r="O87">
        <v>0</v>
      </c>
      <c r="P87">
        <v>0</v>
      </c>
    </row>
    <row r="88" spans="1:16" x14ac:dyDescent="0.25">
      <c r="A88" s="160" t="s">
        <v>867</v>
      </c>
      <c r="B88" s="160" t="s">
        <v>333</v>
      </c>
      <c r="C88" t="s">
        <v>1526</v>
      </c>
      <c r="D88" t="s">
        <v>1513</v>
      </c>
      <c r="E88">
        <f>INDEX(density!$B$2:$B$16,MATCH(Table2[[#This Row],[bio-based plastics]],density!$A$2:$A$16,0))/INDEX(density!$B$2:$B$16,MATCH(Table2[[#This Row],[traditional plastics]],density!$A$2:$A$16,0))</f>
        <v>1.3011542497376705</v>
      </c>
      <c r="F88">
        <v>1</v>
      </c>
      <c r="G88">
        <v>0</v>
      </c>
      <c r="H88">
        <v>1</v>
      </c>
      <c r="I88">
        <v>1</v>
      </c>
      <c r="J88">
        <v>0</v>
      </c>
      <c r="K88">
        <v>5</v>
      </c>
      <c r="L88" t="s">
        <v>1527</v>
      </c>
      <c r="M88">
        <v>0</v>
      </c>
      <c r="N88">
        <v>1</v>
      </c>
      <c r="O88">
        <v>0</v>
      </c>
      <c r="P88">
        <v>0</v>
      </c>
    </row>
    <row r="89" spans="1:16" x14ac:dyDescent="0.25">
      <c r="A89" s="160" t="s">
        <v>867</v>
      </c>
      <c r="B89" s="160" t="s">
        <v>869</v>
      </c>
      <c r="C89" t="s">
        <v>1526</v>
      </c>
      <c r="D89" t="s">
        <v>1513</v>
      </c>
      <c r="E89">
        <f>INDEX(density!$B$2:$B$16,MATCH(Table2[[#This Row],[bio-based plastics]],density!$A$2:$A$16,0))/INDEX(density!$B$2:$B$16,MATCH(Table2[[#This Row],[traditional plastics]],density!$A$2:$A$16,0))</f>
        <v>1.3478260869565217</v>
      </c>
      <c r="F89">
        <v>1</v>
      </c>
      <c r="G89">
        <v>0</v>
      </c>
      <c r="H89">
        <v>1</v>
      </c>
      <c r="I89">
        <v>1</v>
      </c>
      <c r="J89">
        <v>0</v>
      </c>
      <c r="K89">
        <v>5</v>
      </c>
      <c r="L89" t="s">
        <v>1527</v>
      </c>
      <c r="M89">
        <v>0</v>
      </c>
      <c r="N89">
        <v>1</v>
      </c>
      <c r="O89">
        <v>0</v>
      </c>
      <c r="P89">
        <v>0</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l 3 S 6 U t m p I j G m A A A A + Q A A A B I A H A B D b 2 5 m a W c v U G F j a 2 F n Z S 5 4 b W w g o h g A K K A U A A A A A A A A A A A A A A A A A A A A A A A A A A A A h Y + 9 D o I w G E V f h X S n P 4 j G k I 8 y u I I x M T G u T a n Q C M X Q Y n k 3 B x / J V 5 B E M W y O 9 + Q M 5 7 4 e T 8 j G t g n u q r e 6 M y l i m K J A G d m V 2 l Q p G t w l 3 K K M w 0 H I q 6 h U M M n G J q M t U 1 Q 7 d 0 s I 8 d 5 j v 8 J d X 5 G I U k b O R X 6 U t W o F + s n 6 v x x q Y 5 0 w U i E O p 0 8 M j 3 A U 4 5 h u 1 p j F l A G Z O R T a L J w p G V M g C w i 7 o X F D r 7 g y 4 T 4 H M k 8 g 3 x v 8 D V B L A w Q U A A I A C A C X d L 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3 S 6 U i i K R 7 g O A A A A E Q A A A B M A H A B G b 3 J t d W x h c y 9 T Z W N 0 a W 9 u M S 5 t I K I Y A C i g F A A A A A A A A A A A A A A A A A A A A A A A A A A A A C t O T S 7 J z M 9 T C I b Q h t Y A U E s B A i 0 A F A A C A A g A l 3 S 6 U t m p I j G m A A A A + Q A A A B I A A A A A A A A A A A A A A A A A A A A A A E N v b m Z p Z y 9 Q Y W N r Y W d l L n h t b F B L A Q I t A B Q A A g A I A J d 0 u l I P y u m r p A A A A O k A A A A T A A A A A A A A A A A A A A A A A P I A A A B b Q 2 9 u d G V u d F 9 U e X B l c 1 0 u e G 1 s U E s B A i 0 A F A A C A A g A l 3 S 6 U i i K R 7 g O A A A A E Q A A A B M A A A A A A A A A A A A A A A A A 4 w E A A E Z v c m 1 1 b G F z L 1 N l Y 3 R p b 2 4 x L m 1 Q S w U G A A A A A A M A A w D C A A A A P g I 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B 8 1 3 l o k U u E Q r x l l i S a T 2 / V A A A A A A I A A A A A A B B m A A A A A Q A A I A A A A P k l s 5 S C g z D E T 0 / w F 5 z h m q y 7 U w B E j R 3 M C B a W R n O + Q l m i A A A A A A 6 A A A A A A g A A I A A A A C x e 5 O L z A V D E d 7 h k u 3 j D I w a A m H p I N / d w p w A 9 n g + z M + 3 f U A A A A E y K D 3 v P D a x 8 n d F W K D 3 b 8 s P 1 3 s 1 / T R + 7 B 5 g 9 U G h y T t j v M e 9 0 b k g e d K c B k V T 0 1 2 7 C 1 L s v C w Y j s U 3 b b M R l L C 7 P C r 3 b c 7 Q d D e 3 a b Q H 2 s Z Q k 6 v v y Q A A A A J L 8 d Y k 7 d E X 8 q h k s A t 1 u O B z J D V s n n n C + c S J b e W c 3 p C E I V 4 w b C u O y 4 X L M o 9 t d C a v J M 0 1 6 z u Q X z t E L K y d i H W i I 6 p 4 = < / D a t a M a s h u p > 
</file>

<file path=customXml/itemProps1.xml><?xml version="1.0" encoding="utf-8"?>
<ds:datastoreItem xmlns:ds="http://schemas.openxmlformats.org/officeDocument/2006/customXml" ds:itemID="{F75C5FC8-DE5B-48F8-AF7B-2016B2D57A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production_sector</vt:lpstr>
      <vt:lpstr>pivot</vt:lpstr>
      <vt:lpstr>substitution_factor_subsector</vt:lpstr>
      <vt:lpstr>share_subsector</vt:lpstr>
      <vt:lpstr>production_type_sector</vt:lpstr>
      <vt:lpstr>subsector_match_MK</vt:lpstr>
      <vt:lpstr>all</vt:lpstr>
      <vt:lpstr>JRC_screening</vt:lpstr>
      <vt:lpstr>density</vt:lpstr>
      <vt:lpstr>JRC_market</vt:lpstr>
      <vt:lpstr>substitution_factor_subsect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dc:creator>
  <cp:lastModifiedBy>Jing Huo</cp:lastModifiedBy>
  <dcterms:created xsi:type="dcterms:W3CDTF">2021-03-16T13:45:24Z</dcterms:created>
  <dcterms:modified xsi:type="dcterms:W3CDTF">2024-03-01T12:37:42Z</dcterms:modified>
</cp:coreProperties>
</file>