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drawings/drawing1.xml" ContentType="application/vnd.openxmlformats-officedocument.drawing+xml"/>
  <Override PartName="/xl/comments15.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omments16.xml" ContentType="application/vnd.openxmlformats-officedocument.spreadsheetml.comments+xml"/>
  <Override PartName="/xl/drawings/drawing3.xml" ContentType="application/vnd.openxmlformats-officedocument.drawing+xml"/>
  <Override PartName="/xl/comments17.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omments18.xml" ContentType="application/vnd.openxmlformats-officedocument.spreadsheetml.comment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comments19.xml" ContentType="application/vnd.openxmlformats-officedocument.spreadsheetml.comment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6.xml" ContentType="application/vnd.openxmlformats-officedocument.drawing+xml"/>
  <Override PartName="/xl/comments20.xml" ContentType="application/vnd.openxmlformats-officedocument.spreadsheetml.comment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omments2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filterPrivacy="1"/>
  <xr:revisionPtr revIDLastSave="0" documentId="13_ncr:1_{3D9D5C81-3517-4ED4-9CB5-B6B5BE43BA80}" xr6:coauthVersionLast="36" xr6:coauthVersionMax="36" xr10:uidLastSave="{00000000-0000-0000-0000-000000000000}"/>
  <bookViews>
    <workbookView xWindow="0" yWindow="0" windowWidth="12360" windowHeight="5595" tabRatio="693" xr2:uid="{00000000-000D-0000-FFFF-FFFF00000000}"/>
  </bookViews>
  <sheets>
    <sheet name="0" sheetId="40" r:id="rId1"/>
    <sheet name="Abbreviations" sheetId="38" r:id="rId2"/>
    <sheet name="S1.1 MFA configurations" sheetId="30" r:id="rId3"/>
    <sheet name="S1.2.1 mass flows" sheetId="3" r:id="rId4"/>
    <sheet name="S1.2.2 mass flows - sens.anal." sheetId="35" r:id="rId5"/>
    <sheet name="S2.1.1 Gas_lit" sheetId="9" r:id="rId6"/>
    <sheet name="S2.1.2 Gas_sim" sheetId="14" r:id="rId7"/>
    <sheet name="S2.1.3 Gas_imp" sheetId="13" r:id="rId8"/>
    <sheet name="S2.1.4 Gas_cred" sheetId="10" r:id="rId9"/>
    <sheet name="S2.1.5 Gas_res" sheetId="11" r:id="rId10"/>
    <sheet name="S2.2.1 Pyro_lit" sheetId="6" r:id="rId11"/>
    <sheet name="S2.2.2 Pyro_imp" sheetId="18" r:id="rId12"/>
    <sheet name="S2.2.3 Pyro_cred" sheetId="7" r:id="rId13"/>
    <sheet name="S2.2.4 Pyro_res" sheetId="8" r:id="rId14"/>
    <sheet name="S2.3.1 Depoly_lit" sheetId="22" r:id="rId15"/>
    <sheet name="S2.3.2 Depoly_imp" sheetId="15" r:id="rId16"/>
    <sheet name="S2.3.3 Depoly_cred" sheetId="23" r:id="rId17"/>
    <sheet name="S2.3.4 Depoly_res" sheetId="24" r:id="rId18"/>
    <sheet name="S2.4.1 Dissol_imp" sheetId="16" r:id="rId19"/>
    <sheet name="S2.4.2 Dissol_cred" sheetId="26" r:id="rId20"/>
    <sheet name="S2.4.3 Dissol_res" sheetId="21" r:id="rId21"/>
    <sheet name="S2.5 energy supply scenarios" sheetId="17" r:id="rId22"/>
    <sheet name="S2.6 energy demand chemicals" sheetId="19" r:id="rId23"/>
    <sheet name="S2.7 energy recovery calc" sheetId="25" r:id="rId24"/>
    <sheet name="S2.8 methods_lit_rev" sheetId="27" r:id="rId25"/>
    <sheet name="S2.9 overview inventory " sheetId="28" r:id="rId26"/>
    <sheet name="S2.10 overall results" sheetId="29" r:id="rId27"/>
    <sheet name="S3.1 LCA data coll,sort,transp" sheetId="34" r:id="rId28"/>
    <sheet name="S3.2 LCA data waste-to-energy" sheetId="41" r:id="rId29"/>
    <sheet name="S3.3.1 system impacts" sheetId="5" r:id="rId30"/>
    <sheet name="S3.3.2 sys. imp. - sens.anal." sheetId="36" r:id="rId31"/>
    <sheet name="S4.1 LCA chem rec Schwarz" sheetId="2" r:id="rId32"/>
    <sheet name="S4.2 sys imp chem rec Schwarz" sheetId="33" r:id="rId33"/>
    <sheet name="S5 plant data" sheetId="12" r:id="rId34"/>
    <sheet name="REF" sheetId="37" r:id="rId35"/>
  </sheets>
  <externalReferences>
    <externalReference r:id="rId36"/>
  </externalReferences>
  <definedNames>
    <definedName name="_xlnm._FilterDatabase" localSheetId="10" hidden="1">'S2.2.1 Pyro_lit'!$A$1:$AI$28</definedName>
    <definedName name="_xlnm._FilterDatabase" localSheetId="33" hidden="1">'S5 plant data'!$A$1:$Q$63</definedName>
    <definedName name="_Ref120787027" localSheetId="2">'S1.1 MFA configurations'!$B$2</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Area" localSheetId="25">'S2.9 overview inventory '!$A$2:$P$203</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67" i="36" l="1"/>
  <c r="F18" i="29" l="1"/>
  <c r="G72" i="5" l="1"/>
  <c r="D40" i="29" l="1"/>
  <c r="D41" i="29"/>
  <c r="D39" i="29"/>
  <c r="D18" i="29"/>
  <c r="D19" i="29"/>
  <c r="F19" i="29"/>
  <c r="F41" i="29" s="1"/>
  <c r="F17" i="29"/>
  <c r="F39" i="29" s="1"/>
  <c r="E19" i="29"/>
  <c r="E41" i="29" s="1"/>
  <c r="E17" i="29"/>
  <c r="D17" i="29"/>
  <c r="D103" i="5"/>
  <c r="D102" i="5"/>
  <c r="D101" i="5"/>
  <c r="D100" i="5"/>
  <c r="D99" i="5"/>
  <c r="D98" i="5"/>
  <c r="D97" i="5"/>
  <c r="D96" i="5"/>
  <c r="D95" i="5"/>
  <c r="D94" i="5"/>
  <c r="D93" i="5"/>
  <c r="C73" i="5"/>
  <c r="E73" i="5"/>
  <c r="G73" i="5"/>
  <c r="I73" i="5"/>
  <c r="J73" i="5"/>
  <c r="K73" i="5"/>
  <c r="L73" i="5"/>
  <c r="C75" i="5"/>
  <c r="E75" i="5"/>
  <c r="F75" i="5"/>
  <c r="G75" i="5"/>
  <c r="C76" i="5"/>
  <c r="E76" i="5"/>
  <c r="F76" i="5"/>
  <c r="G76" i="5"/>
  <c r="C77" i="5"/>
  <c r="E77" i="5"/>
  <c r="F77" i="5"/>
  <c r="G77" i="5"/>
  <c r="C83" i="5"/>
  <c r="C84" i="5"/>
  <c r="C85" i="5"/>
  <c r="C87" i="5"/>
  <c r="C88" i="5"/>
  <c r="C89" i="5"/>
  <c r="E18" i="29" l="1"/>
  <c r="E40" i="29" s="1"/>
  <c r="F40" i="29"/>
  <c r="E39" i="29"/>
  <c r="D104" i="5"/>
  <c r="I72" i="5" s="1"/>
  <c r="Y19" i="41"/>
  <c r="M19" i="41"/>
  <c r="Y18" i="41"/>
  <c r="M18" i="41"/>
  <c r="Y17" i="41"/>
  <c r="M17" i="41"/>
  <c r="Y16" i="41"/>
  <c r="M16" i="41"/>
  <c r="Y15" i="41"/>
  <c r="M15" i="41"/>
  <c r="Y14" i="41"/>
  <c r="M14" i="41"/>
  <c r="Y13" i="41"/>
  <c r="M13" i="41"/>
  <c r="Y12" i="41"/>
  <c r="M12" i="41"/>
  <c r="Y11" i="41"/>
  <c r="M11" i="41"/>
  <c r="Y10" i="41"/>
  <c r="M10" i="41"/>
  <c r="Y9" i="41"/>
  <c r="M9" i="41"/>
  <c r="L72" i="5" l="1"/>
  <c r="K72" i="5"/>
  <c r="J72" i="5"/>
  <c r="C80" i="36" l="1"/>
  <c r="V19" i="41"/>
  <c r="V18" i="41"/>
  <c r="V17" i="41"/>
  <c r="V16" i="41"/>
  <c r="V15" i="41"/>
  <c r="V14" i="41"/>
  <c r="V13" i="41"/>
  <c r="V12" i="41"/>
  <c r="V11" i="41"/>
  <c r="V10" i="41"/>
  <c r="V9" i="41"/>
  <c r="P19" i="41"/>
  <c r="C82" i="36" s="1"/>
  <c r="P18" i="41"/>
  <c r="C81" i="36" s="1"/>
  <c r="P17" i="41"/>
  <c r="C101" i="5" s="1"/>
  <c r="P16" i="41"/>
  <c r="C100" i="5" s="1"/>
  <c r="P15" i="41"/>
  <c r="C99" i="5" s="1"/>
  <c r="P14" i="41"/>
  <c r="C98" i="5" s="1"/>
  <c r="P13" i="41"/>
  <c r="C97" i="5" s="1"/>
  <c r="P12" i="41"/>
  <c r="C96" i="5" s="1"/>
  <c r="P11" i="41"/>
  <c r="C74" i="36" s="1"/>
  <c r="P10" i="41"/>
  <c r="C73" i="36" s="1"/>
  <c r="P9" i="41"/>
  <c r="C93" i="5" s="1"/>
  <c r="C79" i="36" l="1"/>
  <c r="C95" i="5"/>
  <c r="C103" i="5"/>
  <c r="C75" i="36"/>
  <c r="C72" i="36"/>
  <c r="C102" i="5"/>
  <c r="C78" i="36"/>
  <c r="C77" i="36"/>
  <c r="C94" i="5"/>
  <c r="C76" i="36"/>
  <c r="J19" i="41"/>
  <c r="J18" i="41"/>
  <c r="J17" i="41"/>
  <c r="J16" i="41"/>
  <c r="J15" i="41"/>
  <c r="J14" i="41"/>
  <c r="J13" i="41"/>
  <c r="J12" i="41"/>
  <c r="J11" i="41"/>
  <c r="J10" i="41"/>
  <c r="J9" i="41"/>
  <c r="S19" i="41"/>
  <c r="S18" i="41"/>
  <c r="S17" i="41"/>
  <c r="S16" i="41"/>
  <c r="S15" i="41"/>
  <c r="S14" i="41"/>
  <c r="S13" i="41"/>
  <c r="S12" i="41"/>
  <c r="S11" i="41"/>
  <c r="S10" i="41"/>
  <c r="S9" i="41"/>
  <c r="G19" i="41"/>
  <c r="G18" i="41"/>
  <c r="G17" i="41"/>
  <c r="G16" i="41"/>
  <c r="G15" i="41"/>
  <c r="G14" i="41"/>
  <c r="G13" i="41"/>
  <c r="G12" i="41"/>
  <c r="G11" i="41"/>
  <c r="G10" i="41"/>
  <c r="G9" i="41"/>
  <c r="D19" i="41"/>
  <c r="D18" i="41"/>
  <c r="D17" i="41"/>
  <c r="D16" i="41"/>
  <c r="D15" i="41"/>
  <c r="D14" i="41"/>
  <c r="D13" i="41"/>
  <c r="D12" i="41"/>
  <c r="D11" i="41"/>
  <c r="D10" i="41"/>
  <c r="D9" i="41"/>
  <c r="C104" i="5" l="1"/>
  <c r="I46" i="5" s="1"/>
  <c r="C83" i="36"/>
  <c r="H47" i="36" s="1"/>
  <c r="J47" i="36" s="1"/>
  <c r="C55" i="35"/>
  <c r="C55" i="3"/>
  <c r="J46" i="5" l="1"/>
  <c r="K46" i="5"/>
  <c r="L46" i="5"/>
  <c r="I47" i="36"/>
  <c r="K47" i="36"/>
  <c r="C9" i="28"/>
  <c r="E9" i="28"/>
  <c r="M46" i="7" l="1"/>
  <c r="M47" i="7" s="1"/>
  <c r="M45" i="7"/>
  <c r="D118" i="28"/>
  <c r="D117" i="28"/>
  <c r="O29" i="19" l="1"/>
  <c r="A13" i="25" l="1"/>
  <c r="A11" i="25"/>
  <c r="M90" i="28"/>
  <c r="M89" i="28"/>
  <c r="H24" i="7"/>
  <c r="H22" i="7"/>
  <c r="H20" i="7"/>
  <c r="C46" i="13" l="1"/>
  <c r="O33" i="25" l="1"/>
  <c r="L50" i="7" l="1"/>
  <c r="O45" i="19" l="1"/>
  <c r="O46" i="19"/>
  <c r="O47" i="19"/>
  <c r="O48" i="19"/>
  <c r="O49" i="19"/>
  <c r="O50" i="19"/>
  <c r="O51" i="19"/>
  <c r="O52" i="19"/>
  <c r="O42" i="19"/>
  <c r="O33" i="19"/>
  <c r="O34" i="19"/>
  <c r="O35" i="19"/>
  <c r="O36" i="19"/>
  <c r="O37" i="19"/>
  <c r="O38" i="19"/>
  <c r="O39" i="19"/>
  <c r="O40" i="19"/>
  <c r="O41" i="19"/>
  <c r="O43" i="19"/>
  <c r="O44" i="19"/>
  <c r="C15" i="15"/>
  <c r="G9" i="34" l="1"/>
  <c r="H9" i="34"/>
  <c r="I9" i="34"/>
  <c r="J9" i="34"/>
  <c r="K9" i="34"/>
  <c r="L9" i="34"/>
  <c r="L10" i="34"/>
  <c r="I10" i="34"/>
  <c r="C138" i="15" l="1"/>
  <c r="A23" i="21"/>
  <c r="A24" i="21"/>
  <c r="A25" i="21"/>
  <c r="B22" i="21"/>
  <c r="C22" i="21"/>
  <c r="B13" i="26" l="1"/>
  <c r="B7" i="26"/>
  <c r="B43" i="23"/>
  <c r="B37" i="23"/>
  <c r="B25" i="23"/>
  <c r="B10" i="23"/>
  <c r="AA42" i="9" l="1"/>
  <c r="D49" i="36" l="1"/>
  <c r="K49" i="36" s="1"/>
  <c r="C49" i="36"/>
  <c r="E48" i="36"/>
  <c r="F47" i="36"/>
  <c r="E47" i="36"/>
  <c r="D47" i="36"/>
  <c r="C47" i="36"/>
  <c r="E27" i="36"/>
  <c r="J27" i="36" s="1"/>
  <c r="C27" i="36"/>
  <c r="F26" i="36"/>
  <c r="G25" i="36"/>
  <c r="F25" i="36"/>
  <c r="E25" i="36"/>
  <c r="C25" i="36"/>
  <c r="D46" i="35"/>
  <c r="D45" i="35"/>
  <c r="D44" i="35"/>
  <c r="D43" i="35"/>
  <c r="D42" i="35"/>
  <c r="D41" i="35"/>
  <c r="D40" i="35"/>
  <c r="D39" i="35"/>
  <c r="D38" i="35"/>
  <c r="D37" i="35"/>
  <c r="D36" i="35"/>
  <c r="J18" i="35"/>
  <c r="N16" i="35"/>
  <c r="N18" i="35" s="1"/>
  <c r="M16" i="35"/>
  <c r="M18" i="35" s="1"/>
  <c r="J16" i="35"/>
  <c r="I16" i="35"/>
  <c r="I18" i="35" s="1"/>
  <c r="D16" i="35"/>
  <c r="D18" i="35" s="1"/>
  <c r="B16" i="35"/>
  <c r="L15" i="35"/>
  <c r="K15" i="35"/>
  <c r="F15" i="35"/>
  <c r="H15" i="35" s="1"/>
  <c r="E15" i="35"/>
  <c r="B82" i="36" s="1"/>
  <c r="L14" i="35"/>
  <c r="K14" i="35"/>
  <c r="F14" i="35"/>
  <c r="G14" i="35" s="1"/>
  <c r="E14" i="35"/>
  <c r="B81" i="36" s="1"/>
  <c r="L13" i="35"/>
  <c r="K13" i="35"/>
  <c r="F13" i="35"/>
  <c r="H13" i="35" s="1"/>
  <c r="E13" i="35"/>
  <c r="B80" i="36" s="1"/>
  <c r="L12" i="35"/>
  <c r="K12" i="35"/>
  <c r="F12" i="35"/>
  <c r="H12" i="35" s="1"/>
  <c r="E12" i="35"/>
  <c r="B79" i="36" s="1"/>
  <c r="L11" i="35"/>
  <c r="K11" i="35"/>
  <c r="F11" i="35"/>
  <c r="G11" i="35" s="1"/>
  <c r="E11" i="35"/>
  <c r="B78" i="36" s="1"/>
  <c r="L10" i="35"/>
  <c r="K10" i="35"/>
  <c r="F10" i="35"/>
  <c r="G10" i="35" s="1"/>
  <c r="E10" i="35"/>
  <c r="B77" i="36" s="1"/>
  <c r="L9" i="35"/>
  <c r="K9" i="35"/>
  <c r="F9" i="35"/>
  <c r="H9" i="35" s="1"/>
  <c r="E9" i="35"/>
  <c r="B76" i="36" s="1"/>
  <c r="L8" i="35"/>
  <c r="K8" i="35"/>
  <c r="F8" i="35"/>
  <c r="H8" i="35" s="1"/>
  <c r="E8" i="35"/>
  <c r="B75" i="36" s="1"/>
  <c r="L7" i="35"/>
  <c r="K7" i="35"/>
  <c r="F7" i="35"/>
  <c r="G7" i="35" s="1"/>
  <c r="E7" i="35"/>
  <c r="L6" i="35"/>
  <c r="K6" i="35"/>
  <c r="F6" i="35"/>
  <c r="G6" i="35" s="1"/>
  <c r="E6" i="35"/>
  <c r="B73" i="36" s="1"/>
  <c r="L5" i="35"/>
  <c r="K5" i="35"/>
  <c r="F5" i="35"/>
  <c r="G5" i="35" s="1"/>
  <c r="E5" i="35"/>
  <c r="B72" i="36" s="1"/>
  <c r="H5" i="35" l="1"/>
  <c r="C55" i="36"/>
  <c r="C33" i="36"/>
  <c r="D55" i="36"/>
  <c r="H10" i="35"/>
  <c r="B18" i="35"/>
  <c r="L16" i="35"/>
  <c r="L18" i="35" s="1"/>
  <c r="E16" i="35"/>
  <c r="E18" i="35" s="1"/>
  <c r="K16" i="35"/>
  <c r="K18" i="35" s="1"/>
  <c r="G9" i="35"/>
  <c r="H14" i="35"/>
  <c r="H6" i="35"/>
  <c r="G13" i="35"/>
  <c r="B74" i="36"/>
  <c r="B83" i="36" s="1"/>
  <c r="I25" i="36" s="1"/>
  <c r="E49" i="36"/>
  <c r="E55" i="36" s="1"/>
  <c r="E33" i="36"/>
  <c r="F49" i="36"/>
  <c r="F55" i="36" s="1"/>
  <c r="K27" i="36"/>
  <c r="L27" i="36"/>
  <c r="F27" i="36"/>
  <c r="F33" i="36" s="1"/>
  <c r="H49" i="36"/>
  <c r="G8" i="35"/>
  <c r="F16" i="35"/>
  <c r="G15" i="35"/>
  <c r="H7" i="35"/>
  <c r="H11" i="35"/>
  <c r="G27" i="36"/>
  <c r="G33" i="36" s="1"/>
  <c r="I49" i="36"/>
  <c r="G12" i="35"/>
  <c r="I27" i="36"/>
  <c r="J49" i="36"/>
  <c r="L11" i="34"/>
  <c r="C10" i="34"/>
  <c r="S51" i="33"/>
  <c r="W51" i="33" s="1"/>
  <c r="R51" i="33"/>
  <c r="T50" i="33"/>
  <c r="U49" i="33"/>
  <c r="T49" i="33"/>
  <c r="S49" i="33"/>
  <c r="R49" i="33"/>
  <c r="S22" i="33"/>
  <c r="T22" i="33" s="1"/>
  <c r="R22" i="33"/>
  <c r="T21" i="33"/>
  <c r="U20" i="33"/>
  <c r="T20" i="33"/>
  <c r="S20" i="33"/>
  <c r="R20" i="33"/>
  <c r="R55" i="33" l="1"/>
  <c r="X51" i="33"/>
  <c r="Y51" i="33"/>
  <c r="S55" i="33"/>
  <c r="U22" i="33"/>
  <c r="U26" i="33" s="1"/>
  <c r="R26" i="33"/>
  <c r="W22" i="33"/>
  <c r="Y22" i="33"/>
  <c r="T26" i="33"/>
  <c r="Z22" i="33"/>
  <c r="S26" i="33"/>
  <c r="D59" i="36"/>
  <c r="D63" i="36" s="1"/>
  <c r="D10" i="34"/>
  <c r="E10" i="34"/>
  <c r="F10" i="34"/>
  <c r="D9" i="34"/>
  <c r="H16" i="35"/>
  <c r="H18" i="35" s="1"/>
  <c r="G16" i="35"/>
  <c r="G18" i="35" s="1"/>
  <c r="K25" i="36"/>
  <c r="J25" i="36"/>
  <c r="L25" i="36"/>
  <c r="E37" i="36"/>
  <c r="E41" i="36" s="1"/>
  <c r="E9" i="34"/>
  <c r="F9" i="34"/>
  <c r="C9" i="34"/>
  <c r="X22" i="33"/>
  <c r="Z51" i="33"/>
  <c r="AA51" i="33"/>
  <c r="AA22" i="33"/>
  <c r="T51" i="33"/>
  <c r="U51" i="33"/>
  <c r="C84" i="28"/>
  <c r="B68" i="36" l="1"/>
  <c r="B29" i="35"/>
  <c r="B19" i="35"/>
  <c r="B60" i="35" l="1"/>
  <c r="B59" i="35"/>
  <c r="B30" i="35"/>
  <c r="D37" i="3" l="1"/>
  <c r="D38" i="3"/>
  <c r="D39" i="3"/>
  <c r="D40" i="3"/>
  <c r="D41" i="3"/>
  <c r="D42" i="3"/>
  <c r="D43" i="3"/>
  <c r="D44" i="3"/>
  <c r="D45" i="3"/>
  <c r="D46" i="3"/>
  <c r="D36" i="3"/>
  <c r="C20" i="19" l="1"/>
  <c r="D20" i="19"/>
  <c r="E20" i="19"/>
  <c r="F20" i="19"/>
  <c r="G20" i="19"/>
  <c r="B20" i="19"/>
  <c r="B183" i="28" l="1"/>
  <c r="C14" i="28"/>
  <c r="D177" i="28"/>
  <c r="C143" i="28"/>
  <c r="C142" i="28"/>
  <c r="D74" i="13" l="1"/>
  <c r="D66" i="7" l="1"/>
  <c r="E25" i="18" l="1"/>
  <c r="E19" i="18"/>
  <c r="E15" i="18"/>
  <c r="A17" i="21" l="1"/>
  <c r="A8" i="21"/>
  <c r="G22" i="13"/>
  <c r="F23" i="13"/>
  <c r="G23" i="13"/>
  <c r="H23" i="13"/>
  <c r="A17" i="24"/>
  <c r="D9" i="28" l="1"/>
  <c r="D18" i="23"/>
  <c r="E24" i="24"/>
  <c r="F24" i="24"/>
  <c r="G24" i="24"/>
  <c r="E25" i="24"/>
  <c r="F25" i="24"/>
  <c r="G25" i="24"/>
  <c r="E26" i="24"/>
  <c r="F26" i="24"/>
  <c r="G26" i="24"/>
  <c r="E27" i="24"/>
  <c r="F27" i="24"/>
  <c r="G27" i="24"/>
  <c r="F23" i="24"/>
  <c r="G23" i="24"/>
  <c r="E23" i="24"/>
  <c r="D156" i="28" l="1"/>
  <c r="D21" i="23"/>
  <c r="F15" i="23"/>
  <c r="E15" i="23"/>
  <c r="D24" i="23"/>
  <c r="C151" i="28"/>
  <c r="C152" i="28"/>
  <c r="B67" i="7"/>
  <c r="E21" i="23" l="1"/>
  <c r="D159" i="28"/>
  <c r="F24" i="23"/>
  <c r="F18" i="23"/>
  <c r="E24" i="23"/>
  <c r="E18" i="23"/>
  <c r="B51" i="7"/>
  <c r="B3" i="7"/>
  <c r="B31" i="7"/>
  <c r="B9" i="7"/>
  <c r="B38" i="10"/>
  <c r="E3" i="10"/>
  <c r="B10" i="10"/>
  <c r="B24" i="10"/>
  <c r="F156" i="28" l="1"/>
  <c r="F21" i="23"/>
  <c r="B202" i="28"/>
  <c r="A202" i="28"/>
  <c r="D201" i="28"/>
  <c r="C201" i="28"/>
  <c r="A201" i="28"/>
  <c r="B200" i="28"/>
  <c r="A200" i="28"/>
  <c r="D199" i="28"/>
  <c r="C199" i="28"/>
  <c r="A199" i="28"/>
  <c r="B198" i="28"/>
  <c r="B197" i="28"/>
  <c r="B196" i="28"/>
  <c r="B195" i="28"/>
  <c r="B194" i="28"/>
  <c r="B193" i="28"/>
  <c r="B192" i="28"/>
  <c r="B191" i="28"/>
  <c r="B190" i="28"/>
  <c r="B189" i="28"/>
  <c r="D188" i="28"/>
  <c r="C188" i="28"/>
  <c r="E187" i="28"/>
  <c r="D187" i="28"/>
  <c r="C187" i="28"/>
  <c r="B187" i="28"/>
  <c r="B186" i="28"/>
  <c r="E185" i="28"/>
  <c r="D185" i="28"/>
  <c r="B185" i="28"/>
  <c r="E184" i="28"/>
  <c r="F162" i="28"/>
  <c r="E162" i="28"/>
  <c r="D162" i="28"/>
  <c r="C162" i="28"/>
  <c r="B162" i="28"/>
  <c r="C161" i="28"/>
  <c r="B161" i="28"/>
  <c r="C160" i="28"/>
  <c r="B160" i="28"/>
  <c r="E159" i="28"/>
  <c r="C159" i="28"/>
  <c r="B159" i="28"/>
  <c r="C158" i="28"/>
  <c r="B158" i="28"/>
  <c r="C157" i="28"/>
  <c r="B157" i="28"/>
  <c r="E156" i="28"/>
  <c r="C156" i="28"/>
  <c r="B156" i="28"/>
  <c r="C155" i="28"/>
  <c r="B155" i="28"/>
  <c r="C154" i="28"/>
  <c r="B154" i="28"/>
  <c r="F153" i="28"/>
  <c r="E153" i="28"/>
  <c r="D153" i="28"/>
  <c r="C153" i="28"/>
  <c r="B153" i="28"/>
  <c r="B152" i="28"/>
  <c r="B151" i="28"/>
  <c r="F150" i="28"/>
  <c r="E150" i="28"/>
  <c r="D150" i="28"/>
  <c r="B149" i="28"/>
  <c r="C148" i="28"/>
  <c r="B148" i="28"/>
  <c r="C147" i="28"/>
  <c r="B147" i="28"/>
  <c r="C146" i="28"/>
  <c r="B146" i="28"/>
  <c r="D137" i="28"/>
  <c r="D136" i="28"/>
  <c r="D135" i="28"/>
  <c r="G116" i="28"/>
  <c r="G115" i="28"/>
  <c r="F114" i="28"/>
  <c r="E114" i="28"/>
  <c r="D114" i="28"/>
  <c r="G113" i="28"/>
  <c r="G112" i="28"/>
  <c r="G111" i="28"/>
  <c r="G110" i="28"/>
  <c r="G109" i="28"/>
  <c r="G108" i="28"/>
  <c r="G107" i="28"/>
  <c r="G106" i="28"/>
  <c r="G105" i="28"/>
  <c r="G104" i="28"/>
  <c r="M101" i="28"/>
  <c r="K101" i="28"/>
  <c r="I101" i="28"/>
  <c r="G101" i="28"/>
  <c r="M100" i="28"/>
  <c r="K100" i="28"/>
  <c r="I100" i="28"/>
  <c r="G100" i="28"/>
  <c r="E99" i="28"/>
  <c r="D99" i="28"/>
  <c r="C99" i="28"/>
  <c r="B99" i="28"/>
  <c r="F98" i="28"/>
  <c r="E98" i="28"/>
  <c r="B98" i="28"/>
  <c r="F97" i="28"/>
  <c r="E97" i="28"/>
  <c r="B97" i="28"/>
  <c r="F96" i="28"/>
  <c r="E96" i="28"/>
  <c r="B96" i="28"/>
  <c r="F95" i="28"/>
  <c r="E95" i="28"/>
  <c r="B95" i="28"/>
  <c r="F94" i="28"/>
  <c r="E94" i="28"/>
  <c r="B94" i="28"/>
  <c r="F93" i="28"/>
  <c r="E93" i="28"/>
  <c r="B93" i="28"/>
  <c r="F92" i="28"/>
  <c r="E92" i="28"/>
  <c r="B92" i="28"/>
  <c r="E91" i="28"/>
  <c r="B91" i="28"/>
  <c r="E90" i="28"/>
  <c r="B90" i="28"/>
  <c r="E89" i="28"/>
  <c r="B89" i="28"/>
  <c r="E88" i="28"/>
  <c r="B88" i="28"/>
  <c r="E87" i="28"/>
  <c r="B87" i="28"/>
  <c r="I86" i="28"/>
  <c r="H86" i="28"/>
  <c r="G86" i="28"/>
  <c r="F86" i="28"/>
  <c r="E86" i="28"/>
  <c r="L85" i="28"/>
  <c r="N25" i="28" s="1"/>
  <c r="J85" i="28"/>
  <c r="H85" i="28"/>
  <c r="F85" i="28"/>
  <c r="E85" i="28"/>
  <c r="M84" i="28"/>
  <c r="L84" i="28"/>
  <c r="K84" i="28"/>
  <c r="J84" i="28"/>
  <c r="I84" i="28"/>
  <c r="H84" i="28"/>
  <c r="G84" i="28"/>
  <c r="F84" i="28"/>
  <c r="E84" i="28"/>
  <c r="B81" i="28"/>
  <c r="E80" i="28"/>
  <c r="B80" i="28"/>
  <c r="E79" i="28"/>
  <c r="B79" i="28"/>
  <c r="E78" i="28"/>
  <c r="B78" i="28"/>
  <c r="E77" i="28"/>
  <c r="B77" i="28"/>
  <c r="E76" i="28"/>
  <c r="B76" i="28"/>
  <c r="E75" i="28"/>
  <c r="B75" i="28"/>
  <c r="E74" i="28"/>
  <c r="B74" i="28"/>
  <c r="E73" i="28"/>
  <c r="B73" i="28"/>
  <c r="E72" i="28"/>
  <c r="B72" i="28"/>
  <c r="B71" i="28"/>
  <c r="B68" i="28"/>
  <c r="B67" i="28"/>
  <c r="E65" i="28"/>
  <c r="D65" i="28"/>
  <c r="C65" i="28"/>
  <c r="E64" i="28"/>
  <c r="D64" i="28"/>
  <c r="C64" i="28"/>
  <c r="E63" i="28"/>
  <c r="D63" i="28"/>
  <c r="C63" i="28"/>
  <c r="E62" i="28"/>
  <c r="D62" i="28"/>
  <c r="C62" i="28"/>
  <c r="E61" i="28"/>
  <c r="C61" i="28"/>
  <c r="D47" i="28"/>
  <c r="C47" i="28"/>
  <c r="D46" i="28"/>
  <c r="C46" i="28"/>
  <c r="D45" i="28"/>
  <c r="C45" i="28"/>
  <c r="B45" i="28"/>
  <c r="B44" i="28"/>
  <c r="B43" i="28"/>
  <c r="B42" i="28"/>
  <c r="B41" i="28"/>
  <c r="B40" i="28"/>
  <c r="B39" i="28"/>
  <c r="B38" i="28"/>
  <c r="H37" i="28"/>
  <c r="G37" i="28"/>
  <c r="F37" i="28"/>
  <c r="E37" i="28"/>
  <c r="E36" i="28"/>
  <c r="D36" i="28"/>
  <c r="C36" i="28"/>
  <c r="O35" i="28"/>
  <c r="M35" i="28"/>
  <c r="K35" i="28"/>
  <c r="I35" i="28"/>
  <c r="G35" i="28"/>
  <c r="D35" i="28"/>
  <c r="C35" i="28"/>
  <c r="O34" i="28"/>
  <c r="M34" i="28"/>
  <c r="K34" i="28"/>
  <c r="I34" i="28"/>
  <c r="G34" i="28"/>
  <c r="D34" i="28"/>
  <c r="C34" i="28"/>
  <c r="D33" i="28"/>
  <c r="C33" i="28"/>
  <c r="B33" i="28"/>
  <c r="J32" i="28"/>
  <c r="H32" i="28"/>
  <c r="E32" i="28"/>
  <c r="B32" i="28"/>
  <c r="J31" i="28"/>
  <c r="H31" i="28"/>
  <c r="E31" i="28"/>
  <c r="D31" i="28"/>
  <c r="C31" i="28"/>
  <c r="B31" i="28"/>
  <c r="J30" i="28"/>
  <c r="H30" i="28"/>
  <c r="E30" i="28"/>
  <c r="B30" i="28"/>
  <c r="J29" i="28"/>
  <c r="H29" i="28"/>
  <c r="E29" i="28"/>
  <c r="B29" i="28"/>
  <c r="J28" i="28"/>
  <c r="H28" i="28"/>
  <c r="E28" i="28"/>
  <c r="B28" i="28"/>
  <c r="J27" i="28"/>
  <c r="H27" i="28"/>
  <c r="E27" i="28"/>
  <c r="B27" i="28"/>
  <c r="K26" i="28"/>
  <c r="J26" i="28"/>
  <c r="I26" i="28"/>
  <c r="H26" i="28"/>
  <c r="G26" i="28"/>
  <c r="F26" i="28"/>
  <c r="E26" i="28"/>
  <c r="M25" i="28"/>
  <c r="L25" i="28"/>
  <c r="K25" i="28"/>
  <c r="J25" i="28"/>
  <c r="I25" i="28"/>
  <c r="H25" i="28"/>
  <c r="G25" i="28"/>
  <c r="F25" i="28"/>
  <c r="E25" i="28"/>
  <c r="F24" i="28"/>
  <c r="E24" i="28"/>
  <c r="C24" i="28"/>
  <c r="F159" i="28" l="1"/>
  <c r="G114" i="28"/>
  <c r="M88" i="28"/>
  <c r="M87" i="28"/>
  <c r="E70" i="28"/>
  <c r="F79" i="28"/>
  <c r="F41" i="10"/>
  <c r="I41" i="10"/>
  <c r="L41" i="10"/>
  <c r="O41" i="10"/>
  <c r="C9" i="23" l="1"/>
  <c r="E108" i="15"/>
  <c r="C20" i="16"/>
  <c r="E176" i="28" l="1"/>
  <c r="D176" i="28"/>
  <c r="D101" i="15"/>
  <c r="C149" i="28"/>
  <c r="C19" i="16"/>
  <c r="E177" i="28" l="1"/>
  <c r="C41" i="16"/>
  <c r="C32" i="16"/>
  <c r="C33" i="16"/>
  <c r="C29" i="16" l="1"/>
  <c r="C35" i="16"/>
  <c r="C36" i="16"/>
  <c r="C43" i="13"/>
  <c r="C61" i="13"/>
  <c r="E41" i="10"/>
  <c r="C121" i="28" l="1"/>
  <c r="C45" i="13"/>
  <c r="C31" i="18" l="1"/>
  <c r="E31" i="18" s="1"/>
  <c r="C30" i="18"/>
  <c r="E30" i="18" s="1"/>
  <c r="C33" i="18"/>
  <c r="E33" i="18" s="1"/>
  <c r="C38" i="18"/>
  <c r="E38" i="18" s="1"/>
  <c r="E40" i="18" l="1"/>
  <c r="C85" i="13"/>
  <c r="C76" i="13"/>
  <c r="E32" i="18"/>
  <c r="E34" i="18" s="1"/>
  <c r="E39" i="18"/>
  <c r="D111" i="15"/>
  <c r="D121" i="15" s="1"/>
  <c r="E111" i="15"/>
  <c r="E121" i="15" s="1"/>
  <c r="C111" i="15"/>
  <c r="C121" i="15" s="1"/>
  <c r="D96" i="15"/>
  <c r="D98" i="15"/>
  <c r="C122" i="15" l="1"/>
  <c r="C123" i="15" s="1"/>
  <c r="C124" i="15" s="1"/>
  <c r="E122" i="15"/>
  <c r="E123" i="15" s="1"/>
  <c r="E124" i="15" s="1"/>
  <c r="D122" i="15"/>
  <c r="D123" i="15" s="1"/>
  <c r="D124" i="15" s="1"/>
  <c r="C27" i="18"/>
  <c r="E27" i="18" s="1"/>
  <c r="C24" i="18"/>
  <c r="E24" i="18" s="1"/>
  <c r="E26" i="18" s="1"/>
  <c r="C21" i="18"/>
  <c r="E21" i="18" s="1"/>
  <c r="C18" i="18"/>
  <c r="E18" i="18" s="1"/>
  <c r="C14" i="18"/>
  <c r="E14" i="18" s="1"/>
  <c r="E16" i="18" s="1"/>
  <c r="C62" i="18"/>
  <c r="E8" i="18"/>
  <c r="E11" i="18" s="1"/>
  <c r="E7" i="18"/>
  <c r="V37" i="22"/>
  <c r="C64" i="18" l="1"/>
  <c r="C68" i="18" s="1"/>
  <c r="E49" i="18"/>
  <c r="C49" i="18"/>
  <c r="D49" i="18"/>
  <c r="E28" i="18"/>
  <c r="E12" i="18"/>
  <c r="E10" i="18"/>
  <c r="E20" i="18"/>
  <c r="E48" i="18" s="1"/>
  <c r="D34" i="15"/>
  <c r="E34" i="15"/>
  <c r="C34" i="15"/>
  <c r="D32" i="15"/>
  <c r="C128" i="15" l="1"/>
  <c r="C25" i="13"/>
  <c r="F25" i="13" s="1"/>
  <c r="C55" i="28"/>
  <c r="E55" i="28"/>
  <c r="E54" i="28"/>
  <c r="D55" i="28"/>
  <c r="D48" i="18"/>
  <c r="C48" i="18"/>
  <c r="E53" i="18"/>
  <c r="E22" i="18"/>
  <c r="C47" i="18" s="1"/>
  <c r="E54" i="18"/>
  <c r="C54" i="18"/>
  <c r="D54" i="18"/>
  <c r="E11" i="26"/>
  <c r="D11" i="26"/>
  <c r="C10" i="26"/>
  <c r="C185" i="28" l="1"/>
  <c r="B55" i="3"/>
  <c r="B55" i="35"/>
  <c r="B62" i="35" s="1"/>
  <c r="D186" i="28"/>
  <c r="E186" i="28"/>
  <c r="D54" i="28"/>
  <c r="C54" i="28"/>
  <c r="C129" i="15"/>
  <c r="E58" i="18"/>
  <c r="D53" i="18"/>
  <c r="E47" i="18"/>
  <c r="D47" i="18"/>
  <c r="C53" i="18"/>
  <c r="C11" i="26"/>
  <c r="D88" i="15"/>
  <c r="A17" i="25"/>
  <c r="D30" i="25"/>
  <c r="D29" i="25"/>
  <c r="D28" i="25"/>
  <c r="D27" i="25"/>
  <c r="D26" i="25"/>
  <c r="D25" i="25"/>
  <c r="A20" i="25"/>
  <c r="A8" i="25"/>
  <c r="A7" i="25"/>
  <c r="A16" i="25" l="1"/>
  <c r="C186" i="28"/>
  <c r="A21" i="25"/>
  <c r="A15" i="25"/>
  <c r="B15" i="25" s="1"/>
  <c r="D58" i="18"/>
  <c r="C58" i="18"/>
  <c r="D43" i="15" l="1"/>
  <c r="D31" i="15"/>
  <c r="D30" i="15"/>
  <c r="K16" i="10"/>
  <c r="K28" i="28" s="1"/>
  <c r="K17" i="10"/>
  <c r="K29" i="28" s="1"/>
  <c r="K18" i="10"/>
  <c r="K30" i="28" s="1"/>
  <c r="K19" i="10"/>
  <c r="K31" i="28" s="1"/>
  <c r="K20" i="10"/>
  <c r="K32" i="28" s="1"/>
  <c r="K15" i="10"/>
  <c r="K27" i="28" s="1"/>
  <c r="I16" i="10"/>
  <c r="I28" i="28" s="1"/>
  <c r="I17" i="10"/>
  <c r="I29" i="28" s="1"/>
  <c r="I18" i="10"/>
  <c r="I30" i="28" s="1"/>
  <c r="I19" i="10"/>
  <c r="I31" i="28" s="1"/>
  <c r="I20" i="10"/>
  <c r="I15" i="10"/>
  <c r="H21" i="10"/>
  <c r="J21" i="10"/>
  <c r="E19" i="23"/>
  <c r="E16" i="23"/>
  <c r="D28" i="15"/>
  <c r="D27" i="15"/>
  <c r="I27" i="28" l="1"/>
  <c r="C64" i="13"/>
  <c r="J33" i="28"/>
  <c r="H33" i="28"/>
  <c r="E154" i="28"/>
  <c r="I32" i="28"/>
  <c r="E157" i="28"/>
  <c r="K52" i="19"/>
  <c r="E17" i="23"/>
  <c r="E20" i="23"/>
  <c r="K21" i="10"/>
  <c r="K33" i="28" s="1"/>
  <c r="I21" i="10"/>
  <c r="I33" i="28" s="1"/>
  <c r="D9" i="15"/>
  <c r="D8" i="15"/>
  <c r="V49" i="22"/>
  <c r="V48" i="22"/>
  <c r="F22" i="23" s="1"/>
  <c r="V47" i="22"/>
  <c r="E22" i="23" s="1"/>
  <c r="V46" i="22"/>
  <c r="D22" i="23" s="1"/>
  <c r="V45" i="22"/>
  <c r="L49" i="22"/>
  <c r="L48" i="22"/>
  <c r="E29" i="15" s="1"/>
  <c r="L47" i="22"/>
  <c r="D29" i="15" s="1"/>
  <c r="L46" i="22"/>
  <c r="C29" i="15" s="1"/>
  <c r="L45" i="22"/>
  <c r="J49" i="22"/>
  <c r="J48" i="22"/>
  <c r="E10" i="15" s="1"/>
  <c r="J47" i="22"/>
  <c r="D10" i="15" s="1"/>
  <c r="J46" i="22"/>
  <c r="C10" i="15" s="1"/>
  <c r="J45" i="22"/>
  <c r="J39" i="22"/>
  <c r="V43" i="22"/>
  <c r="V42" i="22"/>
  <c r="V41" i="22"/>
  <c r="V40" i="22"/>
  <c r="V39" i="22"/>
  <c r="L43" i="22"/>
  <c r="L42" i="22"/>
  <c r="L41" i="22"/>
  <c r="L40" i="22"/>
  <c r="L39" i="22"/>
  <c r="J43" i="22"/>
  <c r="J42" i="22"/>
  <c r="J41" i="22"/>
  <c r="J40" i="22"/>
  <c r="D160" i="28" l="1"/>
  <c r="E158" i="28"/>
  <c r="E160" i="28"/>
  <c r="E155" i="28"/>
  <c r="F160" i="28"/>
  <c r="C66" i="13"/>
  <c r="C68" i="13"/>
  <c r="C69" i="13" s="1"/>
  <c r="D23" i="23"/>
  <c r="E23" i="23"/>
  <c r="F23" i="23"/>
  <c r="D19" i="15"/>
  <c r="D20" i="15"/>
  <c r="D21" i="15"/>
  <c r="E21" i="15"/>
  <c r="C21" i="15"/>
  <c r="E26" i="15"/>
  <c r="D26" i="15"/>
  <c r="C26" i="15"/>
  <c r="E7" i="15"/>
  <c r="D7" i="15"/>
  <c r="C22" i="15" s="1"/>
  <c r="C7" i="15"/>
  <c r="F13" i="23"/>
  <c r="E13" i="23"/>
  <c r="D13" i="23"/>
  <c r="E161" i="28" l="1"/>
  <c r="D161" i="28"/>
  <c r="F161" i="28"/>
  <c r="C8" i="15"/>
  <c r="C19" i="15" s="1"/>
  <c r="E151" i="28"/>
  <c r="D16" i="23"/>
  <c r="D19" i="23"/>
  <c r="F151" i="28"/>
  <c r="F16" i="23"/>
  <c r="F19" i="23"/>
  <c r="C17" i="15"/>
  <c r="D151" i="28"/>
  <c r="E8" i="15"/>
  <c r="E19" i="15" s="1"/>
  <c r="D35" i="15"/>
  <c r="D36" i="15" s="1"/>
  <c r="C28" i="15"/>
  <c r="C27" i="15"/>
  <c r="C35" i="15" s="1"/>
  <c r="C36" i="15" s="1"/>
  <c r="C9" i="15"/>
  <c r="C20" i="15" s="1"/>
  <c r="E9" i="15"/>
  <c r="E20" i="15" s="1"/>
  <c r="E28" i="15"/>
  <c r="E27" i="15"/>
  <c r="E18" i="15"/>
  <c r="C18" i="15"/>
  <c r="D18" i="15"/>
  <c r="D14" i="23"/>
  <c r="F14" i="23"/>
  <c r="E17" i="15"/>
  <c r="E14" i="23"/>
  <c r="D17" i="15"/>
  <c r="H28" i="11"/>
  <c r="G28" i="11"/>
  <c r="F28" i="11"/>
  <c r="H27" i="11"/>
  <c r="G27" i="11"/>
  <c r="F27" i="11"/>
  <c r="H26" i="11"/>
  <c r="G26" i="11"/>
  <c r="F26" i="11"/>
  <c r="D32" i="28"/>
  <c r="C32" i="28"/>
  <c r="D98" i="28"/>
  <c r="C98" i="28"/>
  <c r="J20" i="19"/>
  <c r="A20" i="19"/>
  <c r="B27" i="19"/>
  <c r="C27" i="19"/>
  <c r="D27" i="19"/>
  <c r="E27" i="19"/>
  <c r="F27" i="19"/>
  <c r="G27" i="19"/>
  <c r="H27" i="19"/>
  <c r="J27" i="19"/>
  <c r="A27" i="19"/>
  <c r="O4" i="19"/>
  <c r="O5" i="19"/>
  <c r="O6" i="19"/>
  <c r="O7" i="19"/>
  <c r="O8" i="19"/>
  <c r="O9" i="19"/>
  <c r="O10" i="19"/>
  <c r="O11" i="19"/>
  <c r="O12" i="19"/>
  <c r="O13" i="19"/>
  <c r="O14" i="19"/>
  <c r="O15" i="19"/>
  <c r="O16" i="19"/>
  <c r="O17" i="19"/>
  <c r="O18" i="19"/>
  <c r="O19" i="19"/>
  <c r="O20" i="19" s="1"/>
  <c r="O21" i="19"/>
  <c r="O22" i="19"/>
  <c r="O23" i="19"/>
  <c r="O24" i="19"/>
  <c r="O25" i="19"/>
  <c r="O26" i="19"/>
  <c r="O27" i="19" s="1"/>
  <c r="O28" i="19"/>
  <c r="O30" i="19"/>
  <c r="O31" i="19"/>
  <c r="O32" i="19"/>
  <c r="O3" i="19"/>
  <c r="B21" i="17"/>
  <c r="B16" i="17"/>
  <c r="F152" i="28" l="1"/>
  <c r="D152" i="28"/>
  <c r="C54" i="3"/>
  <c r="C54" i="35"/>
  <c r="B54" i="3"/>
  <c r="B54" i="35"/>
  <c r="B61" i="35" s="1"/>
  <c r="F154" i="28"/>
  <c r="F17" i="23"/>
  <c r="L27" i="19"/>
  <c r="C23" i="16"/>
  <c r="C14" i="16" s="1"/>
  <c r="C38" i="13"/>
  <c r="C86" i="13"/>
  <c r="C77" i="13"/>
  <c r="M30" i="19"/>
  <c r="M21" i="19"/>
  <c r="M13" i="19"/>
  <c r="M4" i="19"/>
  <c r="M11" i="19"/>
  <c r="M37" i="19"/>
  <c r="M10" i="19"/>
  <c r="M40" i="19"/>
  <c r="M8" i="19"/>
  <c r="M35" i="19"/>
  <c r="M50" i="19"/>
  <c r="M46" i="19"/>
  <c r="M42" i="19"/>
  <c r="M38" i="19"/>
  <c r="M34" i="19"/>
  <c r="M28" i="19"/>
  <c r="M20" i="19"/>
  <c r="M12" i="19"/>
  <c r="M3" i="19"/>
  <c r="M19" i="19"/>
  <c r="M48" i="19"/>
  <c r="M24" i="19"/>
  <c r="M15" i="19"/>
  <c r="M47" i="19"/>
  <c r="M22" i="19"/>
  <c r="M49" i="19"/>
  <c r="M45" i="19"/>
  <c r="M41" i="19"/>
  <c r="M33" i="19"/>
  <c r="M26" i="19"/>
  <c r="M18" i="19"/>
  <c r="M44" i="19"/>
  <c r="M36" i="19"/>
  <c r="M16" i="19"/>
  <c r="M23" i="19"/>
  <c r="M7" i="19"/>
  <c r="M51" i="19"/>
  <c r="M39" i="19"/>
  <c r="M14" i="19"/>
  <c r="M25" i="19"/>
  <c r="M17" i="19"/>
  <c r="M9" i="19"/>
  <c r="M32" i="19"/>
  <c r="M29" i="19"/>
  <c r="M43" i="19"/>
  <c r="M31" i="19"/>
  <c r="M6" i="19"/>
  <c r="M52" i="19"/>
  <c r="D157" i="28"/>
  <c r="D20" i="23"/>
  <c r="C133" i="15"/>
  <c r="C38" i="16" s="1"/>
  <c r="C12" i="16"/>
  <c r="C21" i="16"/>
  <c r="C41" i="13"/>
  <c r="C62" i="13"/>
  <c r="L51" i="19"/>
  <c r="L47" i="19"/>
  <c r="L43" i="19"/>
  <c r="N43" i="19" s="1"/>
  <c r="Q43" i="19" s="1"/>
  <c r="L39" i="19"/>
  <c r="L35" i="19"/>
  <c r="L26" i="19"/>
  <c r="L18" i="19"/>
  <c r="N18" i="19" s="1"/>
  <c r="L10" i="19"/>
  <c r="L46" i="19"/>
  <c r="N46" i="19" s="1"/>
  <c r="Q46" i="19" s="1"/>
  <c r="L42" i="19"/>
  <c r="L34" i="19"/>
  <c r="N34" i="19" s="1"/>
  <c r="Q34" i="19" s="1"/>
  <c r="L24" i="19"/>
  <c r="L8" i="19"/>
  <c r="L15" i="19"/>
  <c r="N15" i="19" s="1"/>
  <c r="L36" i="19"/>
  <c r="N36" i="19" s="1"/>
  <c r="Q36" i="19" s="1"/>
  <c r="L25" i="19"/>
  <c r="L17" i="19"/>
  <c r="L9" i="19"/>
  <c r="L50" i="19"/>
  <c r="N50" i="19" s="1"/>
  <c r="Q50" i="19" s="1"/>
  <c r="L38" i="19"/>
  <c r="L32" i="19"/>
  <c r="L16" i="19"/>
  <c r="N16" i="19" s="1"/>
  <c r="C17" i="7" s="1"/>
  <c r="C70" i="28" s="1"/>
  <c r="L23" i="19"/>
  <c r="N23" i="19" s="1"/>
  <c r="L44" i="19"/>
  <c r="L4" i="19"/>
  <c r="L3" i="19"/>
  <c r="L29" i="19"/>
  <c r="L7" i="19"/>
  <c r="N7" i="19" s="1"/>
  <c r="C37" i="7" s="1"/>
  <c r="C88" i="28" s="1"/>
  <c r="L21" i="19"/>
  <c r="L5" i="19"/>
  <c r="L20" i="19"/>
  <c r="L11" i="19"/>
  <c r="L49" i="19"/>
  <c r="L45" i="19"/>
  <c r="L41" i="19"/>
  <c r="L37" i="19"/>
  <c r="L33" i="19"/>
  <c r="L31" i="19"/>
  <c r="L22" i="19"/>
  <c r="N22" i="19" s="1"/>
  <c r="L14" i="19"/>
  <c r="L6" i="19"/>
  <c r="N6" i="19" s="1"/>
  <c r="C38" i="7" s="1"/>
  <c r="C89" i="28" s="1"/>
  <c r="L30" i="19"/>
  <c r="L13" i="19"/>
  <c r="L48" i="19"/>
  <c r="N48" i="19" s="1"/>
  <c r="L40" i="19"/>
  <c r="L28" i="19"/>
  <c r="N28" i="19" s="1"/>
  <c r="L12" i="19"/>
  <c r="N12" i="19" s="1"/>
  <c r="L19" i="19"/>
  <c r="O49" i="18"/>
  <c r="O77" i="18" s="1"/>
  <c r="M49" i="18"/>
  <c r="M77" i="18" s="1"/>
  <c r="N49" i="18"/>
  <c r="N77" i="18" s="1"/>
  <c r="N54" i="18"/>
  <c r="N82" i="18" s="1"/>
  <c r="M54" i="18"/>
  <c r="M82" i="18" s="1"/>
  <c r="O54" i="18"/>
  <c r="O82" i="18" s="1"/>
  <c r="L52" i="19"/>
  <c r="N52" i="19" s="1"/>
  <c r="M5" i="19"/>
  <c r="D17" i="23"/>
  <c r="D154" i="28"/>
  <c r="F157" i="28"/>
  <c r="F20" i="23"/>
  <c r="M27" i="19"/>
  <c r="E35" i="15"/>
  <c r="E36" i="15" s="1"/>
  <c r="E73" i="15" s="1"/>
  <c r="C73" i="15"/>
  <c r="C44" i="15"/>
  <c r="D73" i="15"/>
  <c r="D44" i="15"/>
  <c r="D47" i="15" s="1"/>
  <c r="D48" i="15" s="1"/>
  <c r="E152" i="28"/>
  <c r="C45" i="15"/>
  <c r="D45" i="15"/>
  <c r="N32" i="19"/>
  <c r="N5" i="19"/>
  <c r="Q5" i="19" s="1"/>
  <c r="N21" i="19"/>
  <c r="C39" i="7" s="1"/>
  <c r="C90" i="28" s="1"/>
  <c r="N10" i="19"/>
  <c r="N19" i="19"/>
  <c r="C32" i="10" s="1"/>
  <c r="C42" i="28" s="1"/>
  <c r="N13" i="19"/>
  <c r="N14" i="19"/>
  <c r="N9" i="19"/>
  <c r="Q9" i="19" s="1"/>
  <c r="N11" i="19"/>
  <c r="N4" i="19"/>
  <c r="D155" i="28" l="1"/>
  <c r="N38" i="19"/>
  <c r="Q38" i="19" s="1"/>
  <c r="N24" i="19"/>
  <c r="C26" i="7" s="1"/>
  <c r="C79" i="28" s="1"/>
  <c r="F155" i="28"/>
  <c r="C47" i="13"/>
  <c r="C58" i="13" s="1"/>
  <c r="C79" i="13" s="1"/>
  <c r="F158" i="28"/>
  <c r="N29" i="19"/>
  <c r="D39" i="23" s="1"/>
  <c r="D158" i="28"/>
  <c r="N8" i="19"/>
  <c r="Q8" i="19" s="1"/>
  <c r="N30" i="19"/>
  <c r="Q30" i="19" s="1"/>
  <c r="N25" i="19"/>
  <c r="Q25" i="19" s="1"/>
  <c r="C73" i="13"/>
  <c r="C70" i="13"/>
  <c r="N40" i="19"/>
  <c r="N31" i="19"/>
  <c r="C45" i="7" s="1"/>
  <c r="C96" i="28" s="1"/>
  <c r="N39" i="19"/>
  <c r="Q39" i="19" s="1"/>
  <c r="N26" i="19"/>
  <c r="N33" i="19"/>
  <c r="N47" i="19"/>
  <c r="Q47" i="19" s="1"/>
  <c r="N17" i="19"/>
  <c r="C40" i="7" s="1"/>
  <c r="C91" i="28" s="1"/>
  <c r="N51" i="19"/>
  <c r="N45" i="19"/>
  <c r="N44" i="19"/>
  <c r="N35" i="19"/>
  <c r="Q35" i="19" s="1"/>
  <c r="D35" i="23"/>
  <c r="C17" i="26"/>
  <c r="C25" i="26"/>
  <c r="N3" i="19"/>
  <c r="N42" i="19"/>
  <c r="Q42" i="19" s="1"/>
  <c r="N41" i="19"/>
  <c r="Q41" i="19" s="1"/>
  <c r="C49" i="13"/>
  <c r="N49" i="19"/>
  <c r="D33" i="23"/>
  <c r="C18" i="26"/>
  <c r="C21" i="26"/>
  <c r="D30" i="23"/>
  <c r="D91" i="15"/>
  <c r="L22" i="10"/>
  <c r="J49" i="7"/>
  <c r="C19" i="26"/>
  <c r="D31" i="23"/>
  <c r="N37" i="19"/>
  <c r="Q37" i="19" s="1"/>
  <c r="C25" i="16"/>
  <c r="C48" i="16" s="1"/>
  <c r="C16" i="16"/>
  <c r="C47" i="16" s="1"/>
  <c r="E44" i="15"/>
  <c r="E45" i="15"/>
  <c r="Q21" i="19"/>
  <c r="D53" i="15"/>
  <c r="D52" i="15"/>
  <c r="D54" i="15"/>
  <c r="C21" i="7"/>
  <c r="C74" i="28" s="1"/>
  <c r="Q23" i="19"/>
  <c r="C30" i="10"/>
  <c r="C40" i="28" s="1"/>
  <c r="C36" i="7"/>
  <c r="C87" i="28" s="1"/>
  <c r="C15" i="10"/>
  <c r="C27" i="28" s="1"/>
  <c r="Q32" i="19"/>
  <c r="Q19" i="19"/>
  <c r="Q7" i="19"/>
  <c r="C34" i="10"/>
  <c r="C44" i="28" s="1"/>
  <c r="C17" i="10"/>
  <c r="C29" i="28" s="1"/>
  <c r="C29" i="10"/>
  <c r="C39" i="28" s="1"/>
  <c r="Q26" i="19"/>
  <c r="C44" i="7"/>
  <c r="C95" i="28" s="1"/>
  <c r="C16" i="10"/>
  <c r="C28" i="28" s="1"/>
  <c r="Q17" i="19"/>
  <c r="C24" i="7"/>
  <c r="C77" i="28" s="1"/>
  <c r="C33" i="10"/>
  <c r="C43" i="28" s="1"/>
  <c r="Q22" i="19"/>
  <c r="Q24" i="19"/>
  <c r="C14" i="7"/>
  <c r="C67" i="28" s="1"/>
  <c r="C28" i="10"/>
  <c r="C38" i="28" s="1"/>
  <c r="C25" i="7"/>
  <c r="C78" i="28" s="1"/>
  <c r="Q6" i="19"/>
  <c r="Q16" i="19"/>
  <c r="Q29" i="19"/>
  <c r="D50" i="15"/>
  <c r="C18" i="7"/>
  <c r="C71" i="28" s="1"/>
  <c r="Q10" i="19"/>
  <c r="C19" i="7"/>
  <c r="C72" i="28" s="1"/>
  <c r="Q15" i="19"/>
  <c r="C20" i="7"/>
  <c r="C73" i="28" s="1"/>
  <c r="C41" i="7"/>
  <c r="C92" i="28" s="1"/>
  <c r="C42" i="7"/>
  <c r="C93" i="28" s="1"/>
  <c r="C43" i="7"/>
  <c r="C94" i="28" s="1"/>
  <c r="C23" i="7"/>
  <c r="C76" i="28" s="1"/>
  <c r="N20" i="19"/>
  <c r="C27" i="7"/>
  <c r="C80" i="28" s="1"/>
  <c r="C15" i="7"/>
  <c r="C68" i="28" s="1"/>
  <c r="N27" i="19"/>
  <c r="Q31" i="19" l="1"/>
  <c r="C46" i="7"/>
  <c r="C97" i="28" s="1"/>
  <c r="L34" i="28"/>
  <c r="C16" i="26"/>
  <c r="Q33" i="19"/>
  <c r="J100" i="28"/>
  <c r="C18" i="10"/>
  <c r="C30" i="28" s="1"/>
  <c r="D29" i="23"/>
  <c r="C22" i="26"/>
  <c r="Q40" i="19"/>
  <c r="D36" i="23"/>
  <c r="Q51" i="19"/>
  <c r="D27" i="26"/>
  <c r="C169" i="28"/>
  <c r="C200" i="28" s="1"/>
  <c r="M48" i="7"/>
  <c r="L49" i="7" s="1"/>
  <c r="H17" i="7"/>
  <c r="H29" i="7" s="1"/>
  <c r="D14" i="29"/>
  <c r="B25" i="21"/>
  <c r="D15" i="29"/>
  <c r="B24" i="21"/>
  <c r="C198" i="28"/>
  <c r="C20" i="26"/>
  <c r="D102" i="15"/>
  <c r="D99" i="15"/>
  <c r="D92" i="15"/>
  <c r="C23" i="26"/>
  <c r="D34" i="23"/>
  <c r="D32" i="23"/>
  <c r="D28" i="23" s="1"/>
  <c r="C190" i="28"/>
  <c r="C194" i="28"/>
  <c r="C24" i="26"/>
  <c r="C192" i="28"/>
  <c r="D166" i="28"/>
  <c r="C191" i="28"/>
  <c r="C189" i="28"/>
  <c r="D167" i="28"/>
  <c r="G29" i="7"/>
  <c r="G36" i="10"/>
  <c r="J22" i="10"/>
  <c r="H22" i="10"/>
  <c r="E69" i="15"/>
  <c r="E68" i="15"/>
  <c r="C69" i="15"/>
  <c r="C68" i="15"/>
  <c r="D68" i="15"/>
  <c r="D69" i="15"/>
  <c r="E67" i="15"/>
  <c r="D67" i="15"/>
  <c r="C67" i="15"/>
  <c r="D51" i="15"/>
  <c r="C22" i="7"/>
  <c r="C75" i="28" s="1"/>
  <c r="C31" i="10"/>
  <c r="C41" i="28" s="1"/>
  <c r="Q20" i="19"/>
  <c r="C16" i="7"/>
  <c r="C69" i="28" s="1"/>
  <c r="Q27" i="19"/>
  <c r="Q28" i="19"/>
  <c r="L100" i="28" l="1"/>
  <c r="N34" i="28" s="1"/>
  <c r="N22" i="10"/>
  <c r="C195" i="28"/>
  <c r="H36" i="10"/>
  <c r="H82" i="28"/>
  <c r="C197" i="28"/>
  <c r="D164" i="28"/>
  <c r="C193" i="28"/>
  <c r="D165" i="28"/>
  <c r="C196" i="28"/>
  <c r="J34" i="28"/>
  <c r="G46" i="28"/>
  <c r="H34" i="28"/>
  <c r="G82" i="28"/>
  <c r="D59" i="15"/>
  <c r="D58" i="15"/>
  <c r="D57" i="15"/>
  <c r="D56" i="15"/>
  <c r="D55" i="15"/>
  <c r="D60" i="15"/>
  <c r="B39" i="17"/>
  <c r="H46" i="28" l="1"/>
  <c r="D63" i="15"/>
  <c r="D62" i="15"/>
  <c r="D61" i="15"/>
  <c r="C64" i="15" s="1"/>
  <c r="B31" i="17"/>
  <c r="B33" i="17" s="1"/>
  <c r="B36" i="17" l="1"/>
  <c r="C70" i="15"/>
  <c r="C74" i="15" s="1"/>
  <c r="D64" i="15"/>
  <c r="D70" i="15" s="1"/>
  <c r="D74" i="15" s="1"/>
  <c r="E64" i="15"/>
  <c r="E70" i="15" s="1"/>
  <c r="E74" i="15" s="1"/>
  <c r="C65" i="15"/>
  <c r="D65" i="15"/>
  <c r="E65" i="15"/>
  <c r="E71" i="15" s="1"/>
  <c r="E75" i="15" s="1"/>
  <c r="E66" i="15"/>
  <c r="E72" i="15" s="1"/>
  <c r="E76" i="15" s="1"/>
  <c r="C66" i="15"/>
  <c r="C72" i="15" s="1"/>
  <c r="C76" i="15" s="1"/>
  <c r="D66" i="15"/>
  <c r="D72" i="15" s="1"/>
  <c r="D76" i="15" s="1"/>
  <c r="P138" i="15" l="1"/>
  <c r="N138" i="15"/>
  <c r="L138" i="15"/>
  <c r="B40" i="17"/>
  <c r="B43" i="17"/>
  <c r="C42" i="13" s="1"/>
  <c r="H28" i="7"/>
  <c r="C13" i="16"/>
  <c r="C22" i="16"/>
  <c r="R49" i="19"/>
  <c r="R45" i="19"/>
  <c r="R41" i="19"/>
  <c r="R37" i="19"/>
  <c r="R33" i="19"/>
  <c r="R26" i="19"/>
  <c r="T26" i="19" s="1"/>
  <c r="R22" i="19"/>
  <c r="R18" i="19"/>
  <c r="R14" i="19"/>
  <c r="R10" i="19"/>
  <c r="R6" i="19"/>
  <c r="R48" i="19"/>
  <c r="R40" i="19"/>
  <c r="T40" i="19" s="1"/>
  <c r="D22" i="26" s="1"/>
  <c r="R32" i="19"/>
  <c r="R30" i="19"/>
  <c r="R21" i="19"/>
  <c r="R17" i="19"/>
  <c r="R13" i="19"/>
  <c r="R4" i="19"/>
  <c r="R52" i="19"/>
  <c r="R36" i="19"/>
  <c r="T36" i="19" s="1"/>
  <c r="D19" i="26" s="1"/>
  <c r="R25" i="19"/>
  <c r="R9" i="19"/>
  <c r="R19" i="19"/>
  <c r="R42" i="19"/>
  <c r="R5" i="19"/>
  <c r="R23" i="19"/>
  <c r="R11" i="19"/>
  <c r="R51" i="19"/>
  <c r="T51" i="19" s="1"/>
  <c r="E36" i="23" s="1"/>
  <c r="R47" i="19"/>
  <c r="R43" i="19"/>
  <c r="R39" i="19"/>
  <c r="R35" i="19"/>
  <c r="R29" i="19"/>
  <c r="R28" i="19"/>
  <c r="R24" i="19"/>
  <c r="R20" i="19"/>
  <c r="R16" i="19"/>
  <c r="R12" i="19"/>
  <c r="R8" i="19"/>
  <c r="R3" i="19"/>
  <c r="R50" i="19"/>
  <c r="R46" i="19"/>
  <c r="R38" i="19"/>
  <c r="R34" i="19"/>
  <c r="T34" i="19" s="1"/>
  <c r="D17" i="26" s="1"/>
  <c r="R15" i="19"/>
  <c r="R7" i="19"/>
  <c r="S49" i="18"/>
  <c r="S77" i="18" s="1"/>
  <c r="R49" i="18"/>
  <c r="R77" i="18" s="1"/>
  <c r="T49" i="18"/>
  <c r="T77" i="18" s="1"/>
  <c r="S54" i="18"/>
  <c r="S82" i="18" s="1"/>
  <c r="R54" i="18"/>
  <c r="R82" i="18" s="1"/>
  <c r="T54" i="18"/>
  <c r="T82" i="18" s="1"/>
  <c r="R27" i="19"/>
  <c r="H26" i="7"/>
  <c r="C24" i="16"/>
  <c r="C15" i="16" s="1"/>
  <c r="C17" i="16" s="1"/>
  <c r="C39" i="13"/>
  <c r="C78" i="13"/>
  <c r="C87" i="13"/>
  <c r="S7" i="19"/>
  <c r="S26" i="19"/>
  <c r="S6" i="19"/>
  <c r="S52" i="19"/>
  <c r="S48" i="19"/>
  <c r="S44" i="19"/>
  <c r="S40" i="19"/>
  <c r="S36" i="19"/>
  <c r="S32" i="19"/>
  <c r="S30" i="19"/>
  <c r="S25" i="19"/>
  <c r="S21" i="19"/>
  <c r="S17" i="19"/>
  <c r="S13" i="19"/>
  <c r="S9" i="19"/>
  <c r="S4" i="19"/>
  <c r="S23" i="19"/>
  <c r="S31" i="19"/>
  <c r="S51" i="19"/>
  <c r="S47" i="19"/>
  <c r="S43" i="19"/>
  <c r="T43" i="19" s="1"/>
  <c r="D25" i="26" s="1"/>
  <c r="S39" i="19"/>
  <c r="T39" i="19" s="1"/>
  <c r="D21" i="26" s="1"/>
  <c r="S35" i="19"/>
  <c r="S29" i="19"/>
  <c r="S28" i="19"/>
  <c r="S24" i="19"/>
  <c r="S20" i="19"/>
  <c r="S16" i="19"/>
  <c r="S12" i="19"/>
  <c r="S8" i="19"/>
  <c r="S3" i="19"/>
  <c r="S38" i="19"/>
  <c r="S19" i="19"/>
  <c r="S11" i="19"/>
  <c r="S37" i="19"/>
  <c r="S18" i="19"/>
  <c r="S50" i="19"/>
  <c r="S46" i="19"/>
  <c r="S42" i="19"/>
  <c r="S34" i="19"/>
  <c r="S5" i="19"/>
  <c r="S15" i="19"/>
  <c r="S49" i="19"/>
  <c r="S45" i="19"/>
  <c r="S41" i="19"/>
  <c r="S33" i="19"/>
  <c r="S22" i="19"/>
  <c r="S14" i="19"/>
  <c r="S10" i="19"/>
  <c r="T48" i="18"/>
  <c r="S48" i="18"/>
  <c r="R48" i="18"/>
  <c r="T53" i="18"/>
  <c r="T58" i="18"/>
  <c r="T86" i="18" s="1"/>
  <c r="S53" i="18"/>
  <c r="R53" i="18"/>
  <c r="R58" i="18"/>
  <c r="R86" i="18" s="1"/>
  <c r="S58" i="18"/>
  <c r="S86" i="18" s="1"/>
  <c r="S27" i="19"/>
  <c r="D82" i="15"/>
  <c r="D81" i="15"/>
  <c r="E82" i="15"/>
  <c r="E81" i="15"/>
  <c r="C6" i="16" s="1"/>
  <c r="D71" i="15"/>
  <c r="D75" i="15" s="1"/>
  <c r="E83" i="15"/>
  <c r="E80" i="15"/>
  <c r="C71" i="15"/>
  <c r="C75" i="15" s="1"/>
  <c r="D80" i="15"/>
  <c r="AI80" i="15" s="1"/>
  <c r="AO80" i="15" s="1"/>
  <c r="D83" i="15"/>
  <c r="B9" i="17"/>
  <c r="B11" i="17" s="1"/>
  <c r="C22" i="13" l="1"/>
  <c r="C48" i="13"/>
  <c r="C134" i="15"/>
  <c r="C39" i="16" s="1"/>
  <c r="D47" i="16" s="1"/>
  <c r="H30" i="7"/>
  <c r="T15" i="19"/>
  <c r="D19" i="7" s="1"/>
  <c r="D72" i="28" s="1"/>
  <c r="T16" i="19"/>
  <c r="D17" i="7" s="1"/>
  <c r="D70" i="28" s="1"/>
  <c r="T47" i="19"/>
  <c r="E29" i="23" s="1"/>
  <c r="T25" i="19"/>
  <c r="T32" i="19"/>
  <c r="T22" i="19"/>
  <c r="C63" i="13"/>
  <c r="C71" i="13" s="1"/>
  <c r="C74" i="13" s="1"/>
  <c r="T38" i="19"/>
  <c r="T24" i="19"/>
  <c r="D26" i="7" s="1"/>
  <c r="D79" i="28" s="1"/>
  <c r="R44" i="19"/>
  <c r="R31" i="19"/>
  <c r="T11" i="19"/>
  <c r="T31" i="19"/>
  <c r="D45" i="7" s="1"/>
  <c r="D96" i="28" s="1"/>
  <c r="D194" i="28"/>
  <c r="S76" i="18"/>
  <c r="S47" i="18"/>
  <c r="S75" i="18" s="1"/>
  <c r="N23" i="10"/>
  <c r="L101" i="28"/>
  <c r="N35" i="28" s="1"/>
  <c r="T46" i="19"/>
  <c r="T28" i="19"/>
  <c r="T23" i="19"/>
  <c r="T4" i="19"/>
  <c r="T48" i="19"/>
  <c r="E31" i="23" s="1"/>
  <c r="T33" i="19"/>
  <c r="D16" i="26" s="1"/>
  <c r="C26" i="16"/>
  <c r="D48" i="16" s="1"/>
  <c r="D14" i="7"/>
  <c r="D67" i="28" s="1"/>
  <c r="D28" i="10"/>
  <c r="D38" i="28" s="1"/>
  <c r="C59" i="13"/>
  <c r="C80" i="13" s="1"/>
  <c r="C50" i="13"/>
  <c r="D190" i="28"/>
  <c r="D195" i="28"/>
  <c r="D15" i="7"/>
  <c r="D68" i="28" s="1"/>
  <c r="D29" i="10"/>
  <c r="D39" i="28" s="1"/>
  <c r="T27" i="19"/>
  <c r="D16" i="7" s="1"/>
  <c r="D69" i="28" s="1"/>
  <c r="T47" i="18"/>
  <c r="T75" i="18" s="1"/>
  <c r="T76" i="18"/>
  <c r="T50" i="19"/>
  <c r="E35" i="23" s="1"/>
  <c r="T29" i="19"/>
  <c r="T5" i="19"/>
  <c r="T13" i="19"/>
  <c r="T6" i="19"/>
  <c r="D38" i="7" s="1"/>
  <c r="D89" i="28" s="1"/>
  <c r="T37" i="19"/>
  <c r="D20" i="26" s="1"/>
  <c r="T81" i="18"/>
  <c r="T52" i="18"/>
  <c r="T80" i="18" s="1"/>
  <c r="D192" i="28"/>
  <c r="T52" i="19"/>
  <c r="T3" i="19"/>
  <c r="T35" i="19"/>
  <c r="T42" i="19"/>
  <c r="D24" i="26" s="1"/>
  <c r="T17" i="19"/>
  <c r="D40" i="7" s="1"/>
  <c r="D91" i="28" s="1"/>
  <c r="T10" i="19"/>
  <c r="T41" i="19"/>
  <c r="D23" i="26" s="1"/>
  <c r="D15" i="10"/>
  <c r="D36" i="7"/>
  <c r="D87" i="28" s="1"/>
  <c r="D198" i="28"/>
  <c r="E167" i="28"/>
  <c r="R47" i="18"/>
  <c r="R75" i="18" s="1"/>
  <c r="D32" i="29" s="1"/>
  <c r="R76" i="18"/>
  <c r="T44" i="19"/>
  <c r="R81" i="18"/>
  <c r="R52" i="18"/>
  <c r="R80" i="18" s="1"/>
  <c r="T8" i="19"/>
  <c r="T19" i="19"/>
  <c r="T21" i="19"/>
  <c r="D39" i="7" s="1"/>
  <c r="D90" i="28" s="1"/>
  <c r="T14" i="19"/>
  <c r="T45" i="19"/>
  <c r="D24" i="7"/>
  <c r="D77" i="28" s="1"/>
  <c r="D33" i="10"/>
  <c r="D43" i="28" s="1"/>
  <c r="D18" i="10"/>
  <c r="D30" i="28" s="1"/>
  <c r="D17" i="10"/>
  <c r="D29" i="28" s="1"/>
  <c r="S52" i="18"/>
  <c r="S80" i="18" s="1"/>
  <c r="S81" i="18"/>
  <c r="T7" i="19"/>
  <c r="D37" i="7" s="1"/>
  <c r="D88" i="28" s="1"/>
  <c r="T12" i="19"/>
  <c r="T9" i="19"/>
  <c r="T30" i="19"/>
  <c r="T18" i="19"/>
  <c r="T49" i="19"/>
  <c r="E34" i="23" s="1"/>
  <c r="C8" i="16"/>
  <c r="C176" i="28"/>
  <c r="C82" i="15"/>
  <c r="AE82" i="15" s="1"/>
  <c r="C81" i="15"/>
  <c r="J81" i="15" s="1"/>
  <c r="P81" i="15" s="1"/>
  <c r="P92" i="15" s="1"/>
  <c r="C83" i="15"/>
  <c r="S83" i="15" s="1"/>
  <c r="C80" i="15"/>
  <c r="V80" i="15" s="1"/>
  <c r="AB80" i="15" s="1"/>
  <c r="C9" i="16"/>
  <c r="D46" i="16" s="1"/>
  <c r="T80" i="15"/>
  <c r="K80" i="15"/>
  <c r="Q80" i="15" s="1"/>
  <c r="W80" i="15"/>
  <c r="AC80" i="15" s="1"/>
  <c r="AF80" i="15"/>
  <c r="AJ81" i="15"/>
  <c r="AP81" i="15" s="1"/>
  <c r="AP92" i="15" s="1"/>
  <c r="AG81" i="15"/>
  <c r="L81" i="15"/>
  <c r="R81" i="15" s="1"/>
  <c r="R92" i="15" s="1"/>
  <c r="U81" i="15"/>
  <c r="X81" i="15"/>
  <c r="AD81" i="15" s="1"/>
  <c r="AD92" i="15" s="1"/>
  <c r="AJ80" i="15"/>
  <c r="AP80" i="15" s="1"/>
  <c r="AG80" i="15"/>
  <c r="X80" i="15"/>
  <c r="AD80" i="15" s="1"/>
  <c r="L80" i="15"/>
  <c r="R80" i="15" s="1"/>
  <c r="U80" i="15"/>
  <c r="AF81" i="15"/>
  <c r="AL81" i="15" s="1"/>
  <c r="K81" i="15"/>
  <c r="Q81" i="15" s="1"/>
  <c r="Q92" i="15" s="1"/>
  <c r="T81" i="15"/>
  <c r="W81" i="15"/>
  <c r="AC81" i="15" s="1"/>
  <c r="AC92" i="15" s="1"/>
  <c r="AI81" i="15"/>
  <c r="AO81" i="15" s="1"/>
  <c r="AO92" i="15" s="1"/>
  <c r="AI82" i="15"/>
  <c r="AO82" i="15" s="1"/>
  <c r="AF82" i="15"/>
  <c r="K82" i="15"/>
  <c r="Q82" i="15" s="1"/>
  <c r="T82" i="15"/>
  <c r="W82" i="15"/>
  <c r="AC82" i="15" s="1"/>
  <c r="K83" i="15"/>
  <c r="Q83" i="15" s="1"/>
  <c r="T83" i="15"/>
  <c r="W83" i="15"/>
  <c r="AC83" i="15" s="1"/>
  <c r="AI83" i="15"/>
  <c r="AO83" i="15" s="1"/>
  <c r="AF83" i="15"/>
  <c r="X82" i="15"/>
  <c r="AD82" i="15" s="1"/>
  <c r="AJ82" i="15"/>
  <c r="AP82" i="15" s="1"/>
  <c r="AG82" i="15"/>
  <c r="L82" i="15"/>
  <c r="R82" i="15" s="1"/>
  <c r="U82" i="15"/>
  <c r="X83" i="15"/>
  <c r="AD83" i="15" s="1"/>
  <c r="L83" i="15"/>
  <c r="R83" i="15" s="1"/>
  <c r="U83" i="15"/>
  <c r="AJ83" i="15"/>
  <c r="AP83" i="15" s="1"/>
  <c r="AG83" i="15"/>
  <c r="B6" i="17"/>
  <c r="O138" i="15" s="1"/>
  <c r="AK82" i="15" l="1"/>
  <c r="AK93" i="15" s="1"/>
  <c r="AL83" i="15"/>
  <c r="AL94" i="15" s="1"/>
  <c r="Z82" i="15"/>
  <c r="Z93" i="15" s="1"/>
  <c r="AL92" i="15"/>
  <c r="D22" i="13"/>
  <c r="M138" i="15"/>
  <c r="C46" i="16"/>
  <c r="B23" i="21" s="1"/>
  <c r="D38" i="29"/>
  <c r="C23" i="21"/>
  <c r="D37" i="29"/>
  <c r="C24" i="21"/>
  <c r="D36" i="29"/>
  <c r="C25" i="21"/>
  <c r="D18" i="7"/>
  <c r="D71" i="28" s="1"/>
  <c r="D46" i="7"/>
  <c r="D97" i="28" s="1"/>
  <c r="AH81" i="15"/>
  <c r="AN81" i="15" s="1"/>
  <c r="AN92" i="15" s="1"/>
  <c r="Z80" i="15"/>
  <c r="Z91" i="15" s="1"/>
  <c r="D193" i="28"/>
  <c r="AH82" i="15"/>
  <c r="AN82" i="15" s="1"/>
  <c r="AM82" i="15"/>
  <c r="AM93" i="15" s="1"/>
  <c r="Z83" i="15"/>
  <c r="Z94" i="15" s="1"/>
  <c r="AA80" i="15"/>
  <c r="AA91" i="15" s="1"/>
  <c r="D197" i="28"/>
  <c r="D189" i="28"/>
  <c r="AM83" i="15"/>
  <c r="AM94" i="15" s="1"/>
  <c r="AM81" i="15"/>
  <c r="AM92" i="15" s="1"/>
  <c r="D25" i="7"/>
  <c r="D78" i="28" s="1"/>
  <c r="E33" i="23"/>
  <c r="D18" i="26"/>
  <c r="D16" i="10"/>
  <c r="D28" i="28" s="1"/>
  <c r="D44" i="7"/>
  <c r="D95" i="28" s="1"/>
  <c r="D21" i="7"/>
  <c r="D74" i="28" s="1"/>
  <c r="D30" i="10"/>
  <c r="D40" i="28" s="1"/>
  <c r="AL82" i="15"/>
  <c r="AL93" i="15" s="1"/>
  <c r="AA81" i="15"/>
  <c r="AA92" i="15" s="1"/>
  <c r="E165" i="28"/>
  <c r="G29" i="24"/>
  <c r="Y83" i="15"/>
  <c r="D34" i="10"/>
  <c r="D27" i="7"/>
  <c r="D41" i="7"/>
  <c r="D92" i="28" s="1"/>
  <c r="D20" i="7"/>
  <c r="D73" i="28" s="1"/>
  <c r="D43" i="7"/>
  <c r="D94" i="28" s="1"/>
  <c r="D42" i="7"/>
  <c r="D93" i="28" s="1"/>
  <c r="D27" i="28"/>
  <c r="D196" i="28"/>
  <c r="O48" i="18"/>
  <c r="N48" i="18"/>
  <c r="M48" i="18"/>
  <c r="AA82" i="15"/>
  <c r="AA93" i="15" s="1"/>
  <c r="H37" i="10"/>
  <c r="D40" i="23"/>
  <c r="H83" i="28"/>
  <c r="AA83" i="15"/>
  <c r="AA94" i="15" s="1"/>
  <c r="Z81" i="15"/>
  <c r="Z92" i="15" s="1"/>
  <c r="AM80" i="15"/>
  <c r="AM91" i="15" s="1"/>
  <c r="AL80" i="15"/>
  <c r="AL91" i="15" s="1"/>
  <c r="T20" i="19"/>
  <c r="D23" i="7"/>
  <c r="D76" i="28" s="1"/>
  <c r="D32" i="10"/>
  <c r="D42" i="28" s="1"/>
  <c r="J50" i="7"/>
  <c r="L23" i="10"/>
  <c r="E166" i="28"/>
  <c r="D93" i="15"/>
  <c r="E30" i="23"/>
  <c r="E32" i="23" s="1"/>
  <c r="E28" i="23" s="1"/>
  <c r="S80" i="15"/>
  <c r="Y80" i="15" s="1"/>
  <c r="Y91" i="15" s="1"/>
  <c r="S81" i="15"/>
  <c r="Y81" i="15" s="1"/>
  <c r="Y92" i="15" s="1"/>
  <c r="J80" i="15"/>
  <c r="P80" i="15" s="1"/>
  <c r="AE81" i="15"/>
  <c r="AK81" i="15" s="1"/>
  <c r="AK92" i="15" s="1"/>
  <c r="G81" i="15"/>
  <c r="M81" i="15" s="1"/>
  <c r="V81" i="15"/>
  <c r="AB81" i="15" s="1"/>
  <c r="AB92" i="15" s="1"/>
  <c r="J82" i="15"/>
  <c r="P82" i="15" s="1"/>
  <c r="AH80" i="15"/>
  <c r="AN80" i="15" s="1"/>
  <c r="AE83" i="15"/>
  <c r="AK83" i="15" s="1"/>
  <c r="AK94" i="15" s="1"/>
  <c r="G83" i="15"/>
  <c r="M83" i="15" s="1"/>
  <c r="AH83" i="15"/>
  <c r="AN83" i="15" s="1"/>
  <c r="V83" i="15"/>
  <c r="AB83" i="15" s="1"/>
  <c r="J83" i="15"/>
  <c r="P83" i="15" s="1"/>
  <c r="G82" i="15"/>
  <c r="M82" i="15" s="1"/>
  <c r="V82" i="15"/>
  <c r="AB82" i="15" s="1"/>
  <c r="G80" i="15"/>
  <c r="M80" i="15" s="1"/>
  <c r="S82" i="15"/>
  <c r="Y82" i="15" s="1"/>
  <c r="Y93" i="15" s="1"/>
  <c r="AE80" i="15"/>
  <c r="AK80" i="15" s="1"/>
  <c r="AK91" i="15" s="1"/>
  <c r="F29" i="24"/>
  <c r="J101" i="28" l="1"/>
  <c r="K138" i="15"/>
  <c r="M91" i="15" s="1"/>
  <c r="H80" i="15"/>
  <c r="N80" i="15" s="1"/>
  <c r="N91" i="15" s="1"/>
  <c r="C28" i="24" s="1"/>
  <c r="I80" i="15"/>
  <c r="O80" i="15" s="1"/>
  <c r="O91" i="15" s="1"/>
  <c r="H83" i="15"/>
  <c r="N83" i="15" s="1"/>
  <c r="I81" i="15"/>
  <c r="O81" i="15" s="1"/>
  <c r="H82" i="15"/>
  <c r="N82" i="15" s="1"/>
  <c r="I82" i="15"/>
  <c r="O82" i="15" s="1"/>
  <c r="O93" i="15" s="1"/>
  <c r="I83" i="15"/>
  <c r="O83" i="15" s="1"/>
  <c r="H81" i="15"/>
  <c r="N81" i="15" s="1"/>
  <c r="N92" i="15" s="1"/>
  <c r="C29" i="24" s="1"/>
  <c r="H47" i="28"/>
  <c r="Y94" i="15"/>
  <c r="B31" i="24" s="1"/>
  <c r="B30" i="24"/>
  <c r="D28" i="24"/>
  <c r="D31" i="24"/>
  <c r="E164" i="28"/>
  <c r="H23" i="10"/>
  <c r="D80" i="28"/>
  <c r="G30" i="7"/>
  <c r="D29" i="24"/>
  <c r="E29" i="24"/>
  <c r="L35" i="28"/>
  <c r="J23" i="10"/>
  <c r="D44" i="28"/>
  <c r="G37" i="10"/>
  <c r="D191" i="28"/>
  <c r="D30" i="24"/>
  <c r="B28" i="24"/>
  <c r="D103" i="15"/>
  <c r="AB94" i="15" s="1"/>
  <c r="D94" i="15"/>
  <c r="M53" i="18"/>
  <c r="M76" i="18"/>
  <c r="M47" i="18"/>
  <c r="M75" i="18" s="1"/>
  <c r="D10" i="29" s="1"/>
  <c r="N53" i="18"/>
  <c r="N76" i="18"/>
  <c r="N47" i="18"/>
  <c r="N75" i="18" s="1"/>
  <c r="B29" i="24"/>
  <c r="D31" i="10"/>
  <c r="D41" i="28" s="1"/>
  <c r="D22" i="7"/>
  <c r="D75" i="28" s="1"/>
  <c r="D169" i="28"/>
  <c r="D200" i="28" s="1"/>
  <c r="D28" i="26"/>
  <c r="O53" i="18"/>
  <c r="O76" i="18"/>
  <c r="O47" i="18"/>
  <c r="O75" i="18" s="1"/>
  <c r="D16" i="29"/>
  <c r="F28" i="28"/>
  <c r="F27" i="28"/>
  <c r="AU95" i="14"/>
  <c r="AT95" i="14"/>
  <c r="AS95" i="14"/>
  <c r="AR95" i="14"/>
  <c r="AQ95" i="14"/>
  <c r="AP95" i="14"/>
  <c r="AH95" i="14"/>
  <c r="AF95" i="14"/>
  <c r="AL95" i="14" s="1"/>
  <c r="E12" i="13" s="1"/>
  <c r="AE95" i="14"/>
  <c r="AN95" i="14" s="1"/>
  <c r="AD95" i="14"/>
  <c r="AM95" i="14" s="1"/>
  <c r="AC95" i="14"/>
  <c r="AB95" i="14"/>
  <c r="AK95" i="14" s="1"/>
  <c r="D12" i="13" s="1"/>
  <c r="AU94" i="14"/>
  <c r="AT94" i="14"/>
  <c r="AS94" i="14"/>
  <c r="AR94" i="14"/>
  <c r="AQ94" i="14"/>
  <c r="AP94" i="14"/>
  <c r="AH94" i="14"/>
  <c r="AF94" i="14"/>
  <c r="AL94" i="14" s="1"/>
  <c r="AE94" i="14"/>
  <c r="AN94" i="14" s="1"/>
  <c r="AD94" i="14"/>
  <c r="AM94" i="14" s="1"/>
  <c r="AC94" i="14"/>
  <c r="AB94" i="14"/>
  <c r="AU93" i="14"/>
  <c r="AT93" i="14"/>
  <c r="AS93" i="14"/>
  <c r="AR93" i="14"/>
  <c r="AQ93" i="14"/>
  <c r="AP93" i="14"/>
  <c r="AH93" i="14"/>
  <c r="AF93" i="14"/>
  <c r="AL93" i="14" s="1"/>
  <c r="AE93" i="14"/>
  <c r="AN93" i="14" s="1"/>
  <c r="AD93" i="14"/>
  <c r="AM93" i="14" s="1"/>
  <c r="AC93" i="14"/>
  <c r="AB93" i="14"/>
  <c r="AU92" i="14"/>
  <c r="AT92" i="14"/>
  <c r="AS92" i="14"/>
  <c r="AR92" i="14"/>
  <c r="AQ92" i="14"/>
  <c r="AP92" i="14"/>
  <c r="AH92" i="14"/>
  <c r="AF92" i="14"/>
  <c r="AL92" i="14" s="1"/>
  <c r="AE92" i="14"/>
  <c r="AN92" i="14" s="1"/>
  <c r="AD92" i="14"/>
  <c r="AM92" i="14" s="1"/>
  <c r="AC92" i="14"/>
  <c r="AB92" i="14"/>
  <c r="AU91" i="14"/>
  <c r="AT91" i="14"/>
  <c r="AS91" i="14"/>
  <c r="AR91" i="14"/>
  <c r="AQ91" i="14"/>
  <c r="AP91" i="14"/>
  <c r="AH91" i="14"/>
  <c r="AF91" i="14"/>
  <c r="AL91" i="14" s="1"/>
  <c r="AE91" i="14"/>
  <c r="AN91" i="14" s="1"/>
  <c r="AD91" i="14"/>
  <c r="AM91" i="14" s="1"/>
  <c r="AC91" i="14"/>
  <c r="AB91" i="14"/>
  <c r="AU90" i="14"/>
  <c r="AT90" i="14"/>
  <c r="AS90" i="14"/>
  <c r="AR90" i="14"/>
  <c r="AQ90" i="14"/>
  <c r="AP90" i="14"/>
  <c r="AH90" i="14"/>
  <c r="AF90" i="14"/>
  <c r="AL90" i="14" s="1"/>
  <c r="AE90" i="14"/>
  <c r="AN90" i="14" s="1"/>
  <c r="AD90" i="14"/>
  <c r="AM90" i="14" s="1"/>
  <c r="AC90" i="14"/>
  <c r="AB90" i="14"/>
  <c r="AU89" i="14"/>
  <c r="AT89" i="14"/>
  <c r="AS89" i="14"/>
  <c r="AR89" i="14"/>
  <c r="AQ89" i="14"/>
  <c r="AP89" i="14"/>
  <c r="AH89" i="14"/>
  <c r="AF89" i="14"/>
  <c r="AL89" i="14" s="1"/>
  <c r="AE89" i="14"/>
  <c r="AN89" i="14" s="1"/>
  <c r="AD89" i="14"/>
  <c r="AM89" i="14" s="1"/>
  <c r="AC89" i="14"/>
  <c r="AB89" i="14"/>
  <c r="AU88" i="14"/>
  <c r="AT88" i="14"/>
  <c r="AS88" i="14"/>
  <c r="AR88" i="14"/>
  <c r="AQ88" i="14"/>
  <c r="AP88" i="14"/>
  <c r="AH88" i="14"/>
  <c r="AF88" i="14"/>
  <c r="AL88" i="14" s="1"/>
  <c r="AE88" i="14"/>
  <c r="AN88" i="14" s="1"/>
  <c r="AD88" i="14"/>
  <c r="AM88" i="14" s="1"/>
  <c r="AC88" i="14"/>
  <c r="AK88" i="14" s="1"/>
  <c r="AB88" i="14"/>
  <c r="AU87" i="14"/>
  <c r="AT87" i="14"/>
  <c r="AS87" i="14"/>
  <c r="AR87" i="14"/>
  <c r="AQ87" i="14"/>
  <c r="AP87" i="14"/>
  <c r="AH87" i="14"/>
  <c r="AF87" i="14"/>
  <c r="AL87" i="14" s="1"/>
  <c r="AE87" i="14"/>
  <c r="AN87" i="14" s="1"/>
  <c r="AD87" i="14"/>
  <c r="AM87" i="14" s="1"/>
  <c r="AC87" i="14"/>
  <c r="AB87" i="14"/>
  <c r="AU86" i="14"/>
  <c r="AT86" i="14"/>
  <c r="AS86" i="14"/>
  <c r="AR86" i="14"/>
  <c r="AQ86" i="14"/>
  <c r="AP86" i="14"/>
  <c r="AH86" i="14"/>
  <c r="AF86" i="14"/>
  <c r="AL86" i="14" s="1"/>
  <c r="E11" i="13" s="1"/>
  <c r="AE86" i="14"/>
  <c r="AN86" i="14" s="1"/>
  <c r="AD86" i="14"/>
  <c r="AM86" i="14" s="1"/>
  <c r="AC86" i="14"/>
  <c r="AB86" i="14"/>
  <c r="AU85" i="14"/>
  <c r="AT85" i="14"/>
  <c r="AS85" i="14"/>
  <c r="AR85" i="14"/>
  <c r="AQ85" i="14"/>
  <c r="AP85" i="14"/>
  <c r="AN85" i="14"/>
  <c r="AH85" i="14"/>
  <c r="AF85" i="14"/>
  <c r="AL85" i="14" s="1"/>
  <c r="AE85" i="14"/>
  <c r="AD85" i="14"/>
  <c r="AM85" i="14" s="1"/>
  <c r="AC85" i="14"/>
  <c r="AB85" i="14"/>
  <c r="AU84" i="14"/>
  <c r="AT84" i="14"/>
  <c r="AS84" i="14"/>
  <c r="AR84" i="14"/>
  <c r="AQ84" i="14"/>
  <c r="AP84" i="14"/>
  <c r="AH84" i="14"/>
  <c r="AF84" i="14"/>
  <c r="AL84" i="14" s="1"/>
  <c r="AE84" i="14"/>
  <c r="AN84" i="14" s="1"/>
  <c r="AD84" i="14"/>
  <c r="AM84" i="14" s="1"/>
  <c r="AC84" i="14"/>
  <c r="AB84" i="14"/>
  <c r="AU83" i="14"/>
  <c r="AT83" i="14"/>
  <c r="AS83" i="14"/>
  <c r="AR83" i="14"/>
  <c r="AQ83" i="14"/>
  <c r="AP83" i="14"/>
  <c r="AH83" i="14"/>
  <c r="AF83" i="14"/>
  <c r="AL83" i="14" s="1"/>
  <c r="AE83" i="14"/>
  <c r="AN83" i="14" s="1"/>
  <c r="AD83" i="14"/>
  <c r="AM83" i="14" s="1"/>
  <c r="AC83" i="14"/>
  <c r="AB83" i="14"/>
  <c r="AU82" i="14"/>
  <c r="AT82" i="14"/>
  <c r="AS82" i="14"/>
  <c r="AR82" i="14"/>
  <c r="AQ82" i="14"/>
  <c r="AP82" i="14"/>
  <c r="AH82" i="14"/>
  <c r="AF82" i="14"/>
  <c r="AL82" i="14" s="1"/>
  <c r="AE82" i="14"/>
  <c r="AN82" i="14" s="1"/>
  <c r="AD82" i="14"/>
  <c r="AM82" i="14" s="1"/>
  <c r="AC82" i="14"/>
  <c r="AB82" i="14"/>
  <c r="AU81" i="14"/>
  <c r="AT81" i="14"/>
  <c r="AS81" i="14"/>
  <c r="AR81" i="14"/>
  <c r="AQ81" i="14"/>
  <c r="AP81" i="14"/>
  <c r="AH81" i="14"/>
  <c r="AF81" i="14"/>
  <c r="AL81" i="14" s="1"/>
  <c r="AE81" i="14"/>
  <c r="AN81" i="14" s="1"/>
  <c r="AD81" i="14"/>
  <c r="AM81" i="14" s="1"/>
  <c r="AC81" i="14"/>
  <c r="AB81" i="14"/>
  <c r="AU80" i="14"/>
  <c r="AT80" i="14"/>
  <c r="AS80" i="14"/>
  <c r="AR80" i="14"/>
  <c r="AQ80" i="14"/>
  <c r="AP80" i="14"/>
  <c r="AH80" i="14"/>
  <c r="AF80" i="14"/>
  <c r="AL80" i="14" s="1"/>
  <c r="AE80" i="14"/>
  <c r="AN80" i="14" s="1"/>
  <c r="AD80" i="14"/>
  <c r="AM80" i="14" s="1"/>
  <c r="AC80" i="14"/>
  <c r="AB80" i="14"/>
  <c r="AU79" i="14"/>
  <c r="AT79" i="14"/>
  <c r="AS79" i="14"/>
  <c r="AR79" i="14"/>
  <c r="AQ79" i="14"/>
  <c r="AP79" i="14"/>
  <c r="AH79" i="14"/>
  <c r="AF79" i="14"/>
  <c r="AL79" i="14" s="1"/>
  <c r="AE79" i="14"/>
  <c r="AN79" i="14" s="1"/>
  <c r="AD79" i="14"/>
  <c r="AM79" i="14" s="1"/>
  <c r="AC79" i="14"/>
  <c r="AB79" i="14"/>
  <c r="AU78" i="14"/>
  <c r="AT78" i="14"/>
  <c r="AS78" i="14"/>
  <c r="AR78" i="14"/>
  <c r="AQ78" i="14"/>
  <c r="AP78" i="14"/>
  <c r="AH78" i="14"/>
  <c r="AF78" i="14"/>
  <c r="AL78" i="14" s="1"/>
  <c r="AE78" i="14"/>
  <c r="AN78" i="14" s="1"/>
  <c r="AD78" i="14"/>
  <c r="AM78" i="14" s="1"/>
  <c r="AC78" i="14"/>
  <c r="AB78" i="14"/>
  <c r="AU77" i="14"/>
  <c r="AT77" i="14"/>
  <c r="AS77" i="14"/>
  <c r="AR77" i="14"/>
  <c r="AQ77" i="14"/>
  <c r="AP77" i="14"/>
  <c r="AM77" i="14"/>
  <c r="AH77" i="14"/>
  <c r="AF77" i="14"/>
  <c r="AL77" i="14" s="1"/>
  <c r="AE77" i="14"/>
  <c r="AN77" i="14" s="1"/>
  <c r="AD77" i="14"/>
  <c r="AC77" i="14"/>
  <c r="AB77" i="14"/>
  <c r="AU76" i="14"/>
  <c r="AT76" i="14"/>
  <c r="AS76" i="14"/>
  <c r="AR76" i="14"/>
  <c r="AQ76" i="14"/>
  <c r="AP76" i="14"/>
  <c r="AH76" i="14"/>
  <c r="AF76" i="14"/>
  <c r="AL76" i="14" s="1"/>
  <c r="E10" i="13" s="1"/>
  <c r="AE76" i="14"/>
  <c r="AN76" i="14" s="1"/>
  <c r="AD76" i="14"/>
  <c r="AM76" i="14" s="1"/>
  <c r="AC76" i="14"/>
  <c r="AB76" i="14"/>
  <c r="AK76" i="14" s="1"/>
  <c r="D10" i="13" s="1"/>
  <c r="AU71" i="14"/>
  <c r="AT71" i="14"/>
  <c r="AS71" i="14"/>
  <c r="AR71" i="14"/>
  <c r="AQ71" i="14"/>
  <c r="AP71" i="14"/>
  <c r="AH71" i="14"/>
  <c r="AF71" i="14"/>
  <c r="AL71" i="14" s="1"/>
  <c r="E18" i="13" s="1"/>
  <c r="AE71" i="14"/>
  <c r="AN71" i="14" s="1"/>
  <c r="AD71" i="14"/>
  <c r="AM71" i="14" s="1"/>
  <c r="AC71" i="14"/>
  <c r="AB71" i="14"/>
  <c r="AU70" i="14"/>
  <c r="AT70" i="14"/>
  <c r="AS70" i="14"/>
  <c r="AR70" i="14"/>
  <c r="AQ70" i="14"/>
  <c r="AP70" i="14"/>
  <c r="AH70" i="14"/>
  <c r="AF70" i="14"/>
  <c r="AL70" i="14" s="1"/>
  <c r="AE70" i="14"/>
  <c r="AN70" i="14" s="1"/>
  <c r="AD70" i="14"/>
  <c r="AM70" i="14" s="1"/>
  <c r="AC70" i="14"/>
  <c r="AB70" i="14"/>
  <c r="AU69" i="14"/>
  <c r="AT69" i="14"/>
  <c r="AS69" i="14"/>
  <c r="AR69" i="14"/>
  <c r="AQ69" i="14"/>
  <c r="AP69" i="14"/>
  <c r="AH69" i="14"/>
  <c r="AF69" i="14"/>
  <c r="AL69" i="14" s="1"/>
  <c r="AE69" i="14"/>
  <c r="AN69" i="14" s="1"/>
  <c r="AD69" i="14"/>
  <c r="AM69" i="14" s="1"/>
  <c r="AC69" i="14"/>
  <c r="AB69" i="14"/>
  <c r="AU68" i="14"/>
  <c r="AT68" i="14"/>
  <c r="AS68" i="14"/>
  <c r="AR68" i="14"/>
  <c r="AQ68" i="14"/>
  <c r="AP68" i="14"/>
  <c r="AH68" i="14"/>
  <c r="AF68" i="14"/>
  <c r="AL68" i="14" s="1"/>
  <c r="AE68" i="14"/>
  <c r="AN68" i="14" s="1"/>
  <c r="AD68" i="14"/>
  <c r="AM68" i="14" s="1"/>
  <c r="AC68" i="14"/>
  <c r="AB68" i="14"/>
  <c r="AU67" i="14"/>
  <c r="AT67" i="14"/>
  <c r="AS67" i="14"/>
  <c r="AR67" i="14"/>
  <c r="AQ67" i="14"/>
  <c r="AP67" i="14"/>
  <c r="AH67" i="14"/>
  <c r="AF67" i="14"/>
  <c r="AL67" i="14" s="1"/>
  <c r="AE67" i="14"/>
  <c r="AN67" i="14" s="1"/>
  <c r="AD67" i="14"/>
  <c r="AM67" i="14" s="1"/>
  <c r="AC67" i="14"/>
  <c r="AB67" i="14"/>
  <c r="AU66" i="14"/>
  <c r="AT66" i="14"/>
  <c r="AS66" i="14"/>
  <c r="AR66" i="14"/>
  <c r="AQ66" i="14"/>
  <c r="AP66" i="14"/>
  <c r="AH66" i="14"/>
  <c r="AF66" i="14"/>
  <c r="AL66" i="14" s="1"/>
  <c r="AE66" i="14"/>
  <c r="AN66" i="14" s="1"/>
  <c r="AD66" i="14"/>
  <c r="AM66" i="14" s="1"/>
  <c r="AC66" i="14"/>
  <c r="AB66" i="14"/>
  <c r="AK66" i="14" s="1"/>
  <c r="AU65" i="14"/>
  <c r="AT65" i="14"/>
  <c r="AS65" i="14"/>
  <c r="AR65" i="14"/>
  <c r="AQ65" i="14"/>
  <c r="AP65" i="14"/>
  <c r="AH65" i="14"/>
  <c r="AF65" i="14"/>
  <c r="AL65" i="14" s="1"/>
  <c r="AE65" i="14"/>
  <c r="AN65" i="14" s="1"/>
  <c r="AD65" i="14"/>
  <c r="AM65" i="14" s="1"/>
  <c r="AC65" i="14"/>
  <c r="AB65" i="14"/>
  <c r="AU64" i="14"/>
  <c r="AT64" i="14"/>
  <c r="AS64" i="14"/>
  <c r="AR64" i="14"/>
  <c r="AQ64" i="14"/>
  <c r="AP64" i="14"/>
  <c r="AL64" i="14"/>
  <c r="AH64" i="14"/>
  <c r="AF64" i="14"/>
  <c r="AE64" i="14"/>
  <c r="AN64" i="14" s="1"/>
  <c r="AD64" i="14"/>
  <c r="AM64" i="14" s="1"/>
  <c r="AC64" i="14"/>
  <c r="AK64" i="14" s="1"/>
  <c r="AB64" i="14"/>
  <c r="AU63" i="14"/>
  <c r="AT63" i="14"/>
  <c r="AS63" i="14"/>
  <c r="AR63" i="14"/>
  <c r="AQ63" i="14"/>
  <c r="AP63" i="14"/>
  <c r="AH63" i="14"/>
  <c r="AF63" i="14"/>
  <c r="AL63" i="14" s="1"/>
  <c r="AE63" i="14"/>
  <c r="AN63" i="14" s="1"/>
  <c r="AD63" i="14"/>
  <c r="AM63" i="14" s="1"/>
  <c r="AC63" i="14"/>
  <c r="AB63" i="14"/>
  <c r="AU62" i="14"/>
  <c r="AT62" i="14"/>
  <c r="AS62" i="14"/>
  <c r="AR62" i="14"/>
  <c r="AQ62" i="14"/>
  <c r="AP62" i="14"/>
  <c r="AH62" i="14"/>
  <c r="AF62" i="14"/>
  <c r="AL62" i="14" s="1"/>
  <c r="E17" i="13" s="1"/>
  <c r="AE62" i="14"/>
  <c r="AN62" i="14" s="1"/>
  <c r="AD62" i="14"/>
  <c r="AM62" i="14" s="1"/>
  <c r="AC62" i="14"/>
  <c r="AB62" i="14"/>
  <c r="AU61" i="14"/>
  <c r="AT61" i="14"/>
  <c r="AS61" i="14"/>
  <c r="AR61" i="14"/>
  <c r="AQ61" i="14"/>
  <c r="AP61" i="14"/>
  <c r="AN61" i="14"/>
  <c r="AH61" i="14"/>
  <c r="AF61" i="14"/>
  <c r="AL61" i="14" s="1"/>
  <c r="AE61" i="14"/>
  <c r="AD61" i="14"/>
  <c r="AM61" i="14" s="1"/>
  <c r="AC61" i="14"/>
  <c r="AB61" i="14"/>
  <c r="AU60" i="14"/>
  <c r="AT60" i="14"/>
  <c r="AS60" i="14"/>
  <c r="AR60" i="14"/>
  <c r="AQ60" i="14"/>
  <c r="AP60" i="14"/>
  <c r="AH60" i="14"/>
  <c r="AF60" i="14"/>
  <c r="AL60" i="14" s="1"/>
  <c r="AE60" i="14"/>
  <c r="AN60" i="14" s="1"/>
  <c r="AD60" i="14"/>
  <c r="AM60" i="14" s="1"/>
  <c r="AC60" i="14"/>
  <c r="AB60" i="14"/>
  <c r="AU59" i="14"/>
  <c r="AT59" i="14"/>
  <c r="AS59" i="14"/>
  <c r="AR59" i="14"/>
  <c r="AQ59" i="14"/>
  <c r="AP59" i="14"/>
  <c r="AH59" i="14"/>
  <c r="AF59" i="14"/>
  <c r="AL59" i="14" s="1"/>
  <c r="AE59" i="14"/>
  <c r="AN59" i="14" s="1"/>
  <c r="AD59" i="14"/>
  <c r="AM59" i="14" s="1"/>
  <c r="AC59" i="14"/>
  <c r="AB59" i="14"/>
  <c r="AU58" i="14"/>
  <c r="AT58" i="14"/>
  <c r="AS58" i="14"/>
  <c r="AR58" i="14"/>
  <c r="AQ58" i="14"/>
  <c r="AP58" i="14"/>
  <c r="AH58" i="14"/>
  <c r="AF58" i="14"/>
  <c r="AL58" i="14" s="1"/>
  <c r="AE58" i="14"/>
  <c r="AN58" i="14" s="1"/>
  <c r="AD58" i="14"/>
  <c r="AM58" i="14" s="1"/>
  <c r="AC58" i="14"/>
  <c r="AB58" i="14"/>
  <c r="AU57" i="14"/>
  <c r="AT57" i="14"/>
  <c r="AS57" i="14"/>
  <c r="AR57" i="14"/>
  <c r="AQ57" i="14"/>
  <c r="AP57" i="14"/>
  <c r="AH57" i="14"/>
  <c r="AF57" i="14"/>
  <c r="AL57" i="14" s="1"/>
  <c r="AE57" i="14"/>
  <c r="AN57" i="14" s="1"/>
  <c r="AD57" i="14"/>
  <c r="AM57" i="14" s="1"/>
  <c r="AC57" i="14"/>
  <c r="AB57" i="14"/>
  <c r="AU56" i="14"/>
  <c r="AT56" i="14"/>
  <c r="AS56" i="14"/>
  <c r="AR56" i="14"/>
  <c r="AQ56" i="14"/>
  <c r="AP56" i="14"/>
  <c r="AH56" i="14"/>
  <c r="AF56" i="14"/>
  <c r="AL56" i="14" s="1"/>
  <c r="AE56" i="14"/>
  <c r="AN56" i="14" s="1"/>
  <c r="AD56" i="14"/>
  <c r="AM56" i="14" s="1"/>
  <c r="AC56" i="14"/>
  <c r="AB56" i="14"/>
  <c r="AU55" i="14"/>
  <c r="AT55" i="14"/>
  <c r="AS55" i="14"/>
  <c r="AR55" i="14"/>
  <c r="AQ55" i="14"/>
  <c r="AP55" i="14"/>
  <c r="AH55" i="14"/>
  <c r="AF55" i="14"/>
  <c r="AL55" i="14" s="1"/>
  <c r="AE55" i="14"/>
  <c r="AN55" i="14" s="1"/>
  <c r="AD55" i="14"/>
  <c r="AM55" i="14" s="1"/>
  <c r="AC55" i="14"/>
  <c r="AB55" i="14"/>
  <c r="AU54" i="14"/>
  <c r="AT54" i="14"/>
  <c r="AS54" i="14"/>
  <c r="AR54" i="14"/>
  <c r="AQ54" i="14"/>
  <c r="AP54" i="14"/>
  <c r="AH54" i="14"/>
  <c r="AF54" i="14"/>
  <c r="AL54" i="14" s="1"/>
  <c r="AE54" i="14"/>
  <c r="AN54" i="14" s="1"/>
  <c r="AD54" i="14"/>
  <c r="AM54" i="14" s="1"/>
  <c r="AC54" i="14"/>
  <c r="AB54" i="14"/>
  <c r="AU53" i="14"/>
  <c r="AT53" i="14"/>
  <c r="AS53" i="14"/>
  <c r="AR53" i="14"/>
  <c r="AQ53" i="14"/>
  <c r="AP53" i="14"/>
  <c r="AH53" i="14"/>
  <c r="AF53" i="14"/>
  <c r="AL53" i="14" s="1"/>
  <c r="AE53" i="14"/>
  <c r="AN53" i="14" s="1"/>
  <c r="AD53" i="14"/>
  <c r="AM53" i="14" s="1"/>
  <c r="AC53" i="14"/>
  <c r="AB53" i="14"/>
  <c r="AU52" i="14"/>
  <c r="AT52" i="14"/>
  <c r="AS52" i="14"/>
  <c r="AR52" i="14"/>
  <c r="AQ52" i="14"/>
  <c r="AP52" i="14"/>
  <c r="AH52" i="14"/>
  <c r="AF52" i="14"/>
  <c r="AL52" i="14" s="1"/>
  <c r="E16" i="13" s="1"/>
  <c r="AE52" i="14"/>
  <c r="AN52" i="14" s="1"/>
  <c r="AD52" i="14"/>
  <c r="AM52" i="14" s="1"/>
  <c r="AC52" i="14"/>
  <c r="AB52" i="14"/>
  <c r="AU47" i="14"/>
  <c r="AT47" i="14"/>
  <c r="AS47" i="14"/>
  <c r="AR47" i="14"/>
  <c r="AQ47" i="14"/>
  <c r="AP47" i="14"/>
  <c r="AH47" i="14"/>
  <c r="AF47" i="14"/>
  <c r="AL47" i="14" s="1"/>
  <c r="E15" i="13" s="1"/>
  <c r="AE47" i="14"/>
  <c r="AN47" i="14" s="1"/>
  <c r="AD47" i="14"/>
  <c r="AM47" i="14" s="1"/>
  <c r="AC47" i="14"/>
  <c r="AB47" i="14"/>
  <c r="AU46" i="14"/>
  <c r="AT46" i="14"/>
  <c r="AS46" i="14"/>
  <c r="AR46" i="14"/>
  <c r="AQ46" i="14"/>
  <c r="AP46" i="14"/>
  <c r="AH46" i="14"/>
  <c r="AF46" i="14"/>
  <c r="AL46" i="14" s="1"/>
  <c r="AE46" i="14"/>
  <c r="AN46" i="14" s="1"/>
  <c r="AD46" i="14"/>
  <c r="AM46" i="14" s="1"/>
  <c r="AC46" i="14"/>
  <c r="AB46" i="14"/>
  <c r="AK46" i="14" s="1"/>
  <c r="AU45" i="14"/>
  <c r="AT45" i="14"/>
  <c r="AS45" i="14"/>
  <c r="AR45" i="14"/>
  <c r="AQ45" i="14"/>
  <c r="AP45" i="14"/>
  <c r="AH45" i="14"/>
  <c r="AF45" i="14"/>
  <c r="AL45" i="14" s="1"/>
  <c r="AE45" i="14"/>
  <c r="AN45" i="14" s="1"/>
  <c r="AD45" i="14"/>
  <c r="AM45" i="14" s="1"/>
  <c r="AC45" i="14"/>
  <c r="AB45" i="14"/>
  <c r="AU44" i="14"/>
  <c r="AT44" i="14"/>
  <c r="AS44" i="14"/>
  <c r="AR44" i="14"/>
  <c r="AQ44" i="14"/>
  <c r="AP44" i="14"/>
  <c r="AH44" i="14"/>
  <c r="AF44" i="14"/>
  <c r="AL44" i="14" s="1"/>
  <c r="AE44" i="14"/>
  <c r="AN44" i="14" s="1"/>
  <c r="AD44" i="14"/>
  <c r="AM44" i="14" s="1"/>
  <c r="AC44" i="14"/>
  <c r="AB44" i="14"/>
  <c r="AK44" i="14" s="1"/>
  <c r="AU43" i="14"/>
  <c r="AT43" i="14"/>
  <c r="AS43" i="14"/>
  <c r="AR43" i="14"/>
  <c r="AQ43" i="14"/>
  <c r="AP43" i="14"/>
  <c r="AH43" i="14"/>
  <c r="AF43" i="14"/>
  <c r="AL43" i="14" s="1"/>
  <c r="AE43" i="14"/>
  <c r="AN43" i="14" s="1"/>
  <c r="AD43" i="14"/>
  <c r="AM43" i="14" s="1"/>
  <c r="AC43" i="14"/>
  <c r="AB43" i="14"/>
  <c r="AU42" i="14"/>
  <c r="AT42" i="14"/>
  <c r="AS42" i="14"/>
  <c r="AR42" i="14"/>
  <c r="AQ42" i="14"/>
  <c r="AP42" i="14"/>
  <c r="AH42" i="14"/>
  <c r="AF42" i="14"/>
  <c r="AL42" i="14" s="1"/>
  <c r="AE42" i="14"/>
  <c r="AN42" i="14" s="1"/>
  <c r="AD42" i="14"/>
  <c r="AM42" i="14" s="1"/>
  <c r="AC42" i="14"/>
  <c r="AB42" i="14"/>
  <c r="AK42" i="14" s="1"/>
  <c r="AU41" i="14"/>
  <c r="AT41" i="14"/>
  <c r="AS41" i="14"/>
  <c r="AR41" i="14"/>
  <c r="AQ41" i="14"/>
  <c r="AP41" i="14"/>
  <c r="AH41" i="14"/>
  <c r="AF41" i="14"/>
  <c r="AL41" i="14" s="1"/>
  <c r="AE41" i="14"/>
  <c r="AN41" i="14" s="1"/>
  <c r="AD41" i="14"/>
  <c r="AM41" i="14" s="1"/>
  <c r="AC41" i="14"/>
  <c r="AB41" i="14"/>
  <c r="AU40" i="14"/>
  <c r="AT40" i="14"/>
  <c r="AS40" i="14"/>
  <c r="AR40" i="14"/>
  <c r="AQ40" i="14"/>
  <c r="AP40" i="14"/>
  <c r="AH40" i="14"/>
  <c r="AF40" i="14"/>
  <c r="AL40" i="14" s="1"/>
  <c r="AE40" i="14"/>
  <c r="AN40" i="14" s="1"/>
  <c r="AD40" i="14"/>
  <c r="AM40" i="14" s="1"/>
  <c r="AC40" i="14"/>
  <c r="AK40" i="14" s="1"/>
  <c r="AB40" i="14"/>
  <c r="AU39" i="14"/>
  <c r="AT39" i="14"/>
  <c r="AS39" i="14"/>
  <c r="AR39" i="14"/>
  <c r="AQ39" i="14"/>
  <c r="AP39" i="14"/>
  <c r="AH39" i="14"/>
  <c r="AF39" i="14"/>
  <c r="AL39" i="14" s="1"/>
  <c r="AE39" i="14"/>
  <c r="AN39" i="14" s="1"/>
  <c r="AD39" i="14"/>
  <c r="AM39" i="14" s="1"/>
  <c r="AC39" i="14"/>
  <c r="AB39" i="14"/>
  <c r="AU38" i="14"/>
  <c r="AT38" i="14"/>
  <c r="AS38" i="14"/>
  <c r="AR38" i="14"/>
  <c r="AQ38" i="14"/>
  <c r="AP38" i="14"/>
  <c r="AH38" i="14"/>
  <c r="AF38" i="14"/>
  <c r="AL38" i="14" s="1"/>
  <c r="E14" i="13" s="1"/>
  <c r="AE38" i="14"/>
  <c r="AN38" i="14" s="1"/>
  <c r="AD38" i="14"/>
  <c r="AM38" i="14" s="1"/>
  <c r="AC38" i="14"/>
  <c r="AK38" i="14" s="1"/>
  <c r="D14" i="13" s="1"/>
  <c r="AB38" i="14"/>
  <c r="AU37" i="14"/>
  <c r="AT37" i="14"/>
  <c r="AS37" i="14"/>
  <c r="AR37" i="14"/>
  <c r="AQ37" i="14"/>
  <c r="AP37" i="14"/>
  <c r="AN37" i="14"/>
  <c r="AH37" i="14"/>
  <c r="AF37" i="14"/>
  <c r="AL37" i="14" s="1"/>
  <c r="AE37" i="14"/>
  <c r="AD37" i="14"/>
  <c r="AM37" i="14" s="1"/>
  <c r="AC37" i="14"/>
  <c r="AB37" i="14"/>
  <c r="AU36" i="14"/>
  <c r="AT36" i="14"/>
  <c r="AS36" i="14"/>
  <c r="AR36" i="14"/>
  <c r="AQ36" i="14"/>
  <c r="AP36" i="14"/>
  <c r="AH36" i="14"/>
  <c r="AF36" i="14"/>
  <c r="AL36" i="14" s="1"/>
  <c r="AE36" i="14"/>
  <c r="AN36" i="14" s="1"/>
  <c r="AD36" i="14"/>
  <c r="AM36" i="14" s="1"/>
  <c r="AC36" i="14"/>
  <c r="AB36" i="14"/>
  <c r="AU35" i="14"/>
  <c r="AT35" i="14"/>
  <c r="AS35" i="14"/>
  <c r="AR35" i="14"/>
  <c r="AQ35" i="14"/>
  <c r="AP35" i="14"/>
  <c r="AH35" i="14"/>
  <c r="AF35" i="14"/>
  <c r="AL35" i="14" s="1"/>
  <c r="AE35" i="14"/>
  <c r="AN35" i="14" s="1"/>
  <c r="AD35" i="14"/>
  <c r="AM35" i="14" s="1"/>
  <c r="AC35" i="14"/>
  <c r="AB35" i="14"/>
  <c r="AU34" i="14"/>
  <c r="AT34" i="14"/>
  <c r="AS34" i="14"/>
  <c r="AR34" i="14"/>
  <c r="AQ34" i="14"/>
  <c r="AP34" i="14"/>
  <c r="AH34" i="14"/>
  <c r="AF34" i="14"/>
  <c r="AL34" i="14" s="1"/>
  <c r="AE34" i="14"/>
  <c r="AN34" i="14" s="1"/>
  <c r="AD34" i="14"/>
  <c r="AM34" i="14" s="1"/>
  <c r="AC34" i="14"/>
  <c r="AB34" i="14"/>
  <c r="AU33" i="14"/>
  <c r="AT33" i="14"/>
  <c r="AS33" i="14"/>
  <c r="AR33" i="14"/>
  <c r="AQ33" i="14"/>
  <c r="AP33" i="14"/>
  <c r="AH33" i="14"/>
  <c r="AF33" i="14"/>
  <c r="AL33" i="14" s="1"/>
  <c r="AE33" i="14"/>
  <c r="AN33" i="14" s="1"/>
  <c r="AD33" i="14"/>
  <c r="AM33" i="14" s="1"/>
  <c r="AC33" i="14"/>
  <c r="AB33" i="14"/>
  <c r="AU32" i="14"/>
  <c r="AT32" i="14"/>
  <c r="AS32" i="14"/>
  <c r="AR32" i="14"/>
  <c r="AQ32" i="14"/>
  <c r="AP32" i="14"/>
  <c r="AH32" i="14"/>
  <c r="AF32" i="14"/>
  <c r="AL32" i="14" s="1"/>
  <c r="AE32" i="14"/>
  <c r="AN32" i="14" s="1"/>
  <c r="AD32" i="14"/>
  <c r="AM32" i="14" s="1"/>
  <c r="AC32" i="14"/>
  <c r="AB32" i="14"/>
  <c r="AU31" i="14"/>
  <c r="AT31" i="14"/>
  <c r="AS31" i="14"/>
  <c r="AR31" i="14"/>
  <c r="AQ31" i="14"/>
  <c r="AP31" i="14"/>
  <c r="AH31" i="14"/>
  <c r="AF31" i="14"/>
  <c r="AL31" i="14" s="1"/>
  <c r="AE31" i="14"/>
  <c r="AN31" i="14" s="1"/>
  <c r="AD31" i="14"/>
  <c r="AM31" i="14" s="1"/>
  <c r="AC31" i="14"/>
  <c r="AB31" i="14"/>
  <c r="AU30" i="14"/>
  <c r="AT30" i="14"/>
  <c r="AS30" i="14"/>
  <c r="AR30" i="14"/>
  <c r="AQ30" i="14"/>
  <c r="AP30" i="14"/>
  <c r="AH30" i="14"/>
  <c r="AF30" i="14"/>
  <c r="AL30" i="14" s="1"/>
  <c r="AE30" i="14"/>
  <c r="AN30" i="14" s="1"/>
  <c r="AD30" i="14"/>
  <c r="AM30" i="14" s="1"/>
  <c r="AC30" i="14"/>
  <c r="AB30" i="14"/>
  <c r="AU29" i="14"/>
  <c r="AT29" i="14"/>
  <c r="AS29" i="14"/>
  <c r="AR29" i="14"/>
  <c r="AQ29" i="14"/>
  <c r="AP29" i="14"/>
  <c r="AH29" i="14"/>
  <c r="AF29" i="14"/>
  <c r="AL29" i="14" s="1"/>
  <c r="AE29" i="14"/>
  <c r="AN29" i="14" s="1"/>
  <c r="AD29" i="14"/>
  <c r="AM29" i="14" s="1"/>
  <c r="AC29" i="14"/>
  <c r="AB29" i="14"/>
  <c r="AU28" i="14"/>
  <c r="AT28" i="14"/>
  <c r="AS28" i="14"/>
  <c r="AR28" i="14"/>
  <c r="AQ28" i="14"/>
  <c r="AP28" i="14"/>
  <c r="AH28" i="14"/>
  <c r="AF28" i="14"/>
  <c r="AL28" i="14" s="1"/>
  <c r="E13" i="13" s="1"/>
  <c r="AE28" i="14"/>
  <c r="AN28" i="14" s="1"/>
  <c r="AD28" i="14"/>
  <c r="AM28" i="14" s="1"/>
  <c r="AC28" i="14"/>
  <c r="AB28" i="14"/>
  <c r="AK28" i="14" s="1"/>
  <c r="D13" i="13" s="1"/>
  <c r="AU23" i="14"/>
  <c r="AT23" i="14"/>
  <c r="AS23" i="14"/>
  <c r="AR23" i="14"/>
  <c r="AQ23" i="14"/>
  <c r="AP23" i="14"/>
  <c r="AH23" i="14"/>
  <c r="AF23" i="14"/>
  <c r="AL23" i="14" s="1"/>
  <c r="E9" i="13" s="1"/>
  <c r="AE23" i="14"/>
  <c r="AN23" i="14" s="1"/>
  <c r="AD23" i="14"/>
  <c r="AM23" i="14" s="1"/>
  <c r="AC23" i="14"/>
  <c r="AB23" i="14"/>
  <c r="AU22" i="14"/>
  <c r="AT22" i="14"/>
  <c r="AS22" i="14"/>
  <c r="AR22" i="14"/>
  <c r="AQ22" i="14"/>
  <c r="AP22" i="14"/>
  <c r="AH22" i="14"/>
  <c r="AF22" i="14"/>
  <c r="AL22" i="14" s="1"/>
  <c r="AE22" i="14"/>
  <c r="AN22" i="14" s="1"/>
  <c r="AD22" i="14"/>
  <c r="AM22" i="14" s="1"/>
  <c r="AC22" i="14"/>
  <c r="AB22" i="14"/>
  <c r="AK22" i="14" s="1"/>
  <c r="AU21" i="14"/>
  <c r="AT21" i="14"/>
  <c r="AS21" i="14"/>
  <c r="AR21" i="14"/>
  <c r="AQ21" i="14"/>
  <c r="AP21" i="14"/>
  <c r="AH21" i="14"/>
  <c r="AF21" i="14"/>
  <c r="AL21" i="14" s="1"/>
  <c r="AE21" i="14"/>
  <c r="AN21" i="14" s="1"/>
  <c r="AD21" i="14"/>
  <c r="AM21" i="14" s="1"/>
  <c r="AC21" i="14"/>
  <c r="AB21" i="14"/>
  <c r="AK21" i="14" s="1"/>
  <c r="AU20" i="14"/>
  <c r="AT20" i="14"/>
  <c r="AS20" i="14"/>
  <c r="AR20" i="14"/>
  <c r="AQ20" i="14"/>
  <c r="AP20" i="14"/>
  <c r="AH20" i="14"/>
  <c r="AF20" i="14"/>
  <c r="AL20" i="14" s="1"/>
  <c r="AE20" i="14"/>
  <c r="AN20" i="14" s="1"/>
  <c r="AD20" i="14"/>
  <c r="AM20" i="14" s="1"/>
  <c r="AC20" i="14"/>
  <c r="AB20" i="14"/>
  <c r="AU19" i="14"/>
  <c r="AT19" i="14"/>
  <c r="AS19" i="14"/>
  <c r="AR19" i="14"/>
  <c r="AQ19" i="14"/>
  <c r="AP19" i="14"/>
  <c r="AH19" i="14"/>
  <c r="AF19" i="14"/>
  <c r="AL19" i="14" s="1"/>
  <c r="AE19" i="14"/>
  <c r="AN19" i="14" s="1"/>
  <c r="AD19" i="14"/>
  <c r="AM19" i="14" s="1"/>
  <c r="AC19" i="14"/>
  <c r="AB19" i="14"/>
  <c r="AU18" i="14"/>
  <c r="AT18" i="14"/>
  <c r="AS18" i="14"/>
  <c r="AR18" i="14"/>
  <c r="AQ18" i="14"/>
  <c r="AP18" i="14"/>
  <c r="AH18" i="14"/>
  <c r="AF18" i="14"/>
  <c r="AL18" i="14" s="1"/>
  <c r="AE18" i="14"/>
  <c r="AN18" i="14" s="1"/>
  <c r="AD18" i="14"/>
  <c r="AM18" i="14" s="1"/>
  <c r="AC18" i="14"/>
  <c r="AB18" i="14"/>
  <c r="AU17" i="14"/>
  <c r="AT17" i="14"/>
  <c r="AS17" i="14"/>
  <c r="AR17" i="14"/>
  <c r="AQ17" i="14"/>
  <c r="AP17" i="14"/>
  <c r="AH17" i="14"/>
  <c r="AF17" i="14"/>
  <c r="AL17" i="14" s="1"/>
  <c r="AE17" i="14"/>
  <c r="AN17" i="14" s="1"/>
  <c r="AD17" i="14"/>
  <c r="AM17" i="14" s="1"/>
  <c r="AC17" i="14"/>
  <c r="AB17" i="14"/>
  <c r="AU16" i="14"/>
  <c r="AT16" i="14"/>
  <c r="AS16" i="14"/>
  <c r="AR16" i="14"/>
  <c r="AQ16" i="14"/>
  <c r="AP16" i="14"/>
  <c r="AH16" i="14"/>
  <c r="AF16" i="14"/>
  <c r="AL16" i="14" s="1"/>
  <c r="AE16" i="14"/>
  <c r="AN16" i="14" s="1"/>
  <c r="AD16" i="14"/>
  <c r="AM16" i="14" s="1"/>
  <c r="AC16" i="14"/>
  <c r="AB16" i="14"/>
  <c r="AU15" i="14"/>
  <c r="AT15" i="14"/>
  <c r="AS15" i="14"/>
  <c r="AR15" i="14"/>
  <c r="AQ15" i="14"/>
  <c r="AP15" i="14"/>
  <c r="AH15" i="14"/>
  <c r="AF15" i="14"/>
  <c r="AL15" i="14" s="1"/>
  <c r="AE15" i="14"/>
  <c r="AN15" i="14" s="1"/>
  <c r="AD15" i="14"/>
  <c r="AM15" i="14" s="1"/>
  <c r="AC15" i="14"/>
  <c r="AB15" i="14"/>
  <c r="AU14" i="14"/>
  <c r="AT14" i="14"/>
  <c r="AS14" i="14"/>
  <c r="AR14" i="14"/>
  <c r="AQ14" i="14"/>
  <c r="AP14" i="14"/>
  <c r="AH14" i="14"/>
  <c r="AF14" i="14"/>
  <c r="AL14" i="14" s="1"/>
  <c r="E8" i="13" s="1"/>
  <c r="AE14" i="14"/>
  <c r="AN14" i="14" s="1"/>
  <c r="AD14" i="14"/>
  <c r="AM14" i="14" s="1"/>
  <c r="AC14" i="14"/>
  <c r="AB14" i="14"/>
  <c r="AU13" i="14"/>
  <c r="AT13" i="14"/>
  <c r="AS13" i="14"/>
  <c r="AR13" i="14"/>
  <c r="AQ13" i="14"/>
  <c r="AP13" i="14"/>
  <c r="AH13" i="14"/>
  <c r="AF13" i="14"/>
  <c r="AL13" i="14" s="1"/>
  <c r="AE13" i="14"/>
  <c r="AN13" i="14" s="1"/>
  <c r="AD13" i="14"/>
  <c r="AM13" i="14" s="1"/>
  <c r="AC13" i="14"/>
  <c r="AB13" i="14"/>
  <c r="AU12" i="14"/>
  <c r="AT12" i="14"/>
  <c r="AS12" i="14"/>
  <c r="AR12" i="14"/>
  <c r="AQ12" i="14"/>
  <c r="AP12" i="14"/>
  <c r="AH12" i="14"/>
  <c r="AF12" i="14"/>
  <c r="AL12" i="14" s="1"/>
  <c r="AE12" i="14"/>
  <c r="AN12" i="14" s="1"/>
  <c r="AD12" i="14"/>
  <c r="AM12" i="14" s="1"/>
  <c r="AC12" i="14"/>
  <c r="AB12" i="14"/>
  <c r="AU11" i="14"/>
  <c r="AT11" i="14"/>
  <c r="AS11" i="14"/>
  <c r="AR11" i="14"/>
  <c r="AQ11" i="14"/>
  <c r="AP11" i="14"/>
  <c r="AH11" i="14"/>
  <c r="AF11" i="14"/>
  <c r="AL11" i="14" s="1"/>
  <c r="AE11" i="14"/>
  <c r="AN11" i="14" s="1"/>
  <c r="AD11" i="14"/>
  <c r="AM11" i="14" s="1"/>
  <c r="AC11" i="14"/>
  <c r="AB11" i="14"/>
  <c r="AU10" i="14"/>
  <c r="AT10" i="14"/>
  <c r="AS10" i="14"/>
  <c r="AR10" i="14"/>
  <c r="AQ10" i="14"/>
  <c r="AP10" i="14"/>
  <c r="AH10" i="14"/>
  <c r="AF10" i="14"/>
  <c r="AL10" i="14" s="1"/>
  <c r="AE10" i="14"/>
  <c r="AN10" i="14" s="1"/>
  <c r="AD10" i="14"/>
  <c r="AM10" i="14" s="1"/>
  <c r="AC10" i="14"/>
  <c r="AB10" i="14"/>
  <c r="AU9" i="14"/>
  <c r="AT9" i="14"/>
  <c r="AS9" i="14"/>
  <c r="AR9" i="14"/>
  <c r="AQ9" i="14"/>
  <c r="AP9" i="14"/>
  <c r="AH9" i="14"/>
  <c r="AF9" i="14"/>
  <c r="AL9" i="14" s="1"/>
  <c r="AE9" i="14"/>
  <c r="AN9" i="14" s="1"/>
  <c r="AD9" i="14"/>
  <c r="AM9" i="14" s="1"/>
  <c r="AC9" i="14"/>
  <c r="AB9" i="14"/>
  <c r="AU8" i="14"/>
  <c r="AT8" i="14"/>
  <c r="AS8" i="14"/>
  <c r="AR8" i="14"/>
  <c r="AQ8" i="14"/>
  <c r="AP8" i="14"/>
  <c r="AH8" i="14"/>
  <c r="AF8" i="14"/>
  <c r="AL8" i="14" s="1"/>
  <c r="AE8" i="14"/>
  <c r="AN8" i="14" s="1"/>
  <c r="AD8" i="14"/>
  <c r="AM8" i="14" s="1"/>
  <c r="AC8" i="14"/>
  <c r="AB8" i="14"/>
  <c r="AU7" i="14"/>
  <c r="AT7" i="14"/>
  <c r="AS7" i="14"/>
  <c r="AR7" i="14"/>
  <c r="AQ7" i="14"/>
  <c r="AP7" i="14"/>
  <c r="AH7" i="14"/>
  <c r="AF7" i="14"/>
  <c r="AL7" i="14" s="1"/>
  <c r="AE7" i="14"/>
  <c r="AN7" i="14" s="1"/>
  <c r="AD7" i="14"/>
  <c r="AM7" i="14" s="1"/>
  <c r="AC7" i="14"/>
  <c r="AB7" i="14"/>
  <c r="AU6" i="14"/>
  <c r="AT6" i="14"/>
  <c r="AS6" i="14"/>
  <c r="AR6" i="14"/>
  <c r="AQ6" i="14"/>
  <c r="AP6" i="14"/>
  <c r="AH6" i="14"/>
  <c r="AF6" i="14"/>
  <c r="AL6" i="14" s="1"/>
  <c r="AE6" i="14"/>
  <c r="AN6" i="14" s="1"/>
  <c r="AD6" i="14"/>
  <c r="AM6" i="14" s="1"/>
  <c r="AC6" i="14"/>
  <c r="AK6" i="14" s="1"/>
  <c r="AB6" i="14"/>
  <c r="AU5" i="14"/>
  <c r="AT5" i="14"/>
  <c r="AS5" i="14"/>
  <c r="AQ5" i="14"/>
  <c r="AP5" i="14"/>
  <c r="AH5" i="14"/>
  <c r="AF5" i="14"/>
  <c r="AL5" i="14" s="1"/>
  <c r="AE5" i="14"/>
  <c r="AN5" i="14" s="1"/>
  <c r="AD5" i="14"/>
  <c r="AM5" i="14" s="1"/>
  <c r="AC5" i="14"/>
  <c r="AB5" i="14"/>
  <c r="AU4" i="14"/>
  <c r="AT4" i="14"/>
  <c r="AS4" i="14"/>
  <c r="AR4" i="14"/>
  <c r="AQ4" i="14"/>
  <c r="AP4" i="14"/>
  <c r="AH4" i="14"/>
  <c r="AF4" i="14"/>
  <c r="AL4" i="14" s="1"/>
  <c r="E7" i="13" s="1"/>
  <c r="AE4" i="14"/>
  <c r="AN4" i="14" s="1"/>
  <c r="AD4" i="14"/>
  <c r="AM4" i="14" s="1"/>
  <c r="AC4" i="14"/>
  <c r="AB4" i="14"/>
  <c r="AK37" i="14" l="1"/>
  <c r="AK60" i="14"/>
  <c r="AK83" i="14"/>
  <c r="AK85" i="14"/>
  <c r="AK39" i="14"/>
  <c r="O94" i="15"/>
  <c r="M92" i="15"/>
  <c r="M93" i="15"/>
  <c r="AK10" i="14"/>
  <c r="AK12" i="14"/>
  <c r="AK14" i="14"/>
  <c r="D8" i="13" s="1"/>
  <c r="N94" i="15"/>
  <c r="C31" i="24" s="1"/>
  <c r="N93" i="15"/>
  <c r="C30" i="24" s="1"/>
  <c r="O92" i="15"/>
  <c r="M94" i="15"/>
  <c r="AK53" i="14"/>
  <c r="AK62" i="14"/>
  <c r="D17" i="13" s="1"/>
  <c r="AK79" i="14"/>
  <c r="AK90" i="14"/>
  <c r="AK92" i="14"/>
  <c r="AK94" i="14"/>
  <c r="AK59" i="14"/>
  <c r="AK11" i="14"/>
  <c r="AK20" i="14"/>
  <c r="AK52" i="14"/>
  <c r="D16" i="13" s="1"/>
  <c r="AK61" i="14"/>
  <c r="AK54" i="14"/>
  <c r="AK84" i="14"/>
  <c r="AK4" i="14"/>
  <c r="D7" i="13" s="1"/>
  <c r="AK8" i="14"/>
  <c r="AK19" i="14"/>
  <c r="AK30" i="14"/>
  <c r="AK32" i="14"/>
  <c r="AK69" i="14"/>
  <c r="AK77" i="14"/>
  <c r="AK86" i="14"/>
  <c r="D11" i="13" s="1"/>
  <c r="AO91" i="15"/>
  <c r="AP91" i="15"/>
  <c r="G28" i="24" s="1"/>
  <c r="AD91" i="15"/>
  <c r="AC91" i="15"/>
  <c r="R91" i="15"/>
  <c r="Q91" i="15"/>
  <c r="F28" i="24" s="1"/>
  <c r="AB91" i="15"/>
  <c r="P91" i="15"/>
  <c r="E31" i="24"/>
  <c r="AP94" i="15"/>
  <c r="G31" i="24" s="1"/>
  <c r="Q94" i="15"/>
  <c r="R94" i="15"/>
  <c r="AC94" i="15"/>
  <c r="AD94" i="15"/>
  <c r="AO94" i="15"/>
  <c r="AN94" i="15"/>
  <c r="P94" i="15"/>
  <c r="AN91" i="15"/>
  <c r="D13" i="29"/>
  <c r="D11" i="29"/>
  <c r="G47" i="28"/>
  <c r="J35" i="28"/>
  <c r="N58" i="18"/>
  <c r="N86" i="18" s="1"/>
  <c r="N52" i="18"/>
  <c r="N80" i="18" s="1"/>
  <c r="N81" i="18"/>
  <c r="AK36" i="14"/>
  <c r="AK18" i="14"/>
  <c r="AK31" i="14"/>
  <c r="AK34" i="14"/>
  <c r="AK58" i="14"/>
  <c r="AK70" i="14"/>
  <c r="AK82" i="14"/>
  <c r="G83" i="28"/>
  <c r="AK16" i="14"/>
  <c r="AK56" i="14"/>
  <c r="AK68" i="14"/>
  <c r="AK80" i="14"/>
  <c r="M58" i="18"/>
  <c r="M86" i="18" s="1"/>
  <c r="M81" i="18"/>
  <c r="M52" i="18"/>
  <c r="M80" i="18" s="1"/>
  <c r="H35" i="28"/>
  <c r="F31" i="24"/>
  <c r="AK5" i="14"/>
  <c r="AK17" i="14"/>
  <c r="AK41" i="14"/>
  <c r="AK57" i="14"/>
  <c r="AK78" i="14"/>
  <c r="AK81" i="14"/>
  <c r="O58" i="18"/>
  <c r="O86" i="18" s="1"/>
  <c r="O52" i="18"/>
  <c r="O80" i="18" s="1"/>
  <c r="O81" i="18"/>
  <c r="D100" i="15"/>
  <c r="E28" i="24"/>
  <c r="G15" i="13"/>
  <c r="F15" i="13"/>
  <c r="G9" i="13"/>
  <c r="F9" i="13"/>
  <c r="G18" i="13"/>
  <c r="F18" i="13"/>
  <c r="AK9" i="14"/>
  <c r="AK29" i="14"/>
  <c r="AK45" i="14"/>
  <c r="G17" i="13"/>
  <c r="I17" i="13" s="1"/>
  <c r="F17" i="13"/>
  <c r="H17" i="13" s="1"/>
  <c r="AK65" i="14"/>
  <c r="G11" i="13"/>
  <c r="F11" i="13"/>
  <c r="AK89" i="14"/>
  <c r="G16" i="13"/>
  <c r="I16" i="13" s="1"/>
  <c r="F16" i="13"/>
  <c r="H16" i="13" s="1"/>
  <c r="AK7" i="14"/>
  <c r="AK23" i="14"/>
  <c r="D9" i="13" s="1"/>
  <c r="AK43" i="14"/>
  <c r="AK63" i="14"/>
  <c r="AK87" i="14"/>
  <c r="G10" i="13"/>
  <c r="I10" i="13" s="1"/>
  <c r="F10" i="13"/>
  <c r="H10" i="13" s="1"/>
  <c r="G8" i="13"/>
  <c r="I8" i="13" s="1"/>
  <c r="F8" i="13"/>
  <c r="H8" i="13" s="1"/>
  <c r="AH8" i="13" s="1"/>
  <c r="AT8" i="13" s="1"/>
  <c r="AK15" i="14"/>
  <c r="AK35" i="14"/>
  <c r="AK55" i="14"/>
  <c r="AK71" i="14"/>
  <c r="D18" i="13" s="1"/>
  <c r="H18" i="13" s="1"/>
  <c r="G7" i="13"/>
  <c r="F7" i="13"/>
  <c r="H7" i="13" s="1"/>
  <c r="G14" i="13"/>
  <c r="I14" i="13" s="1"/>
  <c r="F14" i="13"/>
  <c r="H14" i="13" s="1"/>
  <c r="AK13" i="14"/>
  <c r="G13" i="13"/>
  <c r="I13" i="13" s="1"/>
  <c r="F13" i="13"/>
  <c r="H13" i="13" s="1"/>
  <c r="AK33" i="14"/>
  <c r="G12" i="13"/>
  <c r="I12" i="13" s="1"/>
  <c r="F12" i="13"/>
  <c r="H12" i="13" s="1"/>
  <c r="AK47" i="14"/>
  <c r="D15" i="13" s="1"/>
  <c r="AK67" i="14"/>
  <c r="AK91" i="14"/>
  <c r="AK93" i="14"/>
  <c r="D12" i="29" l="1"/>
  <c r="H11" i="13"/>
  <c r="AH11" i="13" s="1"/>
  <c r="AT11" i="13" s="1"/>
  <c r="I11" i="13"/>
  <c r="AK11" i="13" s="1"/>
  <c r="AW11" i="13" s="1"/>
  <c r="I7" i="13"/>
  <c r="AC93" i="15"/>
  <c r="R93" i="15"/>
  <c r="AO93" i="15"/>
  <c r="Q93" i="15"/>
  <c r="AP93" i="15"/>
  <c r="G30" i="24" s="1"/>
  <c r="AD93" i="15"/>
  <c r="P93" i="15"/>
  <c r="AN93" i="15"/>
  <c r="AB93" i="15"/>
  <c r="F30" i="24"/>
  <c r="E30" i="24"/>
  <c r="I9" i="13"/>
  <c r="AM10" i="13"/>
  <c r="AY10" i="13" s="1"/>
  <c r="AK10" i="13"/>
  <c r="AW10" i="13" s="1"/>
  <c r="AI10" i="13"/>
  <c r="AU10" i="13" s="1"/>
  <c r="AL10" i="13"/>
  <c r="AX10" i="13" s="1"/>
  <c r="AJ10" i="13"/>
  <c r="AV10" i="13" s="1"/>
  <c r="AH10" i="13"/>
  <c r="AT10" i="13" s="1"/>
  <c r="AM7" i="13"/>
  <c r="AY7" i="13" s="1"/>
  <c r="AK7" i="13"/>
  <c r="AW7" i="13" s="1"/>
  <c r="AI7" i="13"/>
  <c r="AU7" i="13" s="1"/>
  <c r="AM9" i="13"/>
  <c r="AY9" i="13" s="1"/>
  <c r="AK9" i="13"/>
  <c r="AW9" i="13" s="1"/>
  <c r="AI9" i="13"/>
  <c r="AU9" i="13" s="1"/>
  <c r="AM11" i="13"/>
  <c r="AY11" i="13" s="1"/>
  <c r="AL11" i="13"/>
  <c r="AX11" i="13" s="1"/>
  <c r="AJ11" i="13"/>
  <c r="AV11" i="13" s="1"/>
  <c r="AI16" i="13"/>
  <c r="AU16" i="13" s="1"/>
  <c r="AK16" i="13"/>
  <c r="AW16" i="13" s="1"/>
  <c r="AM16" i="13"/>
  <c r="AY16" i="13" s="1"/>
  <c r="AL18" i="13"/>
  <c r="AX18" i="13" s="1"/>
  <c r="AJ18" i="13"/>
  <c r="AV18" i="13" s="1"/>
  <c r="AH18" i="13"/>
  <c r="AT18" i="13" s="1"/>
  <c r="AK13" i="13"/>
  <c r="AW13" i="13" s="1"/>
  <c r="AM13" i="13"/>
  <c r="AY13" i="13" s="1"/>
  <c r="AI13" i="13"/>
  <c r="AU13" i="13" s="1"/>
  <c r="AH7" i="13"/>
  <c r="AT7" i="13" s="1"/>
  <c r="AL7" i="13"/>
  <c r="AX7" i="13" s="1"/>
  <c r="AJ7" i="13"/>
  <c r="AV7" i="13" s="1"/>
  <c r="AL14" i="13"/>
  <c r="AX14" i="13" s="1"/>
  <c r="AJ14" i="13"/>
  <c r="AV14" i="13" s="1"/>
  <c r="AH14" i="13"/>
  <c r="AT14" i="13" s="1"/>
  <c r="AL17" i="13"/>
  <c r="AX17" i="13" s="1"/>
  <c r="AJ17" i="13"/>
  <c r="AV17" i="13" s="1"/>
  <c r="AH17" i="13"/>
  <c r="AT17" i="13" s="1"/>
  <c r="AL13" i="13"/>
  <c r="AX13" i="13" s="1"/>
  <c r="AJ13" i="13"/>
  <c r="AV13" i="13" s="1"/>
  <c r="AH13" i="13"/>
  <c r="AT13" i="13" s="1"/>
  <c r="AJ8" i="13"/>
  <c r="AV8" i="13" s="1"/>
  <c r="AL8" i="13"/>
  <c r="AX8" i="13" s="1"/>
  <c r="AK17" i="13"/>
  <c r="AW17" i="13" s="1"/>
  <c r="AI17" i="13"/>
  <c r="AU17" i="13" s="1"/>
  <c r="AM17" i="13"/>
  <c r="AY17" i="13" s="1"/>
  <c r="AJ12" i="13"/>
  <c r="AV12" i="13" s="1"/>
  <c r="AH12" i="13"/>
  <c r="AT12" i="13" s="1"/>
  <c r="AL12" i="13"/>
  <c r="AX12" i="13" s="1"/>
  <c r="AI12" i="13"/>
  <c r="AU12" i="13" s="1"/>
  <c r="AM12" i="13"/>
  <c r="AY12" i="13" s="1"/>
  <c r="AK12" i="13"/>
  <c r="AW12" i="13" s="1"/>
  <c r="AM14" i="13"/>
  <c r="AY14" i="13" s="1"/>
  <c r="AK14" i="13"/>
  <c r="AW14" i="13" s="1"/>
  <c r="AI14" i="13"/>
  <c r="AU14" i="13" s="1"/>
  <c r="AK8" i="13"/>
  <c r="AW8" i="13" s="1"/>
  <c r="AI8" i="13"/>
  <c r="AU8" i="13" s="1"/>
  <c r="AM8" i="13"/>
  <c r="AY8" i="13" s="1"/>
  <c r="AJ16" i="13"/>
  <c r="AV16" i="13" s="1"/>
  <c r="AH16" i="13"/>
  <c r="AT16" i="13" s="1"/>
  <c r="AL16" i="13"/>
  <c r="AX16" i="13" s="1"/>
  <c r="H15" i="13"/>
  <c r="N15" i="13" s="1"/>
  <c r="Z15" i="13" s="1"/>
  <c r="H9" i="13"/>
  <c r="K7" i="13"/>
  <c r="W7" i="13" s="1"/>
  <c r="I18" i="13"/>
  <c r="O18" i="13" s="1"/>
  <c r="AA18" i="13" s="1"/>
  <c r="N11" i="13"/>
  <c r="Z11" i="13" s="1"/>
  <c r="J11" i="13"/>
  <c r="V11" i="13" s="1"/>
  <c r="L11" i="13"/>
  <c r="X11" i="13" s="1"/>
  <c r="N13" i="13"/>
  <c r="Z13" i="13" s="1"/>
  <c r="J13" i="13"/>
  <c r="V13" i="13" s="1"/>
  <c r="L13" i="13"/>
  <c r="X13" i="13" s="1"/>
  <c r="N12" i="13"/>
  <c r="Z12" i="13" s="1"/>
  <c r="J12" i="13"/>
  <c r="V12" i="13" s="1"/>
  <c r="L12" i="13"/>
  <c r="X12" i="13" s="1"/>
  <c r="O17" i="13"/>
  <c r="AA17" i="13" s="1"/>
  <c r="K17" i="13"/>
  <c r="W17" i="13" s="1"/>
  <c r="M17" i="13"/>
  <c r="Y17" i="13" s="1"/>
  <c r="O10" i="13"/>
  <c r="AA10" i="13" s="1"/>
  <c r="K10" i="13"/>
  <c r="W10" i="13" s="1"/>
  <c r="M10" i="13"/>
  <c r="Y10" i="13" s="1"/>
  <c r="O16" i="13"/>
  <c r="AA16" i="13" s="1"/>
  <c r="K16" i="13"/>
  <c r="W16" i="13" s="1"/>
  <c r="M16" i="13"/>
  <c r="Y16" i="13" s="1"/>
  <c r="N17" i="13"/>
  <c r="Z17" i="13" s="1"/>
  <c r="J17" i="13"/>
  <c r="V17" i="13" s="1"/>
  <c r="L17" i="13"/>
  <c r="X17" i="13" s="1"/>
  <c r="O7" i="13"/>
  <c r="AA7" i="13" s="1"/>
  <c r="M7" i="13"/>
  <c r="Y7" i="13" s="1"/>
  <c r="O9" i="13"/>
  <c r="AA9" i="13" s="1"/>
  <c r="K9" i="13"/>
  <c r="W9" i="13" s="1"/>
  <c r="M9" i="13"/>
  <c r="Y9" i="13" s="1"/>
  <c r="N8" i="13"/>
  <c r="Z8" i="13" s="1"/>
  <c r="J8" i="13"/>
  <c r="V8" i="13" s="1"/>
  <c r="L8" i="13"/>
  <c r="X8" i="13" s="1"/>
  <c r="N7" i="13"/>
  <c r="Z7" i="13" s="1"/>
  <c r="J7" i="13"/>
  <c r="V7" i="13" s="1"/>
  <c r="L7" i="13"/>
  <c r="X7" i="13" s="1"/>
  <c r="N14" i="13"/>
  <c r="Z14" i="13" s="1"/>
  <c r="J14" i="13"/>
  <c r="V14" i="13" s="1"/>
  <c r="L14" i="13"/>
  <c r="X14" i="13" s="1"/>
  <c r="O13" i="13"/>
  <c r="AA13" i="13" s="1"/>
  <c r="K13" i="13"/>
  <c r="W13" i="13" s="1"/>
  <c r="M13" i="13"/>
  <c r="Y13" i="13" s="1"/>
  <c r="N10" i="13"/>
  <c r="Z10" i="13" s="1"/>
  <c r="J10" i="13"/>
  <c r="V10" i="13" s="1"/>
  <c r="L10" i="13"/>
  <c r="X10" i="13" s="1"/>
  <c r="O12" i="13"/>
  <c r="AA12" i="13" s="1"/>
  <c r="K12" i="13"/>
  <c r="W12" i="13" s="1"/>
  <c r="M12" i="13"/>
  <c r="Y12" i="13" s="1"/>
  <c r="K11" i="13"/>
  <c r="W11" i="13" s="1"/>
  <c r="N18" i="13"/>
  <c r="Z18" i="13" s="1"/>
  <c r="J18" i="13"/>
  <c r="V18" i="13" s="1"/>
  <c r="L18" i="13"/>
  <c r="X18" i="13" s="1"/>
  <c r="O14" i="13"/>
  <c r="AA14" i="13" s="1"/>
  <c r="K14" i="13"/>
  <c r="W14" i="13" s="1"/>
  <c r="M14" i="13"/>
  <c r="Y14" i="13" s="1"/>
  <c r="O8" i="13"/>
  <c r="AA8" i="13" s="1"/>
  <c r="K8" i="13"/>
  <c r="W8" i="13" s="1"/>
  <c r="M8" i="13"/>
  <c r="Y8" i="13" s="1"/>
  <c r="N16" i="13"/>
  <c r="Z16" i="13" s="1"/>
  <c r="J16" i="13"/>
  <c r="V16" i="13" s="1"/>
  <c r="L16" i="13"/>
  <c r="X16" i="13" s="1"/>
  <c r="I15" i="13"/>
  <c r="C23" i="12"/>
  <c r="L29" i="12"/>
  <c r="K29" i="12"/>
  <c r="J29" i="12"/>
  <c r="E29" i="12"/>
  <c r="D29" i="12"/>
  <c r="C29" i="12"/>
  <c r="L27" i="12"/>
  <c r="K27" i="12"/>
  <c r="J27" i="12"/>
  <c r="E27" i="12"/>
  <c r="D27" i="12"/>
  <c r="C27" i="12"/>
  <c r="O11" i="13" l="1"/>
  <c r="AA11" i="13" s="1"/>
  <c r="AI11" i="13"/>
  <c r="AU11" i="13" s="1"/>
  <c r="M11" i="13"/>
  <c r="Y11" i="13" s="1"/>
  <c r="D34" i="29"/>
  <c r="D35" i="29"/>
  <c r="D33" i="29"/>
  <c r="N9" i="13"/>
  <c r="Z9" i="13" s="1"/>
  <c r="AL9" i="13"/>
  <c r="AX9" i="13" s="1"/>
  <c r="AJ9" i="13"/>
  <c r="AV9" i="13" s="1"/>
  <c r="AH9" i="13"/>
  <c r="AT9" i="13" s="1"/>
  <c r="AI15" i="13"/>
  <c r="AU15" i="13" s="1"/>
  <c r="AM15" i="13"/>
  <c r="AY15" i="13" s="1"/>
  <c r="AK15" i="13"/>
  <c r="AW15" i="13" s="1"/>
  <c r="AH15" i="13"/>
  <c r="AT15" i="13" s="1"/>
  <c r="AL15" i="13"/>
  <c r="AX15" i="13" s="1"/>
  <c r="AJ15" i="13"/>
  <c r="AV15" i="13" s="1"/>
  <c r="M18" i="13"/>
  <c r="Y18" i="13" s="1"/>
  <c r="AM18" i="13"/>
  <c r="AY18" i="13" s="1"/>
  <c r="AK18" i="13"/>
  <c r="AW18" i="13" s="1"/>
  <c r="AI18" i="13"/>
  <c r="AU18" i="13" s="1"/>
  <c r="L9" i="13"/>
  <c r="X9" i="13" s="1"/>
  <c r="J9" i="13"/>
  <c r="V9" i="13" s="1"/>
  <c r="L15" i="13"/>
  <c r="X15" i="13" s="1"/>
  <c r="J15" i="13"/>
  <c r="V15" i="13" s="1"/>
  <c r="AN16" i="13"/>
  <c r="AZ16" i="13" s="1"/>
  <c r="AP17" i="13"/>
  <c r="BB17" i="13" s="1"/>
  <c r="AP8" i="13"/>
  <c r="BB8" i="13" s="1"/>
  <c r="AQ7" i="13"/>
  <c r="BC7" i="13" s="1"/>
  <c r="AQ11" i="13"/>
  <c r="BC11" i="13" s="1"/>
  <c r="AP11" i="13"/>
  <c r="BB11" i="13" s="1"/>
  <c r="AP12" i="13"/>
  <c r="BB12" i="13" s="1"/>
  <c r="AQ8" i="13"/>
  <c r="BC8" i="13" s="1"/>
  <c r="AR8" i="13"/>
  <c r="BD8" i="13" s="1"/>
  <c r="AS8" i="13"/>
  <c r="BE8" i="13" s="1"/>
  <c r="AS17" i="13"/>
  <c r="BE17" i="13" s="1"/>
  <c r="AN14" i="13"/>
  <c r="AZ14" i="13" s="1"/>
  <c r="AS7" i="13"/>
  <c r="BE7" i="13" s="1"/>
  <c r="AS10" i="13"/>
  <c r="BE10" i="13" s="1"/>
  <c r="AS12" i="13"/>
  <c r="BE12" i="13" s="1"/>
  <c r="AO10" i="13"/>
  <c r="AO8" i="13"/>
  <c r="BA8" i="13" s="1"/>
  <c r="AO9" i="13"/>
  <c r="BA9" i="13" s="1"/>
  <c r="AO17" i="13"/>
  <c r="BA17" i="13" s="1"/>
  <c r="AP14" i="13"/>
  <c r="BB14" i="13" s="1"/>
  <c r="AS13" i="13"/>
  <c r="BE13" i="13" s="1"/>
  <c r="AQ10" i="13"/>
  <c r="BC10" i="13" s="1"/>
  <c r="AQ12" i="13"/>
  <c r="BC12" i="13" s="1"/>
  <c r="AQ17" i="13"/>
  <c r="AS14" i="13"/>
  <c r="BE14" i="13" s="1"/>
  <c r="AS9" i="13"/>
  <c r="BE9" i="13" s="1"/>
  <c r="AP10" i="13"/>
  <c r="BB10" i="13" s="1"/>
  <c r="AR14" i="13"/>
  <c r="BD14" i="13" s="1"/>
  <c r="AN7" i="13"/>
  <c r="AZ7" i="13" s="1"/>
  <c r="AQ13" i="13"/>
  <c r="BC13" i="13" s="1"/>
  <c r="AS16" i="13"/>
  <c r="BE16" i="13" s="1"/>
  <c r="AO12" i="13"/>
  <c r="BA12" i="13" s="1"/>
  <c r="AR12" i="13"/>
  <c r="BD12" i="13" s="1"/>
  <c r="AQ14" i="13"/>
  <c r="BC14" i="13" s="1"/>
  <c r="AQ9" i="13"/>
  <c r="BC9" i="13" s="1"/>
  <c r="AR10" i="13"/>
  <c r="BD10" i="13" s="1"/>
  <c r="AP13" i="13"/>
  <c r="BB13" i="13" s="1"/>
  <c r="AR7" i="13"/>
  <c r="BD7" i="13" s="1"/>
  <c r="AO13" i="13"/>
  <c r="BA13" i="13" s="1"/>
  <c r="AQ16" i="13"/>
  <c r="BC16" i="13" s="1"/>
  <c r="AP18" i="13"/>
  <c r="BB18" i="13" s="1"/>
  <c r="AO11" i="13"/>
  <c r="BA11" i="13" s="1"/>
  <c r="AP16" i="13"/>
  <c r="BB16" i="13" s="1"/>
  <c r="AO14" i="13"/>
  <c r="BA14" i="13" s="1"/>
  <c r="AR17" i="13"/>
  <c r="BD17" i="13" s="1"/>
  <c r="AN10" i="13"/>
  <c r="AZ10" i="13" s="1"/>
  <c r="AN13" i="13"/>
  <c r="AZ13" i="13" s="1"/>
  <c r="AP7" i="13"/>
  <c r="BB7" i="13" s="1"/>
  <c r="AR11" i="13"/>
  <c r="BD11" i="13" s="1"/>
  <c r="AO16" i="13"/>
  <c r="BA16" i="13" s="1"/>
  <c r="AR18" i="13"/>
  <c r="BD18" i="13" s="1"/>
  <c r="AO7" i="13"/>
  <c r="BA7" i="13" s="1"/>
  <c r="K18" i="13"/>
  <c r="W18" i="13" s="1"/>
  <c r="AR16" i="13"/>
  <c r="BD16" i="13" s="1"/>
  <c r="AN17" i="13"/>
  <c r="AZ17" i="13" s="1"/>
  <c r="AN8" i="13"/>
  <c r="AZ8" i="13" s="1"/>
  <c r="AR13" i="13"/>
  <c r="BD13" i="13" s="1"/>
  <c r="AS11" i="13"/>
  <c r="BE11" i="13" s="1"/>
  <c r="AN11" i="13"/>
  <c r="AZ11" i="13" s="1"/>
  <c r="AN12" i="13"/>
  <c r="AZ12" i="13" s="1"/>
  <c r="AN18" i="13"/>
  <c r="AZ18" i="13" s="1"/>
  <c r="O15" i="13"/>
  <c r="AA15" i="13" s="1"/>
  <c r="K15" i="13"/>
  <c r="W15" i="13" s="1"/>
  <c r="M15" i="13"/>
  <c r="Y15" i="13" s="1"/>
  <c r="U9" i="13"/>
  <c r="AG9" i="13" s="1"/>
  <c r="S12" i="13"/>
  <c r="AE12" i="13" s="1"/>
  <c r="S17" i="13"/>
  <c r="AE17" i="13" s="1"/>
  <c r="S13" i="13"/>
  <c r="AE13" i="13" s="1"/>
  <c r="U10" i="13"/>
  <c r="AG10" i="13" s="1"/>
  <c r="Q10" i="13"/>
  <c r="AC10" i="13" s="1"/>
  <c r="S9" i="13"/>
  <c r="AE9" i="13" s="1"/>
  <c r="P18" i="13"/>
  <c r="AB18" i="13" s="1"/>
  <c r="P14" i="13"/>
  <c r="AB14" i="13" s="1"/>
  <c r="R18" i="13"/>
  <c r="AD18" i="13" s="1"/>
  <c r="T11" i="13"/>
  <c r="AF11" i="13" s="1"/>
  <c r="U11" i="13"/>
  <c r="AG11" i="13" s="1"/>
  <c r="R12" i="13"/>
  <c r="AD12" i="13" s="1"/>
  <c r="T7" i="13"/>
  <c r="AF7" i="13" s="1"/>
  <c r="Q7" i="13"/>
  <c r="AC7" i="13" s="1"/>
  <c r="Q13" i="13"/>
  <c r="AC13" i="13" s="1"/>
  <c r="R8" i="13"/>
  <c r="AD8" i="13" s="1"/>
  <c r="P16" i="13"/>
  <c r="AB16" i="13" s="1"/>
  <c r="P12" i="13"/>
  <c r="AB12" i="13" s="1"/>
  <c r="U7" i="13"/>
  <c r="AG7" i="13" s="1"/>
  <c r="T15" i="13"/>
  <c r="AF15" i="13" s="1"/>
  <c r="E31" i="11"/>
  <c r="T13" i="13"/>
  <c r="AF13" i="13" s="1"/>
  <c r="P17" i="13"/>
  <c r="AB17" i="13" s="1"/>
  <c r="P10" i="13"/>
  <c r="AB10" i="13" s="1"/>
  <c r="R17" i="13"/>
  <c r="AD17" i="13" s="1"/>
  <c r="U12" i="13"/>
  <c r="AG12" i="13" s="1"/>
  <c r="Q9" i="13"/>
  <c r="AC9" i="13" s="1"/>
  <c r="Q17" i="13"/>
  <c r="AC17" i="13" s="1"/>
  <c r="P7" i="13"/>
  <c r="AB7" i="13" s="1"/>
  <c r="U13" i="13"/>
  <c r="AG13" i="13" s="1"/>
  <c r="Q8" i="13"/>
  <c r="AC8" i="13" s="1"/>
  <c r="Q11" i="13"/>
  <c r="AC11" i="13" s="1"/>
  <c r="S7" i="13"/>
  <c r="AE7" i="13" s="1"/>
  <c r="S8" i="13"/>
  <c r="AE8" i="13" s="1"/>
  <c r="S16" i="13"/>
  <c r="AE16" i="13" s="1"/>
  <c r="T8" i="13"/>
  <c r="AF8" i="13" s="1"/>
  <c r="U8" i="13"/>
  <c r="AG8" i="13" s="1"/>
  <c r="Q14" i="13"/>
  <c r="AC14" i="13" s="1"/>
  <c r="T16" i="13"/>
  <c r="AF16" i="13" s="1"/>
  <c r="U16" i="13"/>
  <c r="AG16" i="13" s="1"/>
  <c r="T10" i="13"/>
  <c r="AF10" i="13" s="1"/>
  <c r="R13" i="13"/>
  <c r="AD13" i="13" s="1"/>
  <c r="U17" i="13"/>
  <c r="AG17" i="13" s="1"/>
  <c r="T14" i="13"/>
  <c r="AF14" i="13" s="1"/>
  <c r="T18" i="13"/>
  <c r="AF18" i="13" s="1"/>
  <c r="R14" i="13"/>
  <c r="AD14" i="13" s="1"/>
  <c r="P11" i="13"/>
  <c r="AB11" i="13" s="1"/>
  <c r="T12" i="13"/>
  <c r="AF12" i="13" s="1"/>
  <c r="R11" i="13"/>
  <c r="AD11" i="13" s="1"/>
  <c r="Q16" i="13"/>
  <c r="AC16" i="13" s="1"/>
  <c r="R7" i="13"/>
  <c r="AD7" i="13" s="1"/>
  <c r="U18" i="13"/>
  <c r="AG18" i="13" s="1"/>
  <c r="S14" i="13"/>
  <c r="AE14" i="13" s="1"/>
  <c r="P8" i="13"/>
  <c r="AB8" i="13" s="1"/>
  <c r="T17" i="13"/>
  <c r="AF17" i="13" s="1"/>
  <c r="U14" i="13"/>
  <c r="AG14" i="13" s="1"/>
  <c r="R16" i="13"/>
  <c r="AD16" i="13" s="1"/>
  <c r="Q12" i="13"/>
  <c r="AC12" i="13" s="1"/>
  <c r="R10" i="13"/>
  <c r="AD10" i="13" s="1"/>
  <c r="S10" i="13"/>
  <c r="AE10" i="13" s="1"/>
  <c r="P13" i="13"/>
  <c r="AB13" i="13" s="1"/>
  <c r="F44" i="28"/>
  <c r="E44" i="28"/>
  <c r="E42" i="28"/>
  <c r="E41" i="28"/>
  <c r="E40" i="28"/>
  <c r="E43" i="28"/>
  <c r="E39" i="28"/>
  <c r="E38" i="28"/>
  <c r="F32" i="28"/>
  <c r="F31" i="28"/>
  <c r="F29" i="28"/>
  <c r="F30" i="28"/>
  <c r="AL42" i="9"/>
  <c r="AK42" i="9"/>
  <c r="AJ42" i="9"/>
  <c r="AI42" i="9"/>
  <c r="AH42" i="9"/>
  <c r="AG42" i="9"/>
  <c r="AF42" i="9"/>
  <c r="AC42" i="9"/>
  <c r="U42" i="9"/>
  <c r="AL41" i="9"/>
  <c r="AK41" i="9"/>
  <c r="AJ41" i="9"/>
  <c r="AI41" i="9"/>
  <c r="AH41" i="9"/>
  <c r="AG41" i="9"/>
  <c r="AF41" i="9"/>
  <c r="AC41" i="9"/>
  <c r="AA41" i="9"/>
  <c r="U41" i="9"/>
  <c r="AL40" i="9"/>
  <c r="AK40" i="9"/>
  <c r="AJ40" i="9"/>
  <c r="AI40" i="9"/>
  <c r="AH40" i="9"/>
  <c r="AG40" i="9"/>
  <c r="AF40" i="9"/>
  <c r="AC40" i="9"/>
  <c r="AA40" i="9"/>
  <c r="U40" i="9"/>
  <c r="AL39" i="9"/>
  <c r="AK39" i="9"/>
  <c r="AJ39" i="9"/>
  <c r="AI39" i="9"/>
  <c r="AH39" i="9"/>
  <c r="AG39" i="9"/>
  <c r="AF39" i="9"/>
  <c r="AC39" i="9"/>
  <c r="AA39" i="9"/>
  <c r="U39" i="9"/>
  <c r="AL38" i="9"/>
  <c r="AK38" i="9"/>
  <c r="AJ38" i="9"/>
  <c r="AI38" i="9"/>
  <c r="AH38" i="9"/>
  <c r="AG38" i="9"/>
  <c r="AF38" i="9"/>
  <c r="AC38" i="9"/>
  <c r="AA38" i="9"/>
  <c r="U38" i="9"/>
  <c r="AM36" i="9"/>
  <c r="AD36" i="9"/>
  <c r="AB36" i="9"/>
  <c r="Z36" i="9"/>
  <c r="Y36" i="9"/>
  <c r="X36" i="9"/>
  <c r="AM35" i="9"/>
  <c r="AE35" i="9"/>
  <c r="V35" i="9"/>
  <c r="T35" i="9"/>
  <c r="AM34" i="9"/>
  <c r="AE34" i="9"/>
  <c r="V34" i="9"/>
  <c r="T34" i="9"/>
  <c r="AM33" i="9"/>
  <c r="AD33" i="9"/>
  <c r="AB33" i="9"/>
  <c r="Y33" i="9"/>
  <c r="X33" i="9"/>
  <c r="AM32" i="9"/>
  <c r="AD32" i="9"/>
  <c r="AB32" i="9"/>
  <c r="Y32" i="9"/>
  <c r="X32" i="9"/>
  <c r="AM31" i="9"/>
  <c r="AB31" i="9"/>
  <c r="Y31" i="9"/>
  <c r="X31" i="9"/>
  <c r="AM30" i="9"/>
  <c r="AB30" i="9"/>
  <c r="Y30" i="9"/>
  <c r="X30" i="9"/>
  <c r="AM29" i="9"/>
  <c r="AE29" i="9"/>
  <c r="AM28" i="9"/>
  <c r="AE28" i="9"/>
  <c r="AM27" i="9"/>
  <c r="AE27" i="9"/>
  <c r="AM26" i="9"/>
  <c r="AE26" i="9"/>
  <c r="AM25" i="9"/>
  <c r="AD25" i="9"/>
  <c r="AB25" i="9"/>
  <c r="Z25" i="9"/>
  <c r="Y25" i="9"/>
  <c r="X25" i="9"/>
  <c r="AM24" i="9"/>
  <c r="AD24" i="9"/>
  <c r="AB24" i="9"/>
  <c r="Z24" i="9"/>
  <c r="Y24" i="9"/>
  <c r="X24" i="9"/>
  <c r="AM23" i="9"/>
  <c r="AB23" i="9"/>
  <c r="Z23" i="9"/>
  <c r="Y23" i="9"/>
  <c r="X23" i="9"/>
  <c r="AM22" i="9"/>
  <c r="AB22" i="9"/>
  <c r="Z22" i="9"/>
  <c r="Y22" i="9"/>
  <c r="X22" i="9"/>
  <c r="AM21" i="9"/>
  <c r="AD21" i="9"/>
  <c r="AB21" i="9"/>
  <c r="Z21" i="9"/>
  <c r="Y21" i="9"/>
  <c r="X21" i="9"/>
  <c r="AM20" i="9"/>
  <c r="AD20" i="9"/>
  <c r="AB20" i="9"/>
  <c r="Z20" i="9"/>
  <c r="Y20" i="9"/>
  <c r="X20" i="9"/>
  <c r="AM19" i="9"/>
  <c r="AD19" i="9"/>
  <c r="AB19" i="9"/>
  <c r="Z19" i="9"/>
  <c r="Y19" i="9"/>
  <c r="X19" i="9"/>
  <c r="AM18" i="9"/>
  <c r="AD18" i="9"/>
  <c r="AB18" i="9"/>
  <c r="Z18" i="9"/>
  <c r="Y18" i="9"/>
  <c r="X18" i="9"/>
  <c r="AM17" i="9"/>
  <c r="AB17" i="9"/>
  <c r="Z17" i="9"/>
  <c r="Y17" i="9"/>
  <c r="X17" i="9"/>
  <c r="AM16" i="9"/>
  <c r="AD16" i="9"/>
  <c r="AB16" i="9"/>
  <c r="Z16" i="9"/>
  <c r="Y16" i="9"/>
  <c r="X16" i="9"/>
  <c r="AM15" i="9"/>
  <c r="AD15" i="9"/>
  <c r="AB15" i="9"/>
  <c r="Z15" i="9"/>
  <c r="Y15" i="9"/>
  <c r="X15" i="9"/>
  <c r="AM14" i="9"/>
  <c r="AD14" i="9"/>
  <c r="AB14" i="9"/>
  <c r="Z14" i="9"/>
  <c r="Y14" i="9"/>
  <c r="X14" i="9"/>
  <c r="AM13" i="9"/>
  <c r="AD13" i="9"/>
  <c r="AB13" i="9"/>
  <c r="Z13" i="9"/>
  <c r="Y13" i="9"/>
  <c r="X13" i="9"/>
  <c r="AM12" i="9"/>
  <c r="AD12" i="9"/>
  <c r="AB12" i="9"/>
  <c r="Z12" i="9"/>
  <c r="Y12" i="9"/>
  <c r="X12" i="9"/>
  <c r="AM11" i="9"/>
  <c r="AM10" i="9"/>
  <c r="AM9" i="9"/>
  <c r="AM8" i="9"/>
  <c r="AM7" i="9"/>
  <c r="AM6" i="9"/>
  <c r="AM5" i="9"/>
  <c r="AM4" i="9"/>
  <c r="AE4" i="9"/>
  <c r="AM3" i="9"/>
  <c r="AE3" i="9"/>
  <c r="AM2" i="9"/>
  <c r="AE2" i="9"/>
  <c r="H97" i="28"/>
  <c r="H98" i="28"/>
  <c r="H96" i="28"/>
  <c r="H92" i="28"/>
  <c r="H93" i="28"/>
  <c r="H94" i="28"/>
  <c r="H88" i="28"/>
  <c r="F88" i="28"/>
  <c r="H91" i="28"/>
  <c r="H87" i="28"/>
  <c r="F87" i="28"/>
  <c r="H89" i="28"/>
  <c r="F89" i="28"/>
  <c r="H90" i="28"/>
  <c r="F90" i="28"/>
  <c r="H95" i="28"/>
  <c r="F80" i="28"/>
  <c r="F76" i="28"/>
  <c r="F75" i="28"/>
  <c r="F78" i="28"/>
  <c r="F73" i="28"/>
  <c r="F71" i="28"/>
  <c r="F74" i="28"/>
  <c r="F77" i="28"/>
  <c r="F70" i="28"/>
  <c r="F72" i="28"/>
  <c r="F69" i="28"/>
  <c r="E69" i="28"/>
  <c r="F68" i="28"/>
  <c r="E68" i="28"/>
  <c r="F67" i="28"/>
  <c r="E67" i="28"/>
  <c r="AH73" i="6"/>
  <c r="AG73" i="6"/>
  <c r="AF73" i="6"/>
  <c r="AE73" i="6"/>
  <c r="AD73" i="6"/>
  <c r="AC73" i="6"/>
  <c r="AB73" i="6"/>
  <c r="AA73" i="6"/>
  <c r="G31" i="25" s="1"/>
  <c r="Z73" i="6"/>
  <c r="F31" i="25" s="1"/>
  <c r="Y73" i="6"/>
  <c r="U73" i="6"/>
  <c r="T73" i="6"/>
  <c r="S73" i="6"/>
  <c r="AH72" i="6"/>
  <c r="AG72" i="6"/>
  <c r="AF72" i="6"/>
  <c r="AE72" i="6"/>
  <c r="AD72" i="6"/>
  <c r="AC72" i="6"/>
  <c r="AB72" i="6"/>
  <c r="AA72" i="6"/>
  <c r="Z72" i="6"/>
  <c r="Y72" i="6"/>
  <c r="U72" i="6"/>
  <c r="T72" i="6"/>
  <c r="S72" i="6"/>
  <c r="AH71" i="6"/>
  <c r="AG71" i="6"/>
  <c r="M33" i="25" s="1"/>
  <c r="AF71" i="6"/>
  <c r="L33" i="25" s="1"/>
  <c r="AE71" i="6"/>
  <c r="K33" i="25" s="1"/>
  <c r="K32" i="25" s="1"/>
  <c r="AD71" i="6"/>
  <c r="J33" i="25" s="1"/>
  <c r="AC71" i="6"/>
  <c r="I33" i="25" s="1"/>
  <c r="AB71" i="6"/>
  <c r="H33" i="25" s="1"/>
  <c r="AA71" i="6"/>
  <c r="G33" i="25" s="1"/>
  <c r="Z71" i="6"/>
  <c r="F33" i="25" s="1"/>
  <c r="Y71" i="6"/>
  <c r="U71" i="6"/>
  <c r="T71" i="6"/>
  <c r="S71" i="6"/>
  <c r="AH70" i="6"/>
  <c r="AG70" i="6"/>
  <c r="AF70" i="6"/>
  <c r="AE70" i="6"/>
  <c r="AD70" i="6"/>
  <c r="AC70" i="6"/>
  <c r="AB70" i="6"/>
  <c r="AA70" i="6"/>
  <c r="Z70" i="6"/>
  <c r="Y70" i="6"/>
  <c r="U70" i="6"/>
  <c r="T70" i="6"/>
  <c r="S70" i="6"/>
  <c r="AH69" i="6"/>
  <c r="AG69" i="6"/>
  <c r="AF69" i="6"/>
  <c r="AE69" i="6"/>
  <c r="AD69" i="6"/>
  <c r="AC69" i="6"/>
  <c r="AB69" i="6"/>
  <c r="AA69" i="6"/>
  <c r="Z69" i="6"/>
  <c r="Y69" i="6"/>
  <c r="U69" i="6"/>
  <c r="T69" i="6"/>
  <c r="S69" i="6"/>
  <c r="I32" i="25" l="1"/>
  <c r="J32" i="25"/>
  <c r="T41" i="9"/>
  <c r="L32" i="25"/>
  <c r="M32" i="25"/>
  <c r="N33" i="25"/>
  <c r="P33" i="25" s="1"/>
  <c r="F32" i="25"/>
  <c r="B33" i="25"/>
  <c r="G32" i="25"/>
  <c r="H32" i="25"/>
  <c r="H31" i="25"/>
  <c r="P31" i="25" s="1"/>
  <c r="S11" i="13"/>
  <c r="AE11" i="13" s="1"/>
  <c r="Y40" i="9"/>
  <c r="AB40" i="9"/>
  <c r="R9" i="13"/>
  <c r="AD9" i="13" s="1"/>
  <c r="S18" i="13"/>
  <c r="AE18" i="13" s="1"/>
  <c r="S15" i="13"/>
  <c r="AE15" i="13" s="1"/>
  <c r="BC17" i="13"/>
  <c r="G31" i="11" s="1"/>
  <c r="G32" i="11" s="1"/>
  <c r="BA10" i="13"/>
  <c r="F31" i="11" s="1"/>
  <c r="P15" i="13"/>
  <c r="AB15" i="13" s="1"/>
  <c r="R15" i="13"/>
  <c r="AD15" i="13" s="1"/>
  <c r="AR15" i="13"/>
  <c r="BD15" i="13" s="1"/>
  <c r="H31" i="11"/>
  <c r="H33" i="11" s="1"/>
  <c r="T9" i="13"/>
  <c r="AF9" i="13" s="1"/>
  <c r="E32" i="11"/>
  <c r="E33" i="11"/>
  <c r="I39" i="7"/>
  <c r="I90" i="28" s="1"/>
  <c r="I37" i="7"/>
  <c r="I88" i="28" s="1"/>
  <c r="I43" i="7"/>
  <c r="I94" i="28" s="1"/>
  <c r="I42" i="7"/>
  <c r="I93" i="28" s="1"/>
  <c r="I38" i="7"/>
  <c r="I89" i="28" s="1"/>
  <c r="I41" i="7"/>
  <c r="I92" i="28" s="1"/>
  <c r="I45" i="7"/>
  <c r="I96" i="28" s="1"/>
  <c r="I36" i="7"/>
  <c r="I47" i="7"/>
  <c r="I98" i="28" s="1"/>
  <c r="I44" i="7"/>
  <c r="I95" i="28" s="1"/>
  <c r="I40" i="7"/>
  <c r="I91" i="28" s="1"/>
  <c r="I46" i="7"/>
  <c r="I97" i="28" s="1"/>
  <c r="H50" i="7"/>
  <c r="H49" i="7"/>
  <c r="H48" i="7"/>
  <c r="F28" i="7"/>
  <c r="E18" i="7"/>
  <c r="F30" i="7"/>
  <c r="F29" i="7"/>
  <c r="F29" i="10"/>
  <c r="F28" i="10"/>
  <c r="F30" i="10"/>
  <c r="F31" i="10"/>
  <c r="F33" i="10"/>
  <c r="F32" i="10"/>
  <c r="E37" i="10"/>
  <c r="E36" i="10"/>
  <c r="AP15" i="13"/>
  <c r="BB15" i="13" s="1"/>
  <c r="P9" i="13"/>
  <c r="AB9" i="13" s="1"/>
  <c r="AN15" i="13"/>
  <c r="AZ15" i="13" s="1"/>
  <c r="F40" i="7"/>
  <c r="G18" i="10"/>
  <c r="G30" i="28" s="1"/>
  <c r="G19" i="10"/>
  <c r="G31" i="28" s="1"/>
  <c r="G17" i="10"/>
  <c r="G29" i="28" s="1"/>
  <c r="F21" i="10"/>
  <c r="G15" i="10"/>
  <c r="G16" i="10"/>
  <c r="G28" i="28" s="1"/>
  <c r="G20" i="10"/>
  <c r="G32" i="28" s="1"/>
  <c r="AN9" i="13"/>
  <c r="AZ9" i="13" s="1"/>
  <c r="AO18" i="13"/>
  <c r="BA18" i="13" s="1"/>
  <c r="AQ18" i="13"/>
  <c r="BC18" i="13" s="1"/>
  <c r="AS15" i="13"/>
  <c r="BE15" i="13" s="1"/>
  <c r="AO15" i="13"/>
  <c r="BA15" i="13" s="1"/>
  <c r="Q18" i="13"/>
  <c r="AC18" i="13" s="1"/>
  <c r="AQ15" i="13"/>
  <c r="BC15" i="13" s="1"/>
  <c r="AP9" i="13"/>
  <c r="BB9" i="13" s="1"/>
  <c r="AR9" i="13"/>
  <c r="BD9" i="13" s="1"/>
  <c r="AS18" i="13"/>
  <c r="BE18" i="13" s="1"/>
  <c r="Q15" i="13"/>
  <c r="AC15" i="13" s="1"/>
  <c r="U15" i="13"/>
  <c r="AG15" i="13" s="1"/>
  <c r="D31" i="11"/>
  <c r="C31" i="11"/>
  <c r="AE20" i="9"/>
  <c r="AD39" i="9"/>
  <c r="AE16" i="9"/>
  <c r="AE23" i="9"/>
  <c r="X39" i="9"/>
  <c r="T42" i="9"/>
  <c r="V40" i="9"/>
  <c r="AE31" i="9"/>
  <c r="AE36" i="9"/>
  <c r="AE15" i="9"/>
  <c r="AE17" i="9"/>
  <c r="AE24" i="9"/>
  <c r="T40" i="9"/>
  <c r="Y38" i="9"/>
  <c r="AB41" i="9"/>
  <c r="AE33" i="9"/>
  <c r="Z42" i="9"/>
  <c r="AE19" i="9"/>
  <c r="AB42" i="9"/>
  <c r="AE30" i="9"/>
  <c r="V39" i="9"/>
  <c r="AD41" i="9"/>
  <c r="AE14" i="9"/>
  <c r="AE22" i="9"/>
  <c r="AE32" i="9"/>
  <c r="AE18" i="9"/>
  <c r="AE25" i="9"/>
  <c r="AE13" i="9"/>
  <c r="AE21" i="9"/>
  <c r="X38" i="9"/>
  <c r="AD40" i="9"/>
  <c r="Z38" i="9"/>
  <c r="Y39" i="9"/>
  <c r="X40" i="9"/>
  <c r="V41" i="9"/>
  <c r="AD42" i="9"/>
  <c r="V42" i="9"/>
  <c r="E35" i="10"/>
  <c r="Z39" i="9"/>
  <c r="X41" i="9"/>
  <c r="AB38" i="9"/>
  <c r="Z40" i="9"/>
  <c r="Y41" i="9"/>
  <c r="X42" i="9"/>
  <c r="T38" i="9"/>
  <c r="AB39" i="9"/>
  <c r="Z41" i="9"/>
  <c r="Y42" i="9"/>
  <c r="AE12" i="9"/>
  <c r="AD38" i="9"/>
  <c r="T39" i="9"/>
  <c r="V38" i="9"/>
  <c r="F43" i="28" l="1"/>
  <c r="F81" i="28"/>
  <c r="B32" i="25"/>
  <c r="P32" i="25"/>
  <c r="C32" i="25"/>
  <c r="F91" i="28"/>
  <c r="F41" i="28"/>
  <c r="H99" i="28"/>
  <c r="E71" i="28"/>
  <c r="F40" i="28"/>
  <c r="F38" i="28"/>
  <c r="F42" i="28"/>
  <c r="G27" i="28"/>
  <c r="C52" i="35"/>
  <c r="C52" i="3"/>
  <c r="F39" i="28"/>
  <c r="B31" i="25"/>
  <c r="C33" i="25"/>
  <c r="F62" i="7" s="1"/>
  <c r="F60" i="7"/>
  <c r="F63" i="7" s="1"/>
  <c r="F54" i="7"/>
  <c r="F61" i="7"/>
  <c r="F64" i="7" s="1"/>
  <c r="F33" i="28"/>
  <c r="E45" i="28"/>
  <c r="F33" i="11"/>
  <c r="F34" i="11" s="1"/>
  <c r="F32" i="11"/>
  <c r="G33" i="11"/>
  <c r="G34" i="11" s="1"/>
  <c r="D28" i="29" s="1"/>
  <c r="I87" i="28"/>
  <c r="E41" i="18"/>
  <c r="E47" i="28"/>
  <c r="F83" i="28"/>
  <c r="M19" i="8"/>
  <c r="K20" i="8" s="1"/>
  <c r="H101" i="28"/>
  <c r="H34" i="11"/>
  <c r="H32" i="11"/>
  <c r="H100" i="28"/>
  <c r="E46" i="28"/>
  <c r="F82" i="28"/>
  <c r="C33" i="11"/>
  <c r="C32" i="11"/>
  <c r="D7" i="29" s="1"/>
  <c r="D33" i="11"/>
  <c r="D32" i="11"/>
  <c r="M10" i="8"/>
  <c r="I48" i="7"/>
  <c r="I99" i="28" s="1"/>
  <c r="F48" i="7"/>
  <c r="G40" i="7"/>
  <c r="G91" i="28" s="1"/>
  <c r="G36" i="7"/>
  <c r="G87" i="28" s="1"/>
  <c r="G41" i="7"/>
  <c r="G92" i="28" s="1"/>
  <c r="G46" i="7"/>
  <c r="G97" i="28" s="1"/>
  <c r="G42" i="7"/>
  <c r="G93" i="28" s="1"/>
  <c r="G47" i="7"/>
  <c r="G98" i="28" s="1"/>
  <c r="G43" i="7"/>
  <c r="G94" i="28" s="1"/>
  <c r="G44" i="7"/>
  <c r="G95" i="28" s="1"/>
  <c r="G39" i="7"/>
  <c r="G90" i="28" s="1"/>
  <c r="G37" i="7"/>
  <c r="G88" i="28" s="1"/>
  <c r="G45" i="7"/>
  <c r="G96" i="28" s="1"/>
  <c r="G38" i="7"/>
  <c r="G89" i="28" s="1"/>
  <c r="F49" i="7"/>
  <c r="F50" i="7"/>
  <c r="E28" i="7"/>
  <c r="E30" i="7"/>
  <c r="F37" i="10"/>
  <c r="F36" i="10"/>
  <c r="F22" i="10"/>
  <c r="F23" i="10"/>
  <c r="G21" i="10"/>
  <c r="G33" i="28" s="1"/>
  <c r="E29" i="7"/>
  <c r="F35" i="10"/>
  <c r="C31" i="25" l="1"/>
  <c r="L56" i="7" s="1"/>
  <c r="L61" i="7"/>
  <c r="L64" i="7" s="1"/>
  <c r="L60" i="7"/>
  <c r="L63" i="7" s="1"/>
  <c r="L62" i="7"/>
  <c r="L54" i="7"/>
  <c r="I61" i="7"/>
  <c r="I64" i="7" s="1"/>
  <c r="J65" i="7" s="1"/>
  <c r="O56" i="7"/>
  <c r="P66" i="7" s="1"/>
  <c r="G19" i="8" s="1"/>
  <c r="I62" i="7"/>
  <c r="I54" i="7"/>
  <c r="O55" i="7"/>
  <c r="O59" i="7" s="1"/>
  <c r="I60" i="7"/>
  <c r="I63" i="7" s="1"/>
  <c r="O54" i="7"/>
  <c r="O58" i="7" s="1"/>
  <c r="I56" i="7"/>
  <c r="C53" i="35"/>
  <c r="C60" i="35" s="1"/>
  <c r="F99" i="28"/>
  <c r="F56" i="7"/>
  <c r="F101" i="28"/>
  <c r="E81" i="28"/>
  <c r="F100" i="28"/>
  <c r="G65" i="7"/>
  <c r="C59" i="35"/>
  <c r="C62" i="35"/>
  <c r="C61" i="35"/>
  <c r="F45" i="28"/>
  <c r="F55" i="7"/>
  <c r="F58" i="7"/>
  <c r="C53" i="3"/>
  <c r="D27" i="29"/>
  <c r="D29" i="29"/>
  <c r="E83" i="28"/>
  <c r="P19" i="8"/>
  <c r="D59" i="18"/>
  <c r="C59" i="18"/>
  <c r="E59" i="18"/>
  <c r="F35" i="28"/>
  <c r="P19" i="11"/>
  <c r="F47" i="28"/>
  <c r="M19" i="11"/>
  <c r="E82" i="28"/>
  <c r="F46" i="28"/>
  <c r="M10" i="11"/>
  <c r="F34" i="28"/>
  <c r="P10" i="8"/>
  <c r="G48" i="7"/>
  <c r="G99" i="28" s="1"/>
  <c r="L58" i="7" l="1"/>
  <c r="L55" i="7"/>
  <c r="L57" i="7" s="1"/>
  <c r="M59" i="7" s="1"/>
  <c r="M66" i="7" s="1"/>
  <c r="M65" i="7"/>
  <c r="D42" i="23"/>
  <c r="Q41" i="10"/>
  <c r="Q19" i="8"/>
  <c r="E31" i="8" s="1"/>
  <c r="O19" i="8"/>
  <c r="O20" i="8" s="1"/>
  <c r="N19" i="8"/>
  <c r="F19" i="8"/>
  <c r="F20" i="8" s="1"/>
  <c r="I19" i="8"/>
  <c r="D19" i="8"/>
  <c r="H19" i="8"/>
  <c r="C19" i="8"/>
  <c r="E31" i="29" s="1"/>
  <c r="E19" i="8"/>
  <c r="D20" i="8" s="1"/>
  <c r="J19" i="8"/>
  <c r="H20" i="8" s="1"/>
  <c r="I55" i="7"/>
  <c r="I57" i="7" s="1"/>
  <c r="I58" i="7"/>
  <c r="F57" i="7"/>
  <c r="G59" i="7" s="1"/>
  <c r="G66" i="7" s="1"/>
  <c r="T59" i="18"/>
  <c r="O59" i="18"/>
  <c r="M59" i="18"/>
  <c r="R59" i="18"/>
  <c r="E32" i="29"/>
  <c r="N20" i="8"/>
  <c r="N59" i="18"/>
  <c r="S59" i="18"/>
  <c r="E29" i="29"/>
  <c r="K41" i="11"/>
  <c r="F29" i="29" s="1"/>
  <c r="E10" i="29"/>
  <c r="F73" i="5"/>
  <c r="C74" i="5"/>
  <c r="L48" i="5" l="1"/>
  <c r="L74" i="5" s="1"/>
  <c r="E74" i="5"/>
  <c r="G121" i="28"/>
  <c r="N19" i="11"/>
  <c r="Q19" i="11"/>
  <c r="O19" i="11"/>
  <c r="I19" i="11"/>
  <c r="J19" i="11"/>
  <c r="I20" i="11" s="1"/>
  <c r="G19" i="11"/>
  <c r="F19" i="11"/>
  <c r="E19" i="11"/>
  <c r="C19" i="11"/>
  <c r="D19" i="11"/>
  <c r="H19" i="11"/>
  <c r="D30" i="26"/>
  <c r="D171" i="28"/>
  <c r="D202" i="28" s="1"/>
  <c r="H41" i="10"/>
  <c r="D10" i="8"/>
  <c r="F10" i="8"/>
  <c r="I10" i="8"/>
  <c r="H10" i="8"/>
  <c r="C10" i="8"/>
  <c r="E9" i="29" s="1"/>
  <c r="E10" i="8"/>
  <c r="D11" i="8" s="1"/>
  <c r="G10" i="8"/>
  <c r="F11" i="8" s="1"/>
  <c r="J10" i="8"/>
  <c r="N41" i="10"/>
  <c r="K10" i="8"/>
  <c r="K11" i="8" s="1"/>
  <c r="O10" i="8"/>
  <c r="N10" i="8"/>
  <c r="J59" i="7"/>
  <c r="B31" i="8"/>
  <c r="F30" i="29" s="1"/>
  <c r="E30" i="29"/>
  <c r="C54" i="5"/>
  <c r="C80" i="5" s="1"/>
  <c r="E54" i="5"/>
  <c r="R87" i="18"/>
  <c r="R57" i="18"/>
  <c r="R85" i="18" s="1"/>
  <c r="D31" i="8" s="1"/>
  <c r="F32" i="29" s="1"/>
  <c r="M87" i="18"/>
  <c r="M57" i="18"/>
  <c r="M85" i="18" s="1"/>
  <c r="D27" i="8" s="1"/>
  <c r="F10" i="29" s="1"/>
  <c r="O87" i="18"/>
  <c r="O57" i="18"/>
  <c r="O85" i="18" s="1"/>
  <c r="D8" i="29" s="1"/>
  <c r="S87" i="18"/>
  <c r="S57" i="18"/>
  <c r="S85" i="18" s="1"/>
  <c r="T87" i="18"/>
  <c r="T57" i="18"/>
  <c r="T85" i="18" s="1"/>
  <c r="D30" i="29" s="1"/>
  <c r="N87" i="18"/>
  <c r="N57" i="18"/>
  <c r="N85" i="18" s="1"/>
  <c r="I48" i="5"/>
  <c r="I74" i="5" s="1"/>
  <c r="J48" i="5"/>
  <c r="J74" i="5" s="1"/>
  <c r="K48" i="5"/>
  <c r="K74" i="5" s="1"/>
  <c r="C32" i="5"/>
  <c r="E80" i="5" l="1"/>
  <c r="F54" i="5"/>
  <c r="F80" i="5" s="1"/>
  <c r="F74" i="5"/>
  <c r="G54" i="5"/>
  <c r="G80" i="5" s="1"/>
  <c r="G74" i="5"/>
  <c r="J66" i="7"/>
  <c r="D41" i="23"/>
  <c r="B27" i="8"/>
  <c r="F8" i="29" s="1"/>
  <c r="G19" i="36" s="1"/>
  <c r="N11" i="8"/>
  <c r="G20" i="11"/>
  <c r="F20" i="11"/>
  <c r="I41" i="11"/>
  <c r="F27" i="29" s="1"/>
  <c r="O20" i="11"/>
  <c r="E8" i="29"/>
  <c r="O11" i="8"/>
  <c r="L41" i="11"/>
  <c r="Q20" i="11"/>
  <c r="J41" i="11"/>
  <c r="F28" i="29" s="1"/>
  <c r="M20" i="11"/>
  <c r="E28" i="29"/>
  <c r="E27" i="29"/>
  <c r="H41" i="11"/>
  <c r="N20" i="11"/>
  <c r="O10" i="11"/>
  <c r="D41" i="11" s="1"/>
  <c r="F5" i="29" s="1"/>
  <c r="K10" i="11"/>
  <c r="K11" i="11" s="1"/>
  <c r="N10" i="11"/>
  <c r="F121" i="28"/>
  <c r="D20" i="11"/>
  <c r="H11" i="8"/>
  <c r="I10" i="11"/>
  <c r="J10" i="11"/>
  <c r="D121" i="28"/>
  <c r="F10" i="11"/>
  <c r="E10" i="11"/>
  <c r="H10" i="11"/>
  <c r="G10" i="11"/>
  <c r="C10" i="11"/>
  <c r="E6" i="29" s="1"/>
  <c r="P10" i="11"/>
  <c r="D10" i="11"/>
  <c r="E19" i="36"/>
  <c r="E58" i="5"/>
  <c r="D9" i="29"/>
  <c r="C27" i="8"/>
  <c r="F9" i="29" s="1"/>
  <c r="F19" i="36" s="1"/>
  <c r="C31" i="8"/>
  <c r="F31" i="29" s="1"/>
  <c r="D31" i="29"/>
  <c r="J16" i="3"/>
  <c r="J18" i="3" s="1"/>
  <c r="D16" i="3"/>
  <c r="D18" i="3" s="1"/>
  <c r="M16" i="3"/>
  <c r="M18" i="3" s="1"/>
  <c r="I16" i="3"/>
  <c r="I18" i="3" s="1"/>
  <c r="N16" i="3"/>
  <c r="N18" i="3" s="1"/>
  <c r="B16" i="3"/>
  <c r="L15" i="3"/>
  <c r="K15" i="3"/>
  <c r="E15" i="3"/>
  <c r="R15" i="33" s="1"/>
  <c r="F15" i="3"/>
  <c r="H15" i="3" s="1"/>
  <c r="L14" i="3"/>
  <c r="K14" i="3"/>
  <c r="E14" i="3"/>
  <c r="R14" i="33" s="1"/>
  <c r="F14" i="3"/>
  <c r="H14" i="3" s="1"/>
  <c r="L13" i="3"/>
  <c r="K13" i="3"/>
  <c r="E13" i="3"/>
  <c r="R13" i="33" s="1"/>
  <c r="F13" i="3"/>
  <c r="G13" i="3" s="1"/>
  <c r="L12" i="3"/>
  <c r="K12" i="3"/>
  <c r="E12" i="3"/>
  <c r="R12" i="33" s="1"/>
  <c r="F12" i="3"/>
  <c r="H12" i="3" s="1"/>
  <c r="L11" i="3"/>
  <c r="K11" i="3"/>
  <c r="E11" i="3"/>
  <c r="R11" i="33" s="1"/>
  <c r="F11" i="3"/>
  <c r="H11" i="3" s="1"/>
  <c r="L10" i="3"/>
  <c r="K10" i="3"/>
  <c r="E10" i="3"/>
  <c r="R10" i="33" s="1"/>
  <c r="F10" i="3"/>
  <c r="H10" i="3" s="1"/>
  <c r="L9" i="3"/>
  <c r="K9" i="3"/>
  <c r="E9" i="3"/>
  <c r="R9" i="33" s="1"/>
  <c r="F9" i="3"/>
  <c r="L8" i="3"/>
  <c r="K8" i="3"/>
  <c r="E8" i="3"/>
  <c r="R8" i="33" s="1"/>
  <c r="F8" i="3"/>
  <c r="L7" i="3"/>
  <c r="K7" i="3"/>
  <c r="E7" i="3"/>
  <c r="R7" i="33" s="1"/>
  <c r="F7" i="3"/>
  <c r="H7" i="3" s="1"/>
  <c r="L6" i="3"/>
  <c r="K6" i="3"/>
  <c r="E6" i="3"/>
  <c r="R6" i="33" s="1"/>
  <c r="F6" i="3"/>
  <c r="H6" i="3" s="1"/>
  <c r="L5" i="3"/>
  <c r="K5" i="3"/>
  <c r="E5" i="3"/>
  <c r="F5" i="3"/>
  <c r="G5" i="3" s="1"/>
  <c r="X17" i="2"/>
  <c r="Y17" i="2" s="1"/>
  <c r="S17" i="2"/>
  <c r="Q17" i="2"/>
  <c r="P17" i="2"/>
  <c r="O17" i="2"/>
  <c r="M17" i="2"/>
  <c r="L17" i="2"/>
  <c r="X16" i="2"/>
  <c r="Y16" i="2" s="1"/>
  <c r="T16" i="2"/>
  <c r="Q16" i="2"/>
  <c r="P16" i="2"/>
  <c r="O16" i="2"/>
  <c r="M16" i="2"/>
  <c r="L16" i="2"/>
  <c r="X15" i="2"/>
  <c r="Y15" i="2" s="1"/>
  <c r="T15" i="2"/>
  <c r="S15" i="2"/>
  <c r="K15" i="2"/>
  <c r="I15" i="2"/>
  <c r="Q15" i="2" s="1"/>
  <c r="H15" i="2"/>
  <c r="P15" i="2" s="1"/>
  <c r="G15" i="2"/>
  <c r="O15" i="2" s="1"/>
  <c r="F15" i="2"/>
  <c r="M15" i="2" s="1"/>
  <c r="E15" i="2"/>
  <c r="L15" i="2" s="1"/>
  <c r="Y14" i="2"/>
  <c r="X14" i="2"/>
  <c r="T14" i="2"/>
  <c r="Q14" i="2"/>
  <c r="P14" i="2"/>
  <c r="O14" i="2"/>
  <c r="M14" i="2"/>
  <c r="L14" i="2"/>
  <c r="X13" i="2"/>
  <c r="Y13" i="2" s="1"/>
  <c r="T13" i="2"/>
  <c r="Q13" i="2"/>
  <c r="P13" i="2"/>
  <c r="O13" i="2"/>
  <c r="M13" i="2"/>
  <c r="L13" i="2"/>
  <c r="X12" i="2"/>
  <c r="Y12" i="2" s="1"/>
  <c r="T12" i="2"/>
  <c r="Q12" i="2"/>
  <c r="P12" i="2"/>
  <c r="O12" i="2"/>
  <c r="M12" i="2"/>
  <c r="L12" i="2"/>
  <c r="Y11" i="2"/>
  <c r="X11" i="2"/>
  <c r="K11" i="2"/>
  <c r="T11" i="2" s="1"/>
  <c r="I11" i="2"/>
  <c r="Q11" i="2" s="1"/>
  <c r="H11" i="2"/>
  <c r="P11" i="2" s="1"/>
  <c r="G11" i="2"/>
  <c r="O11" i="2" s="1"/>
  <c r="F11" i="2"/>
  <c r="M11" i="2" s="1"/>
  <c r="E11" i="2"/>
  <c r="L11" i="2" s="1"/>
  <c r="N11" i="2" s="1"/>
  <c r="Y10" i="2"/>
  <c r="X10" i="2"/>
  <c r="T10" i="2"/>
  <c r="Q10" i="2"/>
  <c r="P10" i="2"/>
  <c r="O10" i="2"/>
  <c r="M10" i="2"/>
  <c r="L10" i="2"/>
  <c r="X9" i="2"/>
  <c r="Y9" i="2" s="1"/>
  <c r="T9" i="2"/>
  <c r="S9" i="2"/>
  <c r="Q9" i="2"/>
  <c r="P9" i="2"/>
  <c r="O9" i="2"/>
  <c r="M9" i="2"/>
  <c r="L9" i="2"/>
  <c r="Y8" i="2"/>
  <c r="X8" i="2"/>
  <c r="K8" i="2"/>
  <c r="T8" i="2" s="1"/>
  <c r="I8" i="2"/>
  <c r="Q8" i="2" s="1"/>
  <c r="H8" i="2"/>
  <c r="P8" i="2" s="1"/>
  <c r="G8" i="2"/>
  <c r="O8" i="2" s="1"/>
  <c r="F8" i="2"/>
  <c r="M8" i="2" s="1"/>
  <c r="E8" i="2"/>
  <c r="L8" i="2" s="1"/>
  <c r="Y7" i="2"/>
  <c r="X7" i="2"/>
  <c r="T7" i="2"/>
  <c r="Q7" i="2"/>
  <c r="P7" i="2"/>
  <c r="O7" i="2"/>
  <c r="L7" i="2"/>
  <c r="F7" i="2"/>
  <c r="M7" i="2" s="1"/>
  <c r="G58" i="5" l="1"/>
  <c r="E62" i="5"/>
  <c r="E88" i="5" s="1"/>
  <c r="E84" i="5"/>
  <c r="F11" i="11"/>
  <c r="G11" i="11"/>
  <c r="D11" i="11"/>
  <c r="C41" i="11"/>
  <c r="E5" i="29"/>
  <c r="I11" i="11"/>
  <c r="O11" i="11"/>
  <c r="E7" i="29"/>
  <c r="N11" i="11"/>
  <c r="D19" i="36"/>
  <c r="C171" i="28"/>
  <c r="C202" i="28" s="1"/>
  <c r="D29" i="26"/>
  <c r="J8" i="24"/>
  <c r="L8" i="24"/>
  <c r="D40" i="24" s="1"/>
  <c r="J18" i="36" s="1"/>
  <c r="M18" i="36" s="1"/>
  <c r="M8" i="24"/>
  <c r="K8" i="24"/>
  <c r="C40" i="24" s="1"/>
  <c r="H8" i="24"/>
  <c r="C39" i="24" s="1"/>
  <c r="I8" i="24"/>
  <c r="D39" i="24" s="1"/>
  <c r="F11" i="29" s="1"/>
  <c r="D8" i="24"/>
  <c r="F8" i="24"/>
  <c r="G8" i="24"/>
  <c r="B8" i="24"/>
  <c r="E8" i="24"/>
  <c r="C38" i="24" s="1"/>
  <c r="C8" i="24"/>
  <c r="D37" i="24" s="1"/>
  <c r="J10" i="36" s="1"/>
  <c r="M17" i="24"/>
  <c r="L17" i="24"/>
  <c r="G40" i="24" s="1"/>
  <c r="K17" i="24"/>
  <c r="F40" i="24" s="1"/>
  <c r="I17" i="24"/>
  <c r="G39" i="24" s="1"/>
  <c r="G17" i="24"/>
  <c r="H17" i="24"/>
  <c r="F39" i="24" s="1"/>
  <c r="E17" i="24"/>
  <c r="F38" i="24" s="1"/>
  <c r="J17" i="24"/>
  <c r="F17" i="24"/>
  <c r="G38" i="24" s="1"/>
  <c r="C17" i="24"/>
  <c r="G37" i="24" s="1"/>
  <c r="D17" i="24"/>
  <c r="B17" i="24"/>
  <c r="N16" i="2"/>
  <c r="Q10" i="8"/>
  <c r="E27" i="8" s="1"/>
  <c r="L10" i="8"/>
  <c r="K41" i="10"/>
  <c r="J30" i="36"/>
  <c r="I52" i="36"/>
  <c r="I50" i="36"/>
  <c r="I55" i="36" s="1"/>
  <c r="I51" i="36"/>
  <c r="J29" i="36"/>
  <c r="J28" i="36"/>
  <c r="B93" i="5"/>
  <c r="R5" i="33"/>
  <c r="R16" i="33" s="1"/>
  <c r="W20" i="33" s="1"/>
  <c r="R12" i="2"/>
  <c r="N13" i="2"/>
  <c r="R14" i="2"/>
  <c r="R9" i="2"/>
  <c r="R10" i="2"/>
  <c r="S18" i="2"/>
  <c r="E32" i="5"/>
  <c r="B18" i="3"/>
  <c r="F32" i="5"/>
  <c r="H5" i="3"/>
  <c r="E5" i="33" s="1"/>
  <c r="H13" i="3"/>
  <c r="F13" i="33" s="1"/>
  <c r="G12" i="3"/>
  <c r="G11" i="3"/>
  <c r="G15" i="3"/>
  <c r="G10" i="3"/>
  <c r="K10" i="33" s="1"/>
  <c r="B96" i="5"/>
  <c r="G7" i="3"/>
  <c r="B100" i="5"/>
  <c r="E16" i="3"/>
  <c r="B101" i="5"/>
  <c r="R16" i="2"/>
  <c r="R7" i="2"/>
  <c r="R8" i="2"/>
  <c r="N9" i="2"/>
  <c r="N12" i="2"/>
  <c r="R15" i="2"/>
  <c r="H9" i="3"/>
  <c r="G9" i="3"/>
  <c r="B97" i="5"/>
  <c r="R17" i="2"/>
  <c r="H8" i="3"/>
  <c r="G8" i="3"/>
  <c r="F16" i="3"/>
  <c r="T18" i="2"/>
  <c r="K16" i="3"/>
  <c r="K18" i="3" s="1"/>
  <c r="B99" i="5"/>
  <c r="R11" i="2"/>
  <c r="N7" i="2"/>
  <c r="R13" i="2"/>
  <c r="N14" i="2"/>
  <c r="L16" i="3"/>
  <c r="L18" i="3" s="1"/>
  <c r="B98" i="5"/>
  <c r="J26" i="5"/>
  <c r="I26" i="5"/>
  <c r="G32" i="5"/>
  <c r="L26" i="5"/>
  <c r="K26" i="5"/>
  <c r="N8" i="2"/>
  <c r="N10" i="2"/>
  <c r="N15" i="2"/>
  <c r="N17" i="2"/>
  <c r="G6" i="3"/>
  <c r="G14" i="3"/>
  <c r="B94" i="5"/>
  <c r="B95" i="5"/>
  <c r="B102" i="5"/>
  <c r="B103" i="5"/>
  <c r="G62" i="5" l="1"/>
  <c r="G88" i="5" s="1"/>
  <c r="G84" i="5"/>
  <c r="G36" i="5"/>
  <c r="G40" i="5" s="1"/>
  <c r="L18" i="24"/>
  <c r="E40" i="24"/>
  <c r="I15" i="33"/>
  <c r="E121" i="28"/>
  <c r="Q10" i="11"/>
  <c r="L10" i="11"/>
  <c r="I18" i="24"/>
  <c r="E39" i="24"/>
  <c r="L11" i="33"/>
  <c r="L9" i="24"/>
  <c r="E13" i="29"/>
  <c r="B40" i="24"/>
  <c r="E12" i="29"/>
  <c r="C37" i="24"/>
  <c r="F12" i="29" s="1"/>
  <c r="F18" i="24"/>
  <c r="E38" i="24"/>
  <c r="F9" i="24"/>
  <c r="B38" i="24"/>
  <c r="H16" i="36" s="1"/>
  <c r="I9" i="24"/>
  <c r="B39" i="24"/>
  <c r="E34" i="29"/>
  <c r="E35" i="29"/>
  <c r="E33" i="29"/>
  <c r="F37" i="24"/>
  <c r="F34" i="29" s="1"/>
  <c r="F35" i="29"/>
  <c r="E11" i="29"/>
  <c r="D38" i="24"/>
  <c r="J16" i="36" s="1"/>
  <c r="D8" i="21"/>
  <c r="AC8" i="21"/>
  <c r="C41" i="21" s="1"/>
  <c r="Q8" i="21"/>
  <c r="C37" i="21" s="1"/>
  <c r="M8" i="21"/>
  <c r="H8" i="21"/>
  <c r="C34" i="21" s="1"/>
  <c r="B8" i="21"/>
  <c r="AE8" i="21"/>
  <c r="S8" i="21"/>
  <c r="L8" i="21"/>
  <c r="J8" i="21"/>
  <c r="AD8" i="21"/>
  <c r="B41" i="21" s="1"/>
  <c r="K17" i="36" s="1"/>
  <c r="H17" i="36" s="1"/>
  <c r="K8" i="21"/>
  <c r="C35" i="21" s="1"/>
  <c r="I8" i="21"/>
  <c r="B34" i="21" s="1"/>
  <c r="K10" i="36" s="1"/>
  <c r="G8" i="21"/>
  <c r="F8" i="21"/>
  <c r="B33" i="21" s="1"/>
  <c r="K9" i="36" s="1"/>
  <c r="H9" i="36" s="1"/>
  <c r="T8" i="21"/>
  <c r="C38" i="21" s="1"/>
  <c r="E8" i="21"/>
  <c r="C33" i="21" s="1"/>
  <c r="C8" i="21"/>
  <c r="B32" i="21" s="1"/>
  <c r="U8" i="21"/>
  <c r="B38" i="21" s="1"/>
  <c r="K14" i="36" s="1"/>
  <c r="H14" i="36" s="1"/>
  <c r="V8" i="21"/>
  <c r="N8" i="21"/>
  <c r="C36" i="21" s="1"/>
  <c r="Z8" i="21"/>
  <c r="C40" i="21" s="1"/>
  <c r="P8" i="21"/>
  <c r="O8" i="21"/>
  <c r="B36" i="21" s="1"/>
  <c r="K12" i="36" s="1"/>
  <c r="H12" i="36" s="1"/>
  <c r="AB8" i="21"/>
  <c r="X8" i="21"/>
  <c r="B39" i="21" s="1"/>
  <c r="K15" i="36" s="1"/>
  <c r="H15" i="36" s="1"/>
  <c r="W8" i="21"/>
  <c r="C39" i="21" s="1"/>
  <c r="AA8" i="21"/>
  <c r="B40" i="21" s="1"/>
  <c r="K16" i="36" s="1"/>
  <c r="Y8" i="21"/>
  <c r="R8" i="21"/>
  <c r="B37" i="21" s="1"/>
  <c r="K13" i="36" s="1"/>
  <c r="H13" i="36" s="1"/>
  <c r="R17" i="21"/>
  <c r="E37" i="21" s="1"/>
  <c r="V17" i="21"/>
  <c r="M17" i="21"/>
  <c r="L17" i="21"/>
  <c r="E35" i="21" s="1"/>
  <c r="S17" i="21"/>
  <c r="G17" i="21"/>
  <c r="E17" i="21"/>
  <c r="F33" i="21" s="1"/>
  <c r="F17" i="21"/>
  <c r="E33" i="21" s="1"/>
  <c r="AC17" i="21"/>
  <c r="F41" i="21" s="1"/>
  <c r="U17" i="21"/>
  <c r="E38" i="21" s="1"/>
  <c r="AD17" i="21"/>
  <c r="E41" i="21" s="1"/>
  <c r="Q17" i="21"/>
  <c r="F37" i="21" s="1"/>
  <c r="T17" i="21"/>
  <c r="F38" i="21" s="1"/>
  <c r="K17" i="21"/>
  <c r="F35" i="21" s="1"/>
  <c r="AE17" i="21"/>
  <c r="N17" i="21"/>
  <c r="F36" i="21" s="1"/>
  <c r="P17" i="21"/>
  <c r="X17" i="21"/>
  <c r="E39" i="21" s="1"/>
  <c r="AB17" i="21"/>
  <c r="C17" i="21"/>
  <c r="E32" i="21" s="1"/>
  <c r="Y17" i="21"/>
  <c r="Z17" i="21"/>
  <c r="F40" i="21" s="1"/>
  <c r="B17" i="21"/>
  <c r="D17" i="21"/>
  <c r="W17" i="21"/>
  <c r="F39" i="21" s="1"/>
  <c r="O17" i="21"/>
  <c r="E36" i="21" s="1"/>
  <c r="AA17" i="21"/>
  <c r="E40" i="21" s="1"/>
  <c r="J17" i="21"/>
  <c r="I17" i="21"/>
  <c r="E34" i="21" s="1"/>
  <c r="F38" i="29" s="1"/>
  <c r="H17" i="21"/>
  <c r="F34" i="21" s="1"/>
  <c r="H16" i="5"/>
  <c r="C18" i="24"/>
  <c r="E37" i="24"/>
  <c r="F33" i="29" s="1"/>
  <c r="C9" i="24"/>
  <c r="B37" i="24"/>
  <c r="H10" i="36" s="1"/>
  <c r="I7" i="33"/>
  <c r="O7" i="33" s="1"/>
  <c r="I56" i="36"/>
  <c r="I60" i="36" s="1"/>
  <c r="I64" i="36" s="1"/>
  <c r="I59" i="36"/>
  <c r="I63" i="36" s="1"/>
  <c r="I54" i="36"/>
  <c r="I58" i="36" s="1"/>
  <c r="I62" i="36" s="1"/>
  <c r="J33" i="36"/>
  <c r="G5" i="33"/>
  <c r="C13" i="33"/>
  <c r="H15" i="33"/>
  <c r="K15" i="33" s="1"/>
  <c r="D5" i="33"/>
  <c r="P5" i="33" s="1"/>
  <c r="D13" i="33"/>
  <c r="C5" i="33"/>
  <c r="O5" i="33" s="1"/>
  <c r="B13" i="33"/>
  <c r="B5" i="33"/>
  <c r="N5" i="33" s="1"/>
  <c r="E13" i="33"/>
  <c r="F5" i="33"/>
  <c r="G13" i="33"/>
  <c r="L7" i="33"/>
  <c r="H10" i="33"/>
  <c r="N10" i="33"/>
  <c r="O15" i="33"/>
  <c r="L15" i="33"/>
  <c r="I11" i="33"/>
  <c r="O11" i="33"/>
  <c r="K6" i="33"/>
  <c r="E9" i="33"/>
  <c r="G9" i="33"/>
  <c r="F9" i="33"/>
  <c r="C9" i="33"/>
  <c r="D9" i="33"/>
  <c r="B9" i="33"/>
  <c r="K9" i="33"/>
  <c r="L9" i="33"/>
  <c r="H13" i="33"/>
  <c r="L13" i="33"/>
  <c r="K13" i="33"/>
  <c r="I13" i="33"/>
  <c r="O13" i="33" s="1"/>
  <c r="K8" i="5"/>
  <c r="L5" i="33"/>
  <c r="K5" i="33"/>
  <c r="K14" i="33"/>
  <c r="E12" i="33"/>
  <c r="F12" i="33"/>
  <c r="G12" i="33"/>
  <c r="C12" i="33"/>
  <c r="D12" i="33"/>
  <c r="B12" i="33"/>
  <c r="K12" i="33"/>
  <c r="E8" i="33"/>
  <c r="G8" i="33"/>
  <c r="F8" i="33"/>
  <c r="D8" i="33"/>
  <c r="P8" i="33" s="1"/>
  <c r="C8" i="33"/>
  <c r="O8" i="33" s="1"/>
  <c r="B8" i="33"/>
  <c r="N8" i="33" s="1"/>
  <c r="L14" i="33"/>
  <c r="L6" i="33"/>
  <c r="I6" i="33" s="1"/>
  <c r="K7" i="33"/>
  <c r="H10" i="5"/>
  <c r="W49" i="33"/>
  <c r="A79" i="33" s="1"/>
  <c r="Z20" i="33"/>
  <c r="AA20" i="33"/>
  <c r="X20" i="33"/>
  <c r="Y20" i="33"/>
  <c r="L10" i="33"/>
  <c r="M10" i="33" s="1"/>
  <c r="P10" i="33" s="1"/>
  <c r="G6" i="33"/>
  <c r="E6" i="33"/>
  <c r="F6" i="33"/>
  <c r="C6" i="33"/>
  <c r="O6" i="33" s="1"/>
  <c r="D6" i="33"/>
  <c r="P6" i="33" s="1"/>
  <c r="B6" i="33"/>
  <c r="N6" i="33" s="1"/>
  <c r="E7" i="33"/>
  <c r="F7" i="33"/>
  <c r="G7" i="33"/>
  <c r="B7" i="33"/>
  <c r="D7" i="33"/>
  <c r="C7" i="33"/>
  <c r="H7" i="33"/>
  <c r="L8" i="33"/>
  <c r="I8" i="33" s="1"/>
  <c r="K8" i="33"/>
  <c r="F10" i="33"/>
  <c r="G10" i="33"/>
  <c r="E10" i="33"/>
  <c r="C10" i="33"/>
  <c r="B10" i="33"/>
  <c r="D10" i="33"/>
  <c r="G15" i="33"/>
  <c r="F15" i="33"/>
  <c r="E15" i="33"/>
  <c r="D15" i="33"/>
  <c r="C15" i="33"/>
  <c r="B15" i="33"/>
  <c r="E14" i="33"/>
  <c r="G14" i="33"/>
  <c r="F14" i="33"/>
  <c r="C14" i="33"/>
  <c r="D14" i="33"/>
  <c r="B14" i="33"/>
  <c r="G11" i="33"/>
  <c r="F11" i="33"/>
  <c r="E11" i="33"/>
  <c r="B11" i="33"/>
  <c r="C11" i="33"/>
  <c r="D11" i="33"/>
  <c r="K11" i="33"/>
  <c r="L12" i="33"/>
  <c r="E36" i="5"/>
  <c r="E40" i="5" s="1"/>
  <c r="J18" i="5"/>
  <c r="M18" i="5" s="1"/>
  <c r="K13" i="5"/>
  <c r="H13" i="5" s="1"/>
  <c r="K14" i="5"/>
  <c r="H14" i="5" s="1"/>
  <c r="K10" i="5"/>
  <c r="K17" i="5"/>
  <c r="H17" i="5" s="1"/>
  <c r="K12" i="5"/>
  <c r="H12" i="5" s="1"/>
  <c r="H18" i="5"/>
  <c r="K18" i="5" s="1"/>
  <c r="E18" i="3"/>
  <c r="B104" i="5"/>
  <c r="I24" i="5" s="1"/>
  <c r="N18" i="2"/>
  <c r="R18" i="2"/>
  <c r="H16" i="3"/>
  <c r="G16" i="3"/>
  <c r="X18" i="21" l="1"/>
  <c r="G39" i="21"/>
  <c r="G37" i="21"/>
  <c r="R18" i="21"/>
  <c r="U9" i="21"/>
  <c r="D38" i="21"/>
  <c r="I18" i="21"/>
  <c r="G34" i="21"/>
  <c r="F36" i="29" s="1"/>
  <c r="K8" i="36"/>
  <c r="I9" i="21"/>
  <c r="D34" i="21"/>
  <c r="Q11" i="11"/>
  <c r="G41" i="11"/>
  <c r="AA18" i="21"/>
  <c r="G40" i="21"/>
  <c r="L18" i="21"/>
  <c r="G35" i="21"/>
  <c r="AA9" i="21"/>
  <c r="D40" i="21"/>
  <c r="M16" i="36" s="1"/>
  <c r="E14" i="29"/>
  <c r="B35" i="21"/>
  <c r="K11" i="36" s="1"/>
  <c r="H11" i="36" s="1"/>
  <c r="C9" i="21"/>
  <c r="D32" i="21"/>
  <c r="M8" i="36" s="1"/>
  <c r="F13" i="29"/>
  <c r="H18" i="36"/>
  <c r="K18" i="36" s="1"/>
  <c r="L9" i="21"/>
  <c r="D35" i="21"/>
  <c r="M11" i="36" s="1"/>
  <c r="J11" i="36" s="1"/>
  <c r="G38" i="21"/>
  <c r="U18" i="21"/>
  <c r="R9" i="21"/>
  <c r="D37" i="21"/>
  <c r="M13" i="36" s="1"/>
  <c r="J13" i="36" s="1"/>
  <c r="F18" i="21"/>
  <c r="G33" i="21"/>
  <c r="G36" i="21"/>
  <c r="O18" i="21"/>
  <c r="O9" i="21"/>
  <c r="D36" i="21"/>
  <c r="AD9" i="21"/>
  <c r="E16" i="29"/>
  <c r="D41" i="21"/>
  <c r="M17" i="36" s="1"/>
  <c r="J17" i="36" s="1"/>
  <c r="G32" i="21"/>
  <c r="C18" i="21"/>
  <c r="F9" i="21"/>
  <c r="D33" i="21"/>
  <c r="C32" i="21"/>
  <c r="F15" i="29" s="1"/>
  <c r="E15" i="29"/>
  <c r="F32" i="21"/>
  <c r="F37" i="29" s="1"/>
  <c r="E38" i="29"/>
  <c r="E36" i="29"/>
  <c r="E37" i="29"/>
  <c r="G41" i="21"/>
  <c r="AD18" i="21"/>
  <c r="X9" i="21"/>
  <c r="D39" i="21"/>
  <c r="M7" i="33"/>
  <c r="J15" i="33"/>
  <c r="P15" i="33" s="1"/>
  <c r="N15" i="33"/>
  <c r="M13" i="33"/>
  <c r="J32" i="36"/>
  <c r="J36" i="36" s="1"/>
  <c r="J40" i="36" s="1"/>
  <c r="J34" i="36"/>
  <c r="J38" i="36" s="1"/>
  <c r="J42" i="36" s="1"/>
  <c r="J37" i="36"/>
  <c r="J41" i="36" s="1"/>
  <c r="B16" i="33"/>
  <c r="E16" i="33"/>
  <c r="G16" i="33"/>
  <c r="X23" i="33" s="1"/>
  <c r="X26" i="33" s="1"/>
  <c r="D16" i="33"/>
  <c r="W23" i="33" s="1"/>
  <c r="W26" i="33" s="1"/>
  <c r="C16" i="33"/>
  <c r="F16" i="33"/>
  <c r="O10" i="33"/>
  <c r="I10" i="33"/>
  <c r="J10" i="33" s="1"/>
  <c r="Y49" i="33"/>
  <c r="J7" i="33"/>
  <c r="P7" i="33" s="1"/>
  <c r="N7" i="33"/>
  <c r="X49" i="33"/>
  <c r="M8" i="33"/>
  <c r="H8" i="33"/>
  <c r="J8" i="33" s="1"/>
  <c r="AA49" i="33"/>
  <c r="A78" i="33"/>
  <c r="M12" i="33"/>
  <c r="P12" i="33" s="1"/>
  <c r="H12" i="33"/>
  <c r="N12" i="33"/>
  <c r="O9" i="33"/>
  <c r="I9" i="33"/>
  <c r="Z49" i="33"/>
  <c r="O14" i="33"/>
  <c r="I14" i="33"/>
  <c r="I5" i="33"/>
  <c r="L16" i="33"/>
  <c r="N14" i="33"/>
  <c r="H14" i="33"/>
  <c r="M14" i="33"/>
  <c r="P14" i="33" s="1"/>
  <c r="N9" i="33"/>
  <c r="H9" i="33"/>
  <c r="M9" i="33"/>
  <c r="P9" i="33" s="1"/>
  <c r="I12" i="33"/>
  <c r="O12" i="33"/>
  <c r="H5" i="33"/>
  <c r="M5" i="33"/>
  <c r="E19" i="5"/>
  <c r="F19" i="5"/>
  <c r="H11" i="33"/>
  <c r="J11" i="33" s="1"/>
  <c r="N11" i="33"/>
  <c r="M11" i="33"/>
  <c r="P11" i="33" s="1"/>
  <c r="K16" i="33"/>
  <c r="M15" i="33"/>
  <c r="J13" i="33"/>
  <c r="P13" i="33" s="1"/>
  <c r="N13" i="33"/>
  <c r="H6" i="33"/>
  <c r="J6" i="33" s="1"/>
  <c r="M6" i="33"/>
  <c r="J16" i="5"/>
  <c r="K16" i="5"/>
  <c r="J10" i="5"/>
  <c r="M13" i="5"/>
  <c r="J13" i="5" s="1"/>
  <c r="M8" i="5"/>
  <c r="J8" i="5" s="1"/>
  <c r="M11" i="5"/>
  <c r="J11" i="5" s="1"/>
  <c r="H8" i="5"/>
  <c r="K11" i="5"/>
  <c r="H11" i="5" s="1"/>
  <c r="K15" i="5"/>
  <c r="H15" i="5" s="1"/>
  <c r="K9" i="5"/>
  <c r="H9" i="5" s="1"/>
  <c r="M16" i="5"/>
  <c r="M17" i="5"/>
  <c r="J17" i="5" s="1"/>
  <c r="G19" i="5"/>
  <c r="D19" i="5"/>
  <c r="G18" i="3"/>
  <c r="H18" i="3"/>
  <c r="M12" i="36" l="1"/>
  <c r="J12" i="36" s="1"/>
  <c r="M12" i="5"/>
  <c r="J12" i="5" s="1"/>
  <c r="M9" i="36"/>
  <c r="J9" i="36" s="1"/>
  <c r="M9" i="5"/>
  <c r="J9" i="5" s="1"/>
  <c r="M14" i="36"/>
  <c r="J14" i="36" s="1"/>
  <c r="M14" i="5"/>
  <c r="J14" i="5" s="1"/>
  <c r="C62" i="3"/>
  <c r="M10" i="36"/>
  <c r="M10" i="5"/>
  <c r="H8" i="36"/>
  <c r="H19" i="36" s="1"/>
  <c r="K19" i="36"/>
  <c r="M15" i="36"/>
  <c r="J15" i="36" s="1"/>
  <c r="M15" i="5"/>
  <c r="J15" i="5" s="1"/>
  <c r="F14" i="29"/>
  <c r="J8" i="36"/>
  <c r="F16" i="29"/>
  <c r="W25" i="33"/>
  <c r="W54" i="33" s="1"/>
  <c r="W24" i="33"/>
  <c r="W53" i="33" s="1"/>
  <c r="X25" i="33"/>
  <c r="X54" i="33" s="1"/>
  <c r="X24" i="33"/>
  <c r="X53" i="33" s="1"/>
  <c r="O16" i="33"/>
  <c r="J12" i="33"/>
  <c r="N16" i="33"/>
  <c r="P16" i="33"/>
  <c r="AA23" i="33" s="1"/>
  <c r="AA26" i="33" s="1"/>
  <c r="J14" i="33"/>
  <c r="I16" i="33"/>
  <c r="J9" i="33"/>
  <c r="M16" i="33"/>
  <c r="Z23" i="33" s="1"/>
  <c r="J5" i="33"/>
  <c r="H16" i="33"/>
  <c r="J49" i="5"/>
  <c r="J75" i="5" s="1"/>
  <c r="J51" i="5"/>
  <c r="J77" i="5" s="1"/>
  <c r="J27" i="5"/>
  <c r="J29" i="5"/>
  <c r="X52" i="33"/>
  <c r="X55" i="33" s="1"/>
  <c r="J28" i="5"/>
  <c r="J50" i="5"/>
  <c r="J76" i="5" s="1"/>
  <c r="K19" i="5"/>
  <c r="H19" i="5"/>
  <c r="B29" i="3"/>
  <c r="J24" i="5"/>
  <c r="B19" i="3"/>
  <c r="B62" i="3" s="1"/>
  <c r="L24" i="5"/>
  <c r="B67" i="5" s="1"/>
  <c r="K24" i="5"/>
  <c r="J19" i="5" l="1"/>
  <c r="M19" i="5"/>
  <c r="B61" i="3"/>
  <c r="M19" i="36"/>
  <c r="J19" i="36"/>
  <c r="C61" i="3"/>
  <c r="C59" i="3"/>
  <c r="B60" i="3"/>
  <c r="B59" i="3"/>
  <c r="C60" i="3"/>
  <c r="AA24" i="33"/>
  <c r="AA53" i="33" s="1"/>
  <c r="Z52" i="33"/>
  <c r="Z55" i="33" s="1"/>
  <c r="Z26" i="33"/>
  <c r="AA25" i="33"/>
  <c r="AA54" i="33" s="1"/>
  <c r="AA52" i="33"/>
  <c r="C79" i="33" s="1"/>
  <c r="Z24" i="33"/>
  <c r="Z53" i="33" s="1"/>
  <c r="C78" i="33"/>
  <c r="Z25" i="33"/>
  <c r="Z54" i="33" s="1"/>
  <c r="J16" i="33"/>
  <c r="Y23" i="33" s="1"/>
  <c r="B30" i="3"/>
  <c r="J54" i="5"/>
  <c r="J80" i="5" s="1"/>
  <c r="J32" i="5"/>
  <c r="Y52" i="33" l="1"/>
  <c r="Y55" i="33" s="1"/>
  <c r="Y26" i="33"/>
  <c r="AA55" i="33"/>
  <c r="Y25" i="33"/>
  <c r="Y54" i="33" s="1"/>
  <c r="Y24" i="33"/>
  <c r="Y53" i="33" s="1"/>
  <c r="J55" i="5"/>
  <c r="J53" i="5"/>
  <c r="J58" i="5"/>
  <c r="J36" i="5"/>
  <c r="J40" i="5" s="1"/>
  <c r="J33" i="5"/>
  <c r="J37" i="5" s="1"/>
  <c r="J41" i="5" s="1"/>
  <c r="J31" i="5"/>
  <c r="J35" i="5" s="1"/>
  <c r="J39" i="5" s="1"/>
  <c r="J62" i="5" l="1"/>
  <c r="J88" i="5" s="1"/>
  <c r="J84" i="5"/>
  <c r="J57" i="5"/>
  <c r="J79" i="5"/>
  <c r="J59" i="5"/>
  <c r="J81" i="5"/>
  <c r="B68" i="5"/>
  <c r="J63" i="5" l="1"/>
  <c r="J89" i="5" s="1"/>
  <c r="J85" i="5"/>
  <c r="J61" i="5"/>
  <c r="J87" i="5" s="1"/>
  <c r="J83" i="5"/>
  <c r="D34" i="11"/>
  <c r="E34" i="11"/>
  <c r="D5" i="29" s="1"/>
  <c r="C34" i="11"/>
  <c r="D6" i="29" l="1"/>
  <c r="E41" i="11"/>
  <c r="F6" i="29" s="1"/>
  <c r="F41" i="11"/>
  <c r="F7" i="29" s="1"/>
  <c r="B19" i="36" l="1"/>
  <c r="B19" i="5"/>
  <c r="L13" i="36"/>
  <c r="I13" i="36" s="1"/>
  <c r="L8" i="36"/>
  <c r="L17" i="36"/>
  <c r="I17" i="36" s="1"/>
  <c r="I10" i="36"/>
  <c r="L14" i="36"/>
  <c r="I14" i="36" s="1"/>
  <c r="L10" i="36"/>
  <c r="L16" i="36"/>
  <c r="L15" i="36"/>
  <c r="I15" i="36" s="1"/>
  <c r="L12" i="36"/>
  <c r="I12" i="36" s="1"/>
  <c r="L9" i="36"/>
  <c r="I9" i="36" s="1"/>
  <c r="L11" i="36"/>
  <c r="I11" i="36" s="1"/>
  <c r="I16" i="36"/>
  <c r="I18" i="36"/>
  <c r="L18" i="36" s="1"/>
  <c r="C19" i="36"/>
  <c r="L17" i="5"/>
  <c r="I17" i="5" s="1"/>
  <c r="L9" i="5"/>
  <c r="I9" i="5" s="1"/>
  <c r="I18" i="5"/>
  <c r="L18" i="5" s="1"/>
  <c r="L12" i="5"/>
  <c r="I12" i="5" s="1"/>
  <c r="L11" i="5"/>
  <c r="I11" i="5" s="1"/>
  <c r="L14" i="5"/>
  <c r="I14" i="5" s="1"/>
  <c r="L10" i="5"/>
  <c r="L15" i="5"/>
  <c r="I15" i="5" s="1"/>
  <c r="I10" i="5"/>
  <c r="I16" i="5"/>
  <c r="L13" i="5"/>
  <c r="I13" i="5" s="1"/>
  <c r="L16" i="5"/>
  <c r="L8" i="5"/>
  <c r="C19" i="5"/>
  <c r="I28" i="36" l="1"/>
  <c r="H50" i="36"/>
  <c r="H55" i="36" s="1"/>
  <c r="I30" i="36"/>
  <c r="H52" i="36"/>
  <c r="I29" i="36"/>
  <c r="H51" i="36"/>
  <c r="I8" i="36"/>
  <c r="I19" i="36" s="1"/>
  <c r="L19" i="36"/>
  <c r="I27" i="5"/>
  <c r="I29" i="5"/>
  <c r="I50" i="5"/>
  <c r="I76" i="5" s="1"/>
  <c r="I49" i="5"/>
  <c r="I51" i="5"/>
  <c r="I77" i="5" s="1"/>
  <c r="I28" i="5"/>
  <c r="I8" i="5"/>
  <c r="I19" i="5" s="1"/>
  <c r="L19" i="5"/>
  <c r="W52" i="33"/>
  <c r="W55" i="33" s="1"/>
  <c r="I54" i="5" l="1"/>
  <c r="I80" i="5" s="1"/>
  <c r="I75" i="5"/>
  <c r="K50" i="36"/>
  <c r="K55" i="36" s="1"/>
  <c r="K52" i="36"/>
  <c r="L30" i="36"/>
  <c r="L28" i="36"/>
  <c r="L29" i="36"/>
  <c r="K51" i="36"/>
  <c r="J50" i="36"/>
  <c r="J55" i="36" s="1"/>
  <c r="K30" i="36"/>
  <c r="K28" i="36"/>
  <c r="J52" i="36"/>
  <c r="J51" i="36"/>
  <c r="K29" i="36"/>
  <c r="L49" i="5"/>
  <c r="L27" i="5"/>
  <c r="L50" i="5"/>
  <c r="L76" i="5" s="1"/>
  <c r="L29" i="5"/>
  <c r="L28" i="5"/>
  <c r="L51" i="5"/>
  <c r="L77" i="5" s="1"/>
  <c r="H59" i="36"/>
  <c r="H63" i="36" s="1"/>
  <c r="H54" i="36"/>
  <c r="H58" i="36" s="1"/>
  <c r="H62" i="36" s="1"/>
  <c r="H56" i="36"/>
  <c r="H60" i="36" s="1"/>
  <c r="H64" i="36" s="1"/>
  <c r="K27" i="5"/>
  <c r="K49" i="5"/>
  <c r="K28" i="5"/>
  <c r="K50" i="5"/>
  <c r="K76" i="5" s="1"/>
  <c r="K51" i="5"/>
  <c r="K77" i="5" s="1"/>
  <c r="K29" i="5"/>
  <c r="I32" i="5"/>
  <c r="I33" i="36"/>
  <c r="I37" i="36" s="1"/>
  <c r="I41" i="36" s="1"/>
  <c r="I58" i="5" l="1"/>
  <c r="I84" i="5" s="1"/>
  <c r="I55" i="5"/>
  <c r="I59" i="5" s="1"/>
  <c r="I53" i="5"/>
  <c r="I79" i="5" s="1"/>
  <c r="K54" i="5"/>
  <c r="K80" i="5" s="1"/>
  <c r="K75" i="5"/>
  <c r="L54" i="5"/>
  <c r="L80" i="5" s="1"/>
  <c r="L75" i="5"/>
  <c r="I57" i="5"/>
  <c r="I62" i="5"/>
  <c r="I88" i="5" s="1"/>
  <c r="D67" i="5"/>
  <c r="I32" i="36"/>
  <c r="I36" i="36" s="1"/>
  <c r="I40" i="36" s="1"/>
  <c r="D68" i="5"/>
  <c r="D68" i="36"/>
  <c r="J59" i="36"/>
  <c r="J63" i="36" s="1"/>
  <c r="J54" i="36"/>
  <c r="J58" i="36" s="1"/>
  <c r="J62" i="36" s="1"/>
  <c r="J56" i="36"/>
  <c r="J60" i="36" s="1"/>
  <c r="J64" i="36" s="1"/>
  <c r="L33" i="36"/>
  <c r="D67" i="36"/>
  <c r="K32" i="5"/>
  <c r="L32" i="5"/>
  <c r="I34" i="36"/>
  <c r="I38" i="36" s="1"/>
  <c r="I42" i="36" s="1"/>
  <c r="K33" i="36"/>
  <c r="I31" i="5"/>
  <c r="I35" i="5" s="1"/>
  <c r="I39" i="5" s="1"/>
  <c r="I36" i="5"/>
  <c r="I40" i="5" s="1"/>
  <c r="I33" i="5"/>
  <c r="I37" i="5" s="1"/>
  <c r="I41" i="5" s="1"/>
  <c r="K59" i="36"/>
  <c r="K63" i="36" s="1"/>
  <c r="K54" i="36"/>
  <c r="K58" i="36" s="1"/>
  <c r="K62" i="36" s="1"/>
  <c r="K56" i="36"/>
  <c r="K60" i="36" s="1"/>
  <c r="K64" i="36" s="1"/>
  <c r="K53" i="5" l="1"/>
  <c r="I81" i="5"/>
  <c r="L53" i="5"/>
  <c r="L57" i="5" s="1"/>
  <c r="L58" i="5"/>
  <c r="L84" i="5" s="1"/>
  <c r="K58" i="5"/>
  <c r="K84" i="5" s="1"/>
  <c r="K55" i="5"/>
  <c r="K59" i="5" s="1"/>
  <c r="L55" i="5"/>
  <c r="L59" i="5" s="1"/>
  <c r="K62" i="5"/>
  <c r="K88" i="5" s="1"/>
  <c r="I63" i="5"/>
  <c r="I89" i="5" s="1"/>
  <c r="I85" i="5"/>
  <c r="K57" i="5"/>
  <c r="K79" i="5"/>
  <c r="I61" i="5"/>
  <c r="I87" i="5" s="1"/>
  <c r="I83" i="5"/>
  <c r="K34" i="36"/>
  <c r="K38" i="36" s="1"/>
  <c r="K42" i="36" s="1"/>
  <c r="K32" i="36"/>
  <c r="K36" i="36" s="1"/>
  <c r="K40" i="36" s="1"/>
  <c r="K37" i="36"/>
  <c r="K41" i="36" s="1"/>
  <c r="L32" i="36"/>
  <c r="L36" i="36" s="1"/>
  <c r="L40" i="36" s="1"/>
  <c r="L37" i="36"/>
  <c r="L41" i="36" s="1"/>
  <c r="L34" i="36"/>
  <c r="L38" i="36" s="1"/>
  <c r="L42" i="36" s="1"/>
  <c r="K31" i="5"/>
  <c r="K35" i="5" s="1"/>
  <c r="K39" i="5" s="1"/>
  <c r="K33" i="5"/>
  <c r="K36" i="5"/>
  <c r="K40" i="5" s="1"/>
  <c r="L36" i="5"/>
  <c r="L40" i="5" s="1"/>
  <c r="L31" i="5"/>
  <c r="L35" i="5" s="1"/>
  <c r="L39" i="5" s="1"/>
  <c r="L33" i="5"/>
  <c r="L79" i="5" l="1"/>
  <c r="L62" i="5"/>
  <c r="L88" i="5" s="1"/>
  <c r="K81" i="5"/>
  <c r="L81" i="5"/>
  <c r="K61" i="5"/>
  <c r="K87" i="5" s="1"/>
  <c r="K83" i="5"/>
  <c r="L61" i="5"/>
  <c r="L87" i="5" s="1"/>
  <c r="L83" i="5"/>
  <c r="L63" i="5"/>
  <c r="L89" i="5" s="1"/>
  <c r="L85" i="5"/>
  <c r="K63" i="5"/>
  <c r="K89" i="5" s="1"/>
  <c r="K85" i="5"/>
  <c r="K37" i="5"/>
  <c r="K41" i="5" s="1"/>
  <c r="L37" i="5"/>
  <c r="L41"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6" authorId="0" shapeId="0" xr:uid="{C2289F0E-4192-46D9-A399-9F2CA5A16AE6}">
      <text>
        <r>
          <rPr>
            <b/>
            <sz val="9"/>
            <color indexed="81"/>
            <rFont val="Tahoma"/>
            <family val="2"/>
          </rPr>
          <t>Author:</t>
        </r>
        <r>
          <rPr>
            <sz val="9"/>
            <color indexed="81"/>
            <rFont val="Tahoma"/>
            <family val="2"/>
          </rPr>
          <t xml:space="preserve">
for sensitivity assessment, worst gasification and best pyrolysis</t>
        </r>
      </text>
    </comment>
    <comment ref="F6" authorId="0" shapeId="0" xr:uid="{67E81C93-C24B-421B-9443-B7F16D9E8A3D}">
      <text>
        <r>
          <rPr>
            <b/>
            <sz val="9"/>
            <color indexed="81"/>
            <rFont val="Tahoma"/>
            <family val="2"/>
          </rPr>
          <t>Author:</t>
        </r>
        <r>
          <rPr>
            <sz val="9"/>
            <color indexed="81"/>
            <rFont val="Tahoma"/>
            <family val="2"/>
          </rPr>
          <t xml:space="preserve">
for sensitivity assessment, worst gasification and best pyrolysis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52" authorId="0" shapeId="0" xr:uid="{ACAB0DF3-6D63-4E55-9B8D-A9445A77FCAE}">
      <text>
        <r>
          <rPr>
            <b/>
            <sz val="9"/>
            <color indexed="81"/>
            <rFont val="Tahoma"/>
            <family val="2"/>
          </rPr>
          <t>Author:</t>
        </r>
        <r>
          <rPr>
            <sz val="9"/>
            <color indexed="81"/>
            <rFont val="Tahoma"/>
            <family val="2"/>
          </rPr>
          <t xml:space="preserve">
energetic utilization</t>
        </r>
      </text>
    </comment>
    <comment ref="C52" authorId="0" shapeId="0" xr:uid="{6862E915-D910-4A0F-996F-846677EA465D}">
      <text>
        <r>
          <rPr>
            <b/>
            <sz val="9"/>
            <color indexed="81"/>
            <rFont val="Tahoma"/>
            <family val="2"/>
          </rPr>
          <t>Author:</t>
        </r>
        <r>
          <rPr>
            <sz val="9"/>
            <color indexed="81"/>
            <rFont val="Tahoma"/>
            <family val="2"/>
          </rPr>
          <t xml:space="preserve">
incl. naphtha (used as feedstock or fuel)</t>
        </r>
      </text>
    </comment>
    <comment ref="B53" authorId="0" shapeId="0" xr:uid="{2AE35331-FDB2-48CD-B2A4-6B62340C7B61}">
      <text>
        <r>
          <rPr>
            <b/>
            <sz val="9"/>
            <color indexed="81"/>
            <rFont val="Tahoma"/>
            <family val="2"/>
          </rPr>
          <t>Author:</t>
        </r>
        <r>
          <rPr>
            <sz val="9"/>
            <color indexed="81"/>
            <rFont val="Tahoma"/>
            <family val="2"/>
          </rPr>
          <t xml:space="preserve">
energetic utilization</t>
        </r>
      </text>
    </comment>
    <comment ref="C53" authorId="0" shapeId="0" xr:uid="{F2AC3732-DC0B-4272-B77D-C47D9D50809E}">
      <text>
        <r>
          <rPr>
            <b/>
            <sz val="9"/>
            <color indexed="81"/>
            <rFont val="Tahoma"/>
            <family val="2"/>
          </rPr>
          <t>Author:</t>
        </r>
        <r>
          <rPr>
            <sz val="9"/>
            <color indexed="81"/>
            <rFont val="Tahoma"/>
            <family val="2"/>
          </rPr>
          <t xml:space="preserve">
incl. naphtha (used as feedstock or fuel)</t>
        </r>
      </text>
    </comment>
    <comment ref="B54" authorId="0" shapeId="0" xr:uid="{5E781484-6480-4D28-9444-DAFA52F9BC81}">
      <text>
        <r>
          <rPr>
            <b/>
            <sz val="9"/>
            <color indexed="81"/>
            <rFont val="Tahoma"/>
            <family val="2"/>
          </rPr>
          <t>Author:</t>
        </r>
        <r>
          <rPr>
            <sz val="9"/>
            <color indexed="81"/>
            <rFont val="Tahoma"/>
            <family val="2"/>
          </rPr>
          <t xml:space="preserve">
referring to polymer input, including  solvent-reactant resulting in product</t>
        </r>
      </text>
    </comment>
    <comment ref="C54" authorId="0" shapeId="0" xr:uid="{76860CC5-FDCE-42C2-B571-8EB284292E56}">
      <text>
        <r>
          <rPr>
            <b/>
            <sz val="9"/>
            <color indexed="81"/>
            <rFont val="Tahoma"/>
            <family val="2"/>
          </rPr>
          <t>Author:</t>
        </r>
        <r>
          <rPr>
            <sz val="9"/>
            <color indexed="81"/>
            <rFont val="Tahoma"/>
            <family val="2"/>
          </rPr>
          <t xml:space="preserve">
referring to polymer input, including  solvent-reactant resulting in product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52" authorId="0" shapeId="0" xr:uid="{06710603-1E07-4036-9BE5-CACD95814479}">
      <text>
        <r>
          <rPr>
            <b/>
            <sz val="9"/>
            <color indexed="81"/>
            <rFont val="Tahoma"/>
            <family val="2"/>
          </rPr>
          <t>Author:</t>
        </r>
        <r>
          <rPr>
            <sz val="9"/>
            <color indexed="81"/>
            <rFont val="Tahoma"/>
            <family val="2"/>
          </rPr>
          <t xml:space="preserve">
energetic utilization</t>
        </r>
      </text>
    </comment>
    <comment ref="C52" authorId="0" shapeId="0" xr:uid="{AC6C44FA-B8A6-4E42-9726-0563DA7B57AD}">
      <text>
        <r>
          <rPr>
            <b/>
            <sz val="9"/>
            <color indexed="81"/>
            <rFont val="Tahoma"/>
            <family val="2"/>
          </rPr>
          <t>Author:</t>
        </r>
        <r>
          <rPr>
            <sz val="9"/>
            <color indexed="81"/>
            <rFont val="Tahoma"/>
            <family val="2"/>
          </rPr>
          <t xml:space="preserve">
incl. naphtha (used as feedstock or fuel)</t>
        </r>
      </text>
    </comment>
    <comment ref="B53" authorId="0" shapeId="0" xr:uid="{739ACAC2-2071-4F6D-8944-822EB6178E54}">
      <text>
        <r>
          <rPr>
            <b/>
            <sz val="9"/>
            <color indexed="81"/>
            <rFont val="Tahoma"/>
            <family val="2"/>
          </rPr>
          <t>Author:</t>
        </r>
        <r>
          <rPr>
            <sz val="9"/>
            <color indexed="81"/>
            <rFont val="Tahoma"/>
            <family val="2"/>
          </rPr>
          <t xml:space="preserve">
energetic utilization</t>
        </r>
      </text>
    </comment>
    <comment ref="C53" authorId="0" shapeId="0" xr:uid="{D186DF41-C6F8-49ED-A0FF-79121AC65D93}">
      <text>
        <r>
          <rPr>
            <b/>
            <sz val="9"/>
            <color indexed="81"/>
            <rFont val="Tahoma"/>
            <family val="2"/>
          </rPr>
          <t>Author:</t>
        </r>
        <r>
          <rPr>
            <sz val="9"/>
            <color indexed="81"/>
            <rFont val="Tahoma"/>
            <family val="2"/>
          </rPr>
          <t xml:space="preserve">
incl. naphtha (used as feedstock or fuel)</t>
        </r>
      </text>
    </comment>
    <comment ref="B54" authorId="0" shapeId="0" xr:uid="{4BDCA895-2D13-42B6-BED7-CBC83F9CD690}">
      <text>
        <r>
          <rPr>
            <b/>
            <sz val="9"/>
            <color indexed="81"/>
            <rFont val="Tahoma"/>
            <family val="2"/>
          </rPr>
          <t>Author:</t>
        </r>
        <r>
          <rPr>
            <sz val="9"/>
            <color indexed="81"/>
            <rFont val="Tahoma"/>
            <family val="2"/>
          </rPr>
          <t xml:space="preserve">
referring to polymer input, including  solvent-reactant resulting in product</t>
        </r>
      </text>
    </comment>
    <comment ref="C54" authorId="0" shapeId="0" xr:uid="{432A0DBB-0788-41CD-9631-AF62DB149E72}">
      <text>
        <r>
          <rPr>
            <b/>
            <sz val="9"/>
            <color indexed="81"/>
            <rFont val="Tahoma"/>
            <family val="2"/>
          </rPr>
          <t>Author:</t>
        </r>
        <r>
          <rPr>
            <sz val="9"/>
            <color indexed="81"/>
            <rFont val="Tahoma"/>
            <family val="2"/>
          </rPr>
          <t xml:space="preserve">
referring to polymer input, including  solvent-reactant resulting in product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W2" authorId="0" shapeId="0" xr:uid="{FE7CA85E-EBB0-441A-8A4B-A459F5C48F08}">
      <text>
        <r>
          <rPr>
            <sz val="11"/>
            <color theme="1"/>
            <rFont val="Calibri"/>
            <family val="2"/>
            <scheme val="minor"/>
          </rPr>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Composition of the syngas
</t>
        </r>
      </text>
    </comment>
    <comment ref="W3" authorId="0" shapeId="0" xr:uid="{865A3F56-E614-4916-924F-70054FD68B5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Composition of the syngas</t>
        </r>
      </text>
    </comment>
    <comment ref="W4" authorId="0" shapeId="0" xr:uid="{32028E55-A845-4058-8B4D-FFC9D6E440CD}">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Composition for syngas</t>
        </r>
      </text>
    </comment>
    <comment ref="AP6" authorId="0" shapeId="0" xr:uid="{6524C324-98FA-4A5C-A9A0-90392455B5C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Gas yield increases with increasing ER, whereas the char and tar yield decreases.</t>
        </r>
      </text>
    </comment>
    <comment ref="D14" authorId="0" shapeId="0" xr:uid="{C8ACE8C4-BD0B-4590-A1F4-DBD5C6A79939}">
      <text>
        <r>
          <rPr>
            <b/>
            <sz val="10"/>
            <color rgb="FF000000"/>
            <rFont val="Tahoma"/>
            <family val="2"/>
          </rPr>
          <t>Author:</t>
        </r>
        <r>
          <rPr>
            <sz val="10"/>
            <color rgb="FF000000"/>
            <rFont val="Tahoma"/>
            <family val="2"/>
          </rPr>
          <t xml:space="preserve">
Two-stage gasification
Lower reactor: fluidized bed reactor
upper reactor: fixed bed reactor</t>
        </r>
      </text>
    </comment>
    <comment ref="I14" authorId="0" shapeId="0" xr:uid="{2B841CCB-80A7-4552-9D15-BFC391128E8C}">
      <text>
        <r>
          <rPr>
            <b/>
            <sz val="10"/>
            <color rgb="FF000000"/>
            <rFont val="Tahoma"/>
            <family val="2"/>
          </rPr>
          <t>Author:</t>
        </r>
        <r>
          <rPr>
            <sz val="10"/>
            <color rgb="FF000000"/>
            <rFont val="Tahoma"/>
            <family val="2"/>
          </rPr>
          <t xml:space="preserve">
Upper reactor: 804°C
lower reactor: 811°C</t>
        </r>
      </text>
    </comment>
    <comment ref="D15" authorId="0" shapeId="0" xr:uid="{F0925D20-926B-4F0F-84FB-D0F30292632B}">
      <text>
        <r>
          <rPr>
            <b/>
            <sz val="10"/>
            <color rgb="FF000000"/>
            <rFont val="Tahoma"/>
            <family val="2"/>
          </rPr>
          <t>Author:</t>
        </r>
        <r>
          <rPr>
            <sz val="10"/>
            <color rgb="FF000000"/>
            <rFont val="Tahoma"/>
            <family val="2"/>
          </rPr>
          <t xml:space="preserve">
Two-stage gasification
Lower reactor: fluidized bed reactor
upper reactor: fixed bed reactor
</t>
        </r>
      </text>
    </comment>
    <comment ref="I15" authorId="0" shapeId="0" xr:uid="{4281BAA1-629F-4083-805A-673CBE95F493}">
      <text>
        <r>
          <rPr>
            <b/>
            <sz val="10"/>
            <color rgb="FF000000"/>
            <rFont val="Tahoma"/>
            <family val="2"/>
          </rPr>
          <t>Author:</t>
        </r>
        <r>
          <rPr>
            <sz val="10"/>
            <color rgb="FF000000"/>
            <rFont val="Tahoma"/>
            <family val="2"/>
          </rPr>
          <t xml:space="preserve">
upper reactor temperature: 807°C</t>
        </r>
      </text>
    </comment>
    <comment ref="D16" authorId="0" shapeId="0" xr:uid="{3C36338E-F162-4674-8E36-8F1F3C000976}">
      <text>
        <r>
          <rPr>
            <b/>
            <sz val="10"/>
            <color rgb="FF000000"/>
            <rFont val="Tahoma"/>
            <family val="2"/>
          </rPr>
          <t>Author:</t>
        </r>
        <r>
          <rPr>
            <sz val="10"/>
            <color rgb="FF000000"/>
            <rFont val="Tahoma"/>
            <family val="2"/>
          </rPr>
          <t xml:space="preserve">
Two-stage gasification
Lower reactor: fluidized bed reactor
upper reactor: fixed bed reactor
</t>
        </r>
      </text>
    </comment>
    <comment ref="F16" authorId="0" shapeId="0" xr:uid="{85B6D7EF-35FD-4B00-A146-4AFEC1E725A5}">
      <text>
        <r>
          <rPr>
            <b/>
            <sz val="10"/>
            <color rgb="FF000000"/>
            <rFont val="Tahoma"/>
            <family val="2"/>
          </rPr>
          <t>Author:</t>
        </r>
        <r>
          <rPr>
            <sz val="10"/>
            <color rgb="FF000000"/>
            <rFont val="Tahoma"/>
            <family val="2"/>
          </rPr>
          <t xml:space="preserve">
300g activated carbon
specific surface area: 1020 m2/g</t>
        </r>
      </text>
    </comment>
    <comment ref="I16" authorId="0" shapeId="0" xr:uid="{FD7947BA-540F-459F-BD22-5212FB7B0103}">
      <text>
        <r>
          <rPr>
            <b/>
            <sz val="10"/>
            <color rgb="FF000000"/>
            <rFont val="Tahoma"/>
            <family val="2"/>
          </rPr>
          <t>Author:</t>
        </r>
        <r>
          <rPr>
            <sz val="10"/>
            <color rgb="FF000000"/>
            <rFont val="Tahoma"/>
            <family val="2"/>
          </rPr>
          <t xml:space="preserve">
Upper reactor temperature: 802°C</t>
        </r>
      </text>
    </comment>
    <comment ref="D17" authorId="0" shapeId="0" xr:uid="{84F6D78E-E1B4-469A-A89F-FA2DD6F40C65}">
      <text>
        <r>
          <rPr>
            <b/>
            <sz val="10"/>
            <color rgb="FF000000"/>
            <rFont val="Tahoma"/>
            <family val="2"/>
          </rPr>
          <t>Author:</t>
        </r>
        <r>
          <rPr>
            <sz val="10"/>
            <color rgb="FF000000"/>
            <rFont val="Tahoma"/>
            <family val="2"/>
          </rPr>
          <t xml:space="preserve">
Two-stage gasification
Lower reactor: fluidized bed reactor
upper reactor: fixed bed reactor
</t>
        </r>
      </text>
    </comment>
    <comment ref="F17" authorId="0" shapeId="0" xr:uid="{5E16498D-3950-4653-BE74-75BCDC49E807}">
      <text>
        <r>
          <rPr>
            <b/>
            <sz val="10"/>
            <color rgb="FF000000"/>
            <rFont val="Tahoma"/>
            <family val="2"/>
          </rPr>
          <t>Author:</t>
        </r>
        <r>
          <rPr>
            <sz val="10"/>
            <color rgb="FF000000"/>
            <rFont val="Tahoma"/>
            <family val="2"/>
          </rPr>
          <t xml:space="preserve">
900g activated carbon
specific surface area: 1020 m2/g</t>
        </r>
      </text>
    </comment>
    <comment ref="I17" authorId="0" shapeId="0" xr:uid="{759EC7B1-A509-45CA-A9D7-877C0085933A}">
      <text>
        <r>
          <rPr>
            <b/>
            <sz val="10"/>
            <color rgb="FF000000"/>
            <rFont val="Tahoma"/>
            <family val="2"/>
          </rPr>
          <t>Author:</t>
        </r>
        <r>
          <rPr>
            <sz val="10"/>
            <color rgb="FF000000"/>
            <rFont val="Tahoma"/>
            <family val="2"/>
          </rPr>
          <t xml:space="preserve">
upper reactor temperature: 810°C</t>
        </r>
      </text>
    </comment>
    <comment ref="D18" authorId="0" shapeId="0" xr:uid="{21B3F6B7-94C6-487D-991F-07365E123D49}">
      <text>
        <r>
          <rPr>
            <b/>
            <sz val="10"/>
            <color rgb="FF000000"/>
            <rFont val="Tahoma"/>
            <family val="2"/>
          </rPr>
          <t>Author:</t>
        </r>
        <r>
          <rPr>
            <sz val="10"/>
            <color rgb="FF000000"/>
            <rFont val="Tahoma"/>
            <family val="2"/>
          </rPr>
          <t xml:space="preserve">
Two-stage gasification
Lower reactor: fluidized bed reactor
upper reactor: filled with activated carbon or dolomite</t>
        </r>
      </text>
    </comment>
    <comment ref="I18" authorId="0" shapeId="0" xr:uid="{6B00E6A4-4C63-499C-BD2B-FE1FB8DF87AF}">
      <text>
        <r>
          <rPr>
            <b/>
            <sz val="10"/>
            <color rgb="FF000000"/>
            <rFont val="Tahoma"/>
            <family val="2"/>
          </rPr>
          <t>Author:</t>
        </r>
        <r>
          <rPr>
            <sz val="10"/>
            <color rgb="FF000000"/>
            <rFont val="Tahoma"/>
            <family val="2"/>
          </rPr>
          <t xml:space="preserve">
upper reactor temperature: 798°C</t>
        </r>
      </text>
    </comment>
    <comment ref="D19" authorId="0" shapeId="0" xr:uid="{94C7E486-B286-4709-A832-B683E9A7810F}">
      <text>
        <r>
          <rPr>
            <b/>
            <sz val="10"/>
            <color rgb="FF000000"/>
            <rFont val="Tahoma"/>
            <family val="2"/>
          </rPr>
          <t>Author:</t>
        </r>
        <r>
          <rPr>
            <sz val="10"/>
            <color rgb="FF000000"/>
            <rFont val="Tahoma"/>
            <family val="2"/>
          </rPr>
          <t xml:space="preserve">
Two-stage gasification
Lower reactor: fluidized bed reactor
upper reactor: filled with activated carbon or dolomite
</t>
        </r>
      </text>
    </comment>
    <comment ref="F19" authorId="0" shapeId="0" xr:uid="{165A3D3A-8891-4503-A7A3-406748890C70}">
      <text>
        <r>
          <rPr>
            <b/>
            <sz val="10"/>
            <color rgb="FF000000"/>
            <rFont val="Tahoma"/>
            <family val="2"/>
          </rPr>
          <t>Author:</t>
        </r>
        <r>
          <rPr>
            <sz val="10"/>
            <color rgb="FF000000"/>
            <rFont val="Tahoma"/>
            <family val="2"/>
          </rPr>
          <t xml:space="preserve">
430 g activated carbon
specific surface area: 950 m2/g</t>
        </r>
      </text>
    </comment>
    <comment ref="I19" authorId="0" shapeId="0" xr:uid="{8B5CF7D5-F23F-4718-8F04-8ABBA78AC8FD}">
      <text>
        <r>
          <rPr>
            <b/>
            <sz val="10"/>
            <color rgb="FF000000"/>
            <rFont val="Tahoma"/>
            <family val="2"/>
          </rPr>
          <t>Author:</t>
        </r>
        <r>
          <rPr>
            <sz val="10"/>
            <color rgb="FF000000"/>
            <rFont val="Tahoma"/>
            <family val="2"/>
          </rPr>
          <t xml:space="preserve">
upper reactor temperature: 806°C</t>
        </r>
      </text>
    </comment>
    <comment ref="D20" authorId="0" shapeId="0" xr:uid="{97DCD71C-D61B-43A1-BB35-0DC3B33E6FE6}">
      <text>
        <r>
          <rPr>
            <b/>
            <sz val="10"/>
            <color rgb="FF000000"/>
            <rFont val="Tahoma"/>
            <family val="2"/>
          </rPr>
          <t>Author:</t>
        </r>
        <r>
          <rPr>
            <sz val="10"/>
            <color rgb="FF000000"/>
            <rFont val="Tahoma"/>
            <family val="2"/>
          </rPr>
          <t xml:space="preserve">
Two-stage gasification
Lower reactor: fluidized bed reactor
upper reactor: filled with activated carbon or dolomite
</t>
        </r>
      </text>
    </comment>
    <comment ref="F20" authorId="0" shapeId="0" xr:uid="{A22CC3B7-9E22-4A0E-A793-6C24A03CC794}">
      <text>
        <r>
          <rPr>
            <b/>
            <sz val="10"/>
            <color rgb="FF000000"/>
            <rFont val="Tahoma"/>
            <family val="2"/>
          </rPr>
          <t>Author:</t>
        </r>
        <r>
          <rPr>
            <sz val="10"/>
            <color rgb="FF000000"/>
            <rFont val="Tahoma"/>
            <family val="2"/>
          </rPr>
          <t xml:space="preserve">
430 g dolomite</t>
        </r>
      </text>
    </comment>
    <comment ref="I20" authorId="0" shapeId="0" xr:uid="{3025EFDB-1517-43D6-8141-DE9229CDA68F}">
      <text>
        <r>
          <rPr>
            <b/>
            <sz val="10"/>
            <color rgb="FF000000"/>
            <rFont val="Tahoma"/>
            <family val="2"/>
          </rPr>
          <t>Author:</t>
        </r>
        <r>
          <rPr>
            <sz val="10"/>
            <color rgb="FF000000"/>
            <rFont val="Tahoma"/>
            <family val="2"/>
          </rPr>
          <t xml:space="preserve">
upper reactor temperature: 800°C</t>
        </r>
      </text>
    </comment>
    <comment ref="D21" authorId="0" shapeId="0" xr:uid="{730054FB-8E27-40BE-B365-76871734309D}">
      <text>
        <r>
          <rPr>
            <b/>
            <sz val="10"/>
            <color rgb="FF000000"/>
            <rFont val="Tahoma"/>
            <family val="2"/>
          </rPr>
          <t>Author:</t>
        </r>
        <r>
          <rPr>
            <sz val="10"/>
            <color rgb="FF000000"/>
            <rFont val="Tahoma"/>
            <family val="2"/>
          </rPr>
          <t xml:space="preserve">
Two-stage gasification.
Lower reactor: fluidizing bed 
Upper reactor: fixed bed</t>
        </r>
      </text>
    </comment>
    <comment ref="F21" authorId="0" shapeId="0" xr:uid="{503F52FF-2846-4723-A02C-E5DBABD3C361}">
      <text>
        <r>
          <rPr>
            <b/>
            <sz val="10"/>
            <color rgb="FF000000"/>
            <rFont val="Tahoma"/>
            <family val="2"/>
          </rPr>
          <t>Author:</t>
        </r>
        <r>
          <rPr>
            <sz val="10"/>
            <color rgb="FF000000"/>
            <rFont val="Tahoma"/>
            <family val="2"/>
          </rPr>
          <t xml:space="preserve">
1500g calcined dolomite</t>
        </r>
      </text>
    </comment>
    <comment ref="I21" authorId="0" shapeId="0" xr:uid="{9CC21A6E-15A0-416B-A3A1-F5779093C02F}">
      <text>
        <r>
          <rPr>
            <b/>
            <sz val="10"/>
            <color rgb="FF000000"/>
            <rFont val="Tahoma"/>
            <family val="2"/>
          </rPr>
          <t>Author:</t>
        </r>
        <r>
          <rPr>
            <sz val="10"/>
            <color rgb="FF000000"/>
            <rFont val="Tahoma"/>
            <family val="2"/>
          </rPr>
          <t xml:space="preserve">
upper reactor temperature: 799°C</t>
        </r>
      </text>
    </comment>
    <comment ref="D22" authorId="0" shapeId="0" xr:uid="{90390C85-A76E-40F6-BAD0-24C0B70D69D7}">
      <text>
        <r>
          <rPr>
            <b/>
            <sz val="10"/>
            <color rgb="FF000000"/>
            <rFont val="Tahoma"/>
            <family val="2"/>
          </rPr>
          <t>Author:</t>
        </r>
        <r>
          <rPr>
            <sz val="10"/>
            <color rgb="FF000000"/>
            <rFont val="Tahoma"/>
            <family val="2"/>
          </rPr>
          <t xml:space="preserve">
Two-stage gasification.
Lower reactor: fluidizing bed 
Upper reactor: fixed bed
</t>
        </r>
      </text>
    </comment>
    <comment ref="F22" authorId="0" shapeId="0" xr:uid="{18B63209-3DF5-45C7-B443-C9B6308BD975}">
      <text>
        <r>
          <rPr>
            <b/>
            <sz val="10"/>
            <color rgb="FF000000"/>
            <rFont val="Tahoma"/>
            <family val="2"/>
          </rPr>
          <t>Author:</t>
        </r>
        <r>
          <rPr>
            <sz val="10"/>
            <color rgb="FF000000"/>
            <rFont val="Tahoma"/>
            <family val="2"/>
          </rPr>
          <t xml:space="preserve">
900g activated carbon and 600g calcined dolomite</t>
        </r>
      </text>
    </comment>
    <comment ref="I22" authorId="0" shapeId="0" xr:uid="{D6575E70-D81C-4070-8202-058D99450FC9}">
      <text>
        <r>
          <rPr>
            <b/>
            <sz val="10"/>
            <color rgb="FF000000"/>
            <rFont val="Tahoma"/>
            <family val="2"/>
          </rPr>
          <t>Author:</t>
        </r>
        <r>
          <rPr>
            <sz val="10"/>
            <color rgb="FF000000"/>
            <rFont val="Tahoma"/>
            <family val="2"/>
          </rPr>
          <t xml:space="preserve">
upper reactor temperature: 795°C</t>
        </r>
      </text>
    </comment>
    <comment ref="D23" authorId="0" shapeId="0" xr:uid="{1329A745-68FB-4DF7-B652-0FCE871969FA}">
      <text>
        <r>
          <rPr>
            <b/>
            <sz val="10"/>
            <color rgb="FF000000"/>
            <rFont val="Tahoma"/>
            <family val="2"/>
          </rPr>
          <t>Author:</t>
        </r>
        <r>
          <rPr>
            <sz val="10"/>
            <color rgb="FF000000"/>
            <rFont val="Tahoma"/>
            <family val="2"/>
          </rPr>
          <t xml:space="preserve">
Two-stage gasification.
Lower reactor: fluidizing bed 
Upper reactor: fixed bed
</t>
        </r>
      </text>
    </comment>
    <comment ref="I23" authorId="0" shapeId="0" xr:uid="{2A640824-286C-4A51-8542-1BE87B6D65AB}">
      <text>
        <r>
          <rPr>
            <b/>
            <sz val="10"/>
            <color rgb="FF000000"/>
            <rFont val="Tahoma"/>
            <family val="2"/>
          </rPr>
          <t>Author:</t>
        </r>
        <r>
          <rPr>
            <sz val="10"/>
            <color rgb="FF000000"/>
            <rFont val="Tahoma"/>
            <family val="2"/>
          </rPr>
          <t xml:space="preserve">
upper reactor temperature: 797°C</t>
        </r>
      </text>
    </comment>
    <comment ref="AN24" authorId="0" shapeId="0" xr:uid="{FC814DE0-C209-48C6-8300-0B5ABF3F23EA}">
      <text>
        <r>
          <rPr>
            <b/>
            <sz val="10"/>
            <color rgb="FF000000"/>
            <rFont val="Tahoma"/>
            <family val="2"/>
          </rPr>
          <t>Author:</t>
        </r>
        <r>
          <rPr>
            <sz val="10"/>
            <color rgb="FF000000"/>
            <rFont val="Tahoma"/>
            <family val="2"/>
          </rPr>
          <t xml:space="preserve">
Gas treatments contains a cyclone and  a catridge filter (for fly ash, tar and acid/basic gas removal)  </t>
        </r>
      </text>
    </comment>
    <comment ref="G25" authorId="0" shapeId="0" xr:uid="{B4513E8C-BD2A-4EF2-A5EB-89789BC4829A}">
      <text>
        <r>
          <rPr>
            <b/>
            <sz val="10"/>
            <color rgb="FF000000"/>
            <rFont val="Tahoma"/>
            <family val="2"/>
          </rPr>
          <t>Author:</t>
        </r>
        <r>
          <rPr>
            <sz val="10"/>
            <color rgb="FF000000"/>
            <rFont val="Tahoma"/>
            <family val="2"/>
          </rPr>
          <t xml:space="preserve">
80% mixed plastics and 20% wood</t>
        </r>
      </text>
    </comment>
    <comment ref="AN25" authorId="0" shapeId="0" xr:uid="{77DBA4F9-A734-4E22-8B57-106CF5950525}">
      <text>
        <r>
          <rPr>
            <b/>
            <sz val="10"/>
            <color rgb="FF000000"/>
            <rFont val="Tahoma"/>
            <family val="2"/>
          </rPr>
          <t>Author:</t>
        </r>
        <r>
          <rPr>
            <sz val="10"/>
            <color rgb="FF000000"/>
            <rFont val="Tahoma"/>
            <family val="2"/>
          </rPr>
          <t xml:space="preserve">
Gas treatments contains a cyclone and  a catridge filter (for fly ash, tar and acid/basic gas removal)  
</t>
        </r>
      </text>
    </comment>
    <comment ref="F31" authorId="0" shapeId="0" xr:uid="{FCB1EB0B-4E26-421E-977F-A535E4813E3A}">
      <text>
        <r>
          <rPr>
            <b/>
            <sz val="10"/>
            <color rgb="FF000000"/>
            <rFont val="Tahoma"/>
            <family val="2"/>
          </rPr>
          <t>Author:</t>
        </r>
        <r>
          <rPr>
            <sz val="10"/>
            <color rgb="FF000000"/>
            <rFont val="Tahoma"/>
            <family val="2"/>
          </rPr>
          <t xml:space="preserve">
10% oyster shell catalyst</t>
        </r>
      </text>
    </comment>
    <comment ref="F33" authorId="0" shapeId="0" xr:uid="{CB1A6142-7611-4F7B-9B62-FC8EFD6D7EB6}">
      <text>
        <r>
          <rPr>
            <b/>
            <sz val="10"/>
            <color rgb="FF000000"/>
            <rFont val="Tahoma"/>
            <family val="2"/>
          </rPr>
          <t>Author:</t>
        </r>
        <r>
          <rPr>
            <sz val="10"/>
            <color rgb="FF000000"/>
            <rFont val="Tahoma"/>
            <family val="2"/>
          </rPr>
          <t xml:space="preserve">
10% oyster shell catalyst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F25" authorId="0" shapeId="0" xr:uid="{09587744-B432-4178-BB3E-BCEEEF858C83}">
      <text>
        <r>
          <rPr>
            <b/>
            <sz val="9"/>
            <color indexed="81"/>
            <rFont val="Tahoma"/>
            <family val="2"/>
          </rPr>
          <t>Author:</t>
        </r>
        <r>
          <rPr>
            <sz val="9"/>
            <color indexed="81"/>
            <rFont val="Tahoma"/>
            <family val="2"/>
          </rPr>
          <t xml:space="preserve">
assumed same as for fossil, but would actually be lower</t>
        </r>
      </text>
    </comment>
    <comment ref="B45" authorId="0" shapeId="0" xr:uid="{B3609F8D-B414-4470-AFF3-16B5088737BE}">
      <text>
        <r>
          <rPr>
            <b/>
            <sz val="9"/>
            <color indexed="81"/>
            <rFont val="Tahoma"/>
            <family val="2"/>
          </rPr>
          <t>Author:</t>
        </r>
        <r>
          <rPr>
            <sz val="9"/>
            <color indexed="81"/>
            <rFont val="Tahoma"/>
            <family val="2"/>
          </rPr>
          <t xml:space="preserve">
same value assumed for renewable because comparatively small</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H13" authorId="0" shapeId="0" xr:uid="{BB2BF294-BA95-449B-A229-8B9A6C1B87C6}">
      <text>
        <r>
          <rPr>
            <b/>
            <sz val="9"/>
            <color indexed="81"/>
            <rFont val="Tahoma"/>
            <family val="2"/>
          </rPr>
          <t>Author:</t>
        </r>
        <r>
          <rPr>
            <sz val="9"/>
            <color indexed="81"/>
            <rFont val="Tahoma"/>
            <family val="2"/>
          </rPr>
          <t xml:space="preserve">
shares similar as for PE, PP and PS from simulation</t>
        </r>
      </text>
    </comment>
    <comment ref="J13" authorId="0" shapeId="0" xr:uid="{6D829787-F220-45D5-8786-F59BD1F74BDC}">
      <text>
        <r>
          <rPr>
            <b/>
            <sz val="9"/>
            <color indexed="81"/>
            <rFont val="Tahoma"/>
            <family val="2"/>
          </rPr>
          <t>Author:</t>
        </r>
        <r>
          <rPr>
            <sz val="9"/>
            <color indexed="81"/>
            <rFont val="Tahoma"/>
            <family val="2"/>
          </rPr>
          <t xml:space="preserve">
similar to composition for PET from simulation</t>
        </r>
      </text>
    </comment>
    <comment ref="B18" authorId="0" shapeId="0" xr:uid="{EE373216-B635-4E06-809A-793764141EB0}">
      <text>
        <r>
          <rPr>
            <b/>
            <sz val="9"/>
            <color indexed="81"/>
            <rFont val="Tahoma"/>
            <family val="2"/>
          </rPr>
          <t>Author:</t>
        </r>
        <r>
          <rPr>
            <sz val="9"/>
            <color indexed="81"/>
            <rFont val="Tahoma"/>
            <family val="2"/>
          </rPr>
          <t xml:space="preserve">
C2-C4: ethan, ethene, ethine, propane, butane; benzene
alternative production impacts approximated with natural gas
assumed  present due to incomplete reaction</t>
        </r>
      </text>
    </comment>
    <comment ref="E18" authorId="0" shapeId="0" xr:uid="{35A1218D-221A-4D91-B818-744A8503DE01}">
      <text>
        <r>
          <rPr>
            <b/>
            <sz val="9"/>
            <color indexed="81"/>
            <rFont val="Tahoma"/>
            <family val="2"/>
          </rPr>
          <t>Author:</t>
        </r>
        <r>
          <rPr>
            <sz val="9"/>
            <color indexed="81"/>
            <rFont val="Tahoma"/>
            <family val="2"/>
          </rPr>
          <t xml:space="preserve">
approximated with ethane</t>
        </r>
      </text>
    </comment>
    <comment ref="C20" authorId="0" shapeId="0" xr:uid="{872D58C3-7681-41E7-AA1C-D35D09186BF4}">
      <text>
        <r>
          <rPr>
            <b/>
            <sz val="9"/>
            <color indexed="81"/>
            <rFont val="Tahoma"/>
            <family val="2"/>
          </rPr>
          <t>Author:</t>
        </r>
        <r>
          <rPr>
            <sz val="9"/>
            <color indexed="81"/>
            <rFont val="Tahoma"/>
            <family val="2"/>
          </rPr>
          <t xml:space="preserve">
if 0 instead, this leads to an intermediate credit value of 1.45 and intermediate net impact value of 0.64</t>
        </r>
      </text>
    </comment>
    <comment ref="D20" authorId="0" shapeId="0" xr:uid="{761660F3-9B87-4DC7-A044-A9E72FB17585}">
      <text>
        <r>
          <rPr>
            <b/>
            <sz val="9"/>
            <color indexed="81"/>
            <rFont val="Tahoma"/>
            <family val="2"/>
          </rPr>
          <t>Author:</t>
        </r>
        <r>
          <rPr>
            <sz val="9"/>
            <color indexed="81"/>
            <rFont val="Tahoma"/>
            <family val="2"/>
          </rPr>
          <t xml:space="preserve">
if 0 instead, this leads to an intermediate credit value of 0.40 and intermediate net impact value of 0.24</t>
        </r>
      </text>
    </comment>
    <comment ref="B34" authorId="0" shapeId="0" xr:uid="{644ED3DD-C074-473F-A33C-E324586917E8}">
      <text>
        <r>
          <rPr>
            <b/>
            <sz val="9"/>
            <color indexed="81"/>
            <rFont val="Tahoma"/>
            <family val="2"/>
          </rPr>
          <t>Author:</t>
        </r>
        <r>
          <rPr>
            <sz val="9"/>
            <color indexed="81"/>
            <rFont val="Tahoma"/>
            <family val="2"/>
          </rPr>
          <t xml:space="preserve">
1-ring components, acenaphthylene, 2-ring components, phenanthrene, 3-ring components, potentially other components not explicitly mentioned in reviewed literature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V2" authorId="0" shapeId="0" xr:uid="{41E8C29F-453F-4D1D-86C4-E482C44465C8}">
      <text>
        <r>
          <rPr>
            <b/>
            <sz val="10"/>
            <color rgb="FF000000"/>
            <rFont val="Tahoma"/>
            <family val="2"/>
          </rPr>
          <t>Author:</t>
        </r>
        <r>
          <rPr>
            <sz val="10"/>
            <color rgb="FF000000"/>
            <rFont val="Tahoma"/>
            <family val="2"/>
          </rPr>
          <t xml:space="preserve">
At T below 700°C the amount of aliphatics is predominant.</t>
        </r>
      </text>
    </comment>
    <comment ref="R3" authorId="0" shapeId="0" xr:uid="{5BA4F4B6-1A8A-4880-A883-B22B9DB331FA}">
      <text>
        <r>
          <rPr>
            <b/>
            <sz val="10"/>
            <color rgb="FF000000"/>
            <rFont val="Tahoma"/>
            <family val="2"/>
          </rPr>
          <t>Author:</t>
        </r>
        <r>
          <rPr>
            <sz val="10"/>
            <color rgb="FF000000"/>
            <rFont val="Tahoma"/>
            <family val="2"/>
          </rPr>
          <t xml:space="preserve">
At higher T, gaseous content is predominant.</t>
        </r>
      </text>
    </comment>
    <comment ref="V3" authorId="0" shapeId="0" xr:uid="{781750EF-6E3F-4CCC-A1D7-7807DA8B79EF}">
      <text>
        <r>
          <rPr>
            <b/>
            <sz val="10"/>
            <color rgb="FF000000"/>
            <rFont val="Tahoma"/>
            <family val="2"/>
          </rPr>
          <t>Author:</t>
        </r>
        <r>
          <rPr>
            <sz val="10"/>
            <color rgb="FF000000"/>
            <rFont val="Tahoma"/>
            <family val="2"/>
          </rPr>
          <t xml:space="preserve">
At higher T, the liquid compounds consist mainly out of aromatics.</t>
        </r>
      </text>
    </comment>
    <comment ref="F16" authorId="0" shapeId="0" xr:uid="{4A606A84-470C-4E09-9E5C-44D1E71EEC0F}">
      <text>
        <r>
          <rPr>
            <b/>
            <sz val="10"/>
            <color rgb="FF000000"/>
            <rFont val="Tahoma"/>
            <family val="2"/>
          </rPr>
          <t>Author:</t>
        </r>
        <r>
          <rPr>
            <sz val="10"/>
            <color rgb="FF000000"/>
            <rFont val="Tahoma"/>
            <family val="2"/>
          </rPr>
          <t xml:space="preserve">
from separation plant in Spain, same plant as in Adrados et al. (2012)</t>
        </r>
      </text>
    </comment>
    <comment ref="F17" authorId="0" shapeId="0" xr:uid="{72D04763-A999-4394-BF22-789519BED8EF}">
      <text>
        <r>
          <rPr>
            <b/>
            <sz val="10"/>
            <color rgb="FF000000"/>
            <rFont val="Tahoma"/>
            <family val="2"/>
          </rPr>
          <t>Author:</t>
        </r>
        <r>
          <rPr>
            <sz val="10"/>
            <color rgb="FF000000"/>
            <rFont val="Tahoma"/>
            <family val="2"/>
          </rPr>
          <t xml:space="preserve">
from separation plant in Spain, same plant as in Lopez et al. (2010)</t>
        </r>
      </text>
    </comment>
    <comment ref="W17" authorId="0" shapeId="0" xr:uid="{7F7E82AA-16CA-4067-94DA-7E5A6E895F63}">
      <text>
        <r>
          <rPr>
            <b/>
            <sz val="10"/>
            <color rgb="FF000000"/>
            <rFont val="Tahoma"/>
            <family val="2"/>
          </rPr>
          <t>Author:</t>
        </r>
        <r>
          <rPr>
            <sz val="10"/>
            <color rgb="FF000000"/>
            <rFont val="Tahoma"/>
            <family val="2"/>
          </rPr>
          <t xml:space="preserve">
more CO and CO2 due to higher content of oxygen-containing material
more light hydrocarbons, due to more efficient cracking due to inorganic materials</t>
        </r>
      </text>
    </comment>
    <comment ref="X17" authorId="0" shapeId="0" xr:uid="{5E09446B-327E-4629-9366-E84C652809E8}">
      <text>
        <r>
          <rPr>
            <b/>
            <sz val="10"/>
            <color rgb="FF000000"/>
            <rFont val="Tahoma"/>
            <family val="2"/>
          </rPr>
          <t>Author:</t>
        </r>
        <r>
          <rPr>
            <sz val="10"/>
            <color rgb="FF000000"/>
            <rFont val="Tahoma"/>
            <family val="2"/>
          </rPr>
          <t xml:space="preserve">
high ash content due to inorganics in the feedstock</t>
        </r>
      </text>
    </comment>
    <comment ref="F18" authorId="0" shapeId="0" xr:uid="{1C846E48-7BA7-40F7-905F-082DDB3CE2EC}">
      <text>
        <r>
          <rPr>
            <b/>
            <sz val="10"/>
            <color rgb="FF000000"/>
            <rFont val="Tahoma"/>
            <family val="2"/>
          </rPr>
          <t>Author:</t>
        </r>
        <r>
          <rPr>
            <sz val="10"/>
            <color rgb="FF000000"/>
            <rFont val="Tahoma"/>
            <family val="2"/>
          </rPr>
          <t xml:space="preserve">
simulated mixed plastic sample based on the plastic content of the real sample above</t>
        </r>
      </text>
    </comment>
    <comment ref="W21" authorId="0" shapeId="0" xr:uid="{976C2D4D-A470-4A36-A00C-A4087B639FA9}">
      <text>
        <r>
          <rPr>
            <b/>
            <sz val="10"/>
            <color rgb="FF000000"/>
            <rFont val="Tahoma"/>
            <family val="2"/>
          </rPr>
          <t>Author:</t>
        </r>
        <r>
          <rPr>
            <sz val="10"/>
            <color rgb="FF000000"/>
            <rFont val="Tahoma"/>
            <family val="2"/>
          </rPr>
          <t xml:space="preserve">
CO content lower, due to less paper in feedstock</t>
        </r>
      </text>
    </comment>
    <comment ref="F23" authorId="0" shapeId="0" xr:uid="{F3FC0CFE-8DAF-407E-9C11-CCA8EDB60F48}">
      <text>
        <r>
          <rPr>
            <b/>
            <sz val="10"/>
            <color rgb="FF000000"/>
            <rFont val="Tahoma"/>
            <family val="2"/>
          </rPr>
          <t>Author:</t>
        </r>
        <r>
          <rPr>
            <sz val="10"/>
            <color rgb="FF000000"/>
            <rFont val="Tahoma"/>
            <family val="2"/>
          </rPr>
          <t xml:space="preserve">
real sample from Sapporo, Japan</t>
        </r>
      </text>
    </comment>
    <comment ref="R25" authorId="0" shapeId="0" xr:uid="{7F3A89D4-6ABF-418B-98B3-9C452C8856F0}">
      <text>
        <r>
          <rPr>
            <b/>
            <sz val="10"/>
            <color rgb="FF000000"/>
            <rFont val="Tahoma"/>
            <family val="2"/>
          </rPr>
          <t>Author:</t>
        </r>
        <r>
          <rPr>
            <sz val="10"/>
            <color rgb="FF000000"/>
            <rFont val="Tahoma"/>
            <family val="2"/>
          </rPr>
          <t xml:space="preserve">
If the feedstock contains PET, the liquid yield decreases</t>
        </r>
      </text>
    </comment>
    <comment ref="F26" authorId="0" shapeId="0" xr:uid="{12071C15-A5EA-4CA6-9946-D38E36759810}">
      <text>
        <r>
          <rPr>
            <b/>
            <sz val="10"/>
            <color rgb="FF000000"/>
            <rFont val="Tahoma"/>
            <family val="2"/>
          </rPr>
          <t>Author:</t>
        </r>
        <r>
          <rPr>
            <sz val="10"/>
            <color rgb="FF000000"/>
            <rFont val="Tahoma"/>
            <family val="2"/>
          </rPr>
          <t xml:space="preserve">
Feedstock composition is based on the MPW  in Europe</t>
        </r>
      </text>
    </comment>
    <comment ref="F31" authorId="0" shapeId="0" xr:uid="{3FFC2D14-10F6-4EF0-8E8C-6256E846FB7E}">
      <text>
        <r>
          <rPr>
            <b/>
            <sz val="10"/>
            <color rgb="FF000000"/>
            <rFont val="Tahoma"/>
            <family val="2"/>
          </rPr>
          <t>Author:</t>
        </r>
        <r>
          <rPr>
            <sz val="10"/>
            <color rgb="FF000000"/>
            <rFont val="Tahoma"/>
            <family val="2"/>
          </rPr>
          <t xml:space="preserve">
mainly ABS</t>
        </r>
      </text>
    </comment>
    <comment ref="F32" authorId="0" shapeId="0" xr:uid="{8F82568F-7C9C-47FD-B2C7-3326035531AF}">
      <text>
        <r>
          <rPr>
            <b/>
            <sz val="10"/>
            <color rgb="FF000000"/>
            <rFont val="Tahoma"/>
            <family val="2"/>
          </rPr>
          <t>Author:</t>
        </r>
        <r>
          <rPr>
            <sz val="10"/>
            <color rgb="FF000000"/>
            <rFont val="Tahoma"/>
            <family val="2"/>
          </rPr>
          <t xml:space="preserve">
mainly ABS, PC</t>
        </r>
      </text>
    </comment>
    <comment ref="F33" authorId="0" shapeId="0" xr:uid="{02608DC0-A58D-48D6-9B75-B8F60F668BA9}">
      <text>
        <r>
          <rPr>
            <b/>
            <sz val="10"/>
            <color rgb="FF000000"/>
            <rFont val="Tahoma"/>
            <family val="2"/>
          </rPr>
          <t>Author:</t>
        </r>
        <r>
          <rPr>
            <sz val="10"/>
            <color rgb="FF000000"/>
            <rFont val="Tahoma"/>
            <family val="2"/>
          </rPr>
          <t xml:space="preserve">
mainly epoxy resins</t>
        </r>
      </text>
    </comment>
    <comment ref="V37" authorId="0" shapeId="0" xr:uid="{8D7F46C9-9456-4463-A9C6-ED909476B70E}">
      <text>
        <r>
          <rPr>
            <b/>
            <sz val="10"/>
            <color rgb="FF000000"/>
            <rFont val="Tahoma"/>
            <family val="2"/>
          </rPr>
          <t>Author:</t>
        </r>
        <r>
          <rPr>
            <sz val="10"/>
            <color rgb="FF000000"/>
            <rFont val="Tahoma"/>
            <family val="2"/>
          </rPr>
          <t xml:space="preserve">
Percentages respective to the weight of feedstock</t>
        </r>
      </text>
    </comment>
    <comment ref="V38" authorId="0" shapeId="0" xr:uid="{07015882-D5E8-483F-827D-DB811F79054E}">
      <text>
        <r>
          <rPr>
            <b/>
            <sz val="10"/>
            <color rgb="FF000000"/>
            <rFont val="Tahoma"/>
            <family val="34"/>
          </rPr>
          <t>Author:</t>
        </r>
        <r>
          <rPr>
            <sz val="10"/>
            <color rgb="FF000000"/>
            <rFont val="Tahoma"/>
            <family val="34"/>
          </rPr>
          <t xml:space="preserve">
Percentages respective to the weight of feedstock</t>
        </r>
        <r>
          <rPr>
            <sz val="10"/>
            <color rgb="FF000000"/>
            <rFont val="Calibri"/>
            <family val="2"/>
          </rPr>
          <t xml:space="preserve">
</t>
        </r>
      </text>
    </comment>
    <comment ref="V39" authorId="0" shapeId="0" xr:uid="{67D2191A-E9D6-4658-ADAB-64A19FB4C265}">
      <text>
        <r>
          <rPr>
            <b/>
            <sz val="10"/>
            <color rgb="FF000000"/>
            <rFont val="Tahoma"/>
            <family val="34"/>
          </rPr>
          <t>Author:</t>
        </r>
        <r>
          <rPr>
            <sz val="10"/>
            <color rgb="FF000000"/>
            <rFont val="Tahoma"/>
            <family val="34"/>
          </rPr>
          <t xml:space="preserve">
Percentages respective to the weight of feedstock</t>
        </r>
        <r>
          <rPr>
            <sz val="10"/>
            <color rgb="FF000000"/>
            <rFont val="Calibri"/>
            <family val="2"/>
          </rPr>
          <t xml:space="preserve">
</t>
        </r>
      </text>
    </comment>
    <comment ref="V40" authorId="0" shapeId="0" xr:uid="{07649DD6-5207-4D87-AEE3-90E23407B5CC}">
      <text>
        <r>
          <rPr>
            <b/>
            <sz val="10"/>
            <color rgb="FF000000"/>
            <rFont val="Calibri"/>
            <family val="2"/>
          </rPr>
          <t>Author:</t>
        </r>
        <r>
          <rPr>
            <sz val="10"/>
            <color rgb="FF000000"/>
            <rFont val="Calibri"/>
            <family val="2"/>
          </rPr>
          <t xml:space="preserve">
Percentages respective to the weight of feedstock
</t>
        </r>
      </text>
    </comment>
    <comment ref="V41" authorId="0" shapeId="0" xr:uid="{9AA47A9C-0AB7-4412-B8B4-DBEBCF773204}">
      <text>
        <r>
          <rPr>
            <b/>
            <sz val="10"/>
            <color rgb="FF000000"/>
            <rFont val="Calibri"/>
            <family val="2"/>
            <scheme val="minor"/>
          </rPr>
          <t>Author:</t>
        </r>
        <r>
          <rPr>
            <sz val="10"/>
            <color rgb="FF000000"/>
            <rFont val="Calibri"/>
            <family val="2"/>
            <scheme val="minor"/>
          </rPr>
          <t xml:space="preserve">
Percentages respective to the weight of feedstock
</t>
        </r>
      </text>
    </comment>
    <comment ref="E47" authorId="0" shapeId="0" xr:uid="{2AADA7B5-010E-4E99-91BD-DC75CDD70D03}">
      <text>
        <r>
          <rPr>
            <b/>
            <sz val="9"/>
            <color indexed="81"/>
            <rFont val="Tahoma"/>
            <family val="2"/>
          </rPr>
          <t>Author:</t>
        </r>
        <r>
          <rPr>
            <sz val="9"/>
            <color indexed="81"/>
            <rFont val="Tahoma"/>
            <family val="2"/>
          </rPr>
          <t xml:space="preserve">
Zeolite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27" authorId="0" shapeId="0" xr:uid="{9D57A086-8D55-491F-B060-F23DB6D1B0E2}">
      <text>
        <r>
          <rPr>
            <b/>
            <sz val="9"/>
            <color indexed="81"/>
            <rFont val="Tahoma"/>
            <family val="2"/>
          </rPr>
          <t>Author:</t>
        </r>
        <r>
          <rPr>
            <sz val="9"/>
            <color indexed="81"/>
            <rFont val="Tahoma"/>
            <family val="2"/>
          </rPr>
          <t xml:space="preserve">
C3-benzene, C4-benzene, alkyl benzenes, methyl naphtalene, 2,4-dimethyl-1-heptane, Dimethyl-heptene, nitrogenated aromatics, silicon compounds, phenol derivatives, Dimethylphenol, 10.3% Benzenebutanenitrile, 4.1% 1,3-Diphenylpropane, 1.3% Diphenylcyclopropane, 0.6% hexadecanenitrile, Benzenebutanenitrile, 3.5% 1,3-Diphenylpropane, 1.6% 1,2-Diphenyl-1-isocyanoethane, 0.7% 1,2-Diphenylcyclopropane, 0.6% 2,4-Diphenyl-4-methyl-1-pentene, 0.9% 1,3-Diphenyl-1-butene, 0.6% Isooctyl phtalate, 4-Ethylphenol, 8.8% 4-Isopropylphenol, 1.7% p-Isopropenylphenol, 1.1% Benzenebutanenitrile, 0.7% 1,3-Diphenylpropane, 2.4% Diphenyl carbonate, 1.4% 3,5-Diethyl-2-phenylpyridine, 1.3% 4-(Dimethylphenylethyl)phenol, 2.3% Bisphenol A, 1.3% Triphenyl phosphate, 1-methylethyl-benzene, 11% Benzenebutanenitrile, 6.4% (1,3-propanediyl)bis-benzene, 1-methylethyl-benzene, 5.1% Benzenebutanenitrile, 4.5% (1,3-propanediyl)bis-benzene, 1.2% (2-butene-1,4-diyl)bis-benzene, Dicynobenzene</t>
        </r>
      </text>
    </comment>
    <comment ref="C46" authorId="0" shapeId="0" xr:uid="{7958282E-448D-4FA4-A8CD-69FDABBB91F2}">
      <text>
        <r>
          <rPr>
            <b/>
            <sz val="9"/>
            <color indexed="81"/>
            <rFont val="Tahoma"/>
            <family val="2"/>
          </rPr>
          <t>Author:</t>
        </r>
        <r>
          <rPr>
            <sz val="9"/>
            <color indexed="81"/>
            <rFont val="Tahoma"/>
            <family val="2"/>
          </rPr>
          <t xml:space="preserve">
approximated with natural gas</t>
        </r>
      </text>
    </comment>
    <comment ref="E46" authorId="0" shapeId="0" xr:uid="{947E504F-5042-469D-8964-CB92FABC7D9D}">
      <text>
        <r>
          <rPr>
            <b/>
            <sz val="9"/>
            <color indexed="81"/>
            <rFont val="Tahoma"/>
            <family val="2"/>
          </rPr>
          <t>Author:</t>
        </r>
        <r>
          <rPr>
            <sz val="9"/>
            <color indexed="81"/>
            <rFont val="Tahoma"/>
            <family val="2"/>
          </rPr>
          <t xml:space="preserve">
assumed ethane</t>
        </r>
      </text>
    </comment>
    <comment ref="C47" authorId="0" shapeId="0" xr:uid="{CCC3F729-29BB-42F7-B057-D2C45910998A}">
      <text>
        <r>
          <rPr>
            <b/>
            <sz val="9"/>
            <color indexed="81"/>
            <rFont val="Tahoma"/>
            <family val="2"/>
          </rPr>
          <t>Author:</t>
        </r>
        <r>
          <rPr>
            <sz val="9"/>
            <color indexed="81"/>
            <rFont val="Tahoma"/>
            <family val="2"/>
          </rPr>
          <t xml:space="preserve">
if 0 instead, this leads to an intermediate credit value of 0.52 and intermediate net impact value of 0.17</t>
        </r>
      </text>
    </comment>
    <comment ref="D47" authorId="0" shapeId="0" xr:uid="{3CA560EB-F3DF-4ABB-B016-D12E3C92BE62}">
      <text>
        <r>
          <rPr>
            <b/>
            <sz val="9"/>
            <color indexed="81"/>
            <rFont val="Tahoma"/>
            <family val="2"/>
          </rPr>
          <t>Author:</t>
        </r>
        <r>
          <rPr>
            <sz val="9"/>
            <color indexed="81"/>
            <rFont val="Tahoma"/>
            <family val="2"/>
          </rPr>
          <t xml:space="preserve">
if 0 instead, this leads to an intermediate credit value of 0.13 and intermediate net impact value of 0.17</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O2" authorId="0" shapeId="0" xr:uid="{410FBB10-568E-451C-B8C3-17D33367C06A}">
      <text>
        <r>
          <rPr>
            <b/>
            <sz val="10"/>
            <color rgb="FF000000"/>
            <rFont val="Tahoma"/>
            <family val="2"/>
          </rPr>
          <t>Author:</t>
        </r>
        <r>
          <rPr>
            <sz val="10"/>
            <color rgb="FF000000"/>
            <rFont val="Tahoma"/>
            <family val="2"/>
          </rPr>
          <t xml:space="preserve">
Weight ratio. NOT molar ratio
</t>
        </r>
      </text>
    </comment>
    <comment ref="W2" authorId="0" shapeId="0" xr:uid="{473D1BB4-6CB2-4A8F-B991-90FB73B1B653}">
      <text>
        <r>
          <rPr>
            <b/>
            <sz val="10"/>
            <color rgb="FF000000"/>
            <rFont val="Tahoma"/>
            <family val="2"/>
          </rPr>
          <t>Author:</t>
        </r>
        <r>
          <rPr>
            <sz val="10"/>
            <color rgb="FF000000"/>
            <rFont val="Tahoma"/>
            <family val="2"/>
          </rPr>
          <t xml:space="preserve">
bis(hydroxyethyl)terephthalate</t>
        </r>
      </text>
    </comment>
    <comment ref="O3" authorId="0" shapeId="0" xr:uid="{09726FC6-8096-40D3-9249-9120915E892C}">
      <text>
        <r>
          <rPr>
            <b/>
            <sz val="10"/>
            <color rgb="FF000000"/>
            <rFont val="Tahoma"/>
            <family val="2"/>
          </rPr>
          <t>Author:</t>
        </r>
        <r>
          <rPr>
            <sz val="10"/>
            <color rgb="FF000000"/>
            <rFont val="Tahoma"/>
            <family val="2"/>
          </rPr>
          <t xml:space="preserve">
weight ratio</t>
        </r>
      </text>
    </comment>
    <comment ref="V3" authorId="0" shapeId="0" xr:uid="{41B2DC95-5535-405E-BD53-4DC623DC9FA8}">
      <text>
        <r>
          <rPr>
            <b/>
            <sz val="10"/>
            <color rgb="FF000000"/>
            <rFont val="Tahoma"/>
            <family val="2"/>
          </rPr>
          <t>Author:</t>
        </r>
        <r>
          <rPr>
            <sz val="10"/>
            <color rgb="FF000000"/>
            <rFont val="Tahoma"/>
            <family val="2"/>
          </rPr>
          <t xml:space="preserve">
73.27% of BHET were achieved</t>
        </r>
      </text>
    </comment>
    <comment ref="I4" authorId="0" shapeId="0" xr:uid="{9462D282-980C-4A7F-893E-609E552105AC}">
      <text>
        <r>
          <rPr>
            <b/>
            <sz val="10"/>
            <color rgb="FF000000"/>
            <rFont val="Tahoma"/>
            <family val="2"/>
          </rPr>
          <t>Author:</t>
        </r>
        <r>
          <rPr>
            <sz val="10"/>
            <color rgb="FF000000"/>
            <rFont val="Tahoma"/>
            <family val="2"/>
          </rPr>
          <t xml:space="preserve">
molar ratio</t>
        </r>
      </text>
    </comment>
    <comment ref="O4" authorId="0" shapeId="0" xr:uid="{A9262629-F8C6-495F-91AE-5353D2687520}">
      <text>
        <r>
          <rPr>
            <b/>
            <sz val="10"/>
            <color rgb="FF000000"/>
            <rFont val="Tahoma"/>
            <family val="2"/>
          </rPr>
          <t>Author:</t>
        </r>
        <r>
          <rPr>
            <sz val="10"/>
            <color rgb="FF000000"/>
            <rFont val="Tahoma"/>
            <family val="2"/>
          </rPr>
          <t xml:space="preserve">
molar ratio
</t>
        </r>
      </text>
    </comment>
    <comment ref="V4" authorId="0" shapeId="0" xr:uid="{2F922927-70EC-447A-BCBC-9A99C2876FB4}">
      <text>
        <r>
          <rPr>
            <b/>
            <sz val="10"/>
            <color rgb="FF000000"/>
            <rFont val="Tahoma"/>
            <family val="2"/>
          </rPr>
          <t>Author:</t>
        </r>
        <r>
          <rPr>
            <sz val="10"/>
            <color rgb="FF000000"/>
            <rFont val="Tahoma"/>
            <family val="2"/>
          </rPr>
          <t xml:space="preserve">
65.3% is the yield of BHET formation (molar ratio)
83% on weight basis</t>
        </r>
      </text>
    </comment>
    <comment ref="I5" authorId="0" shapeId="0" xr:uid="{E0AFFADF-4AA3-4BCE-85AC-D27898A89807}">
      <text>
        <r>
          <rPr>
            <b/>
            <sz val="10"/>
            <color rgb="FF000000"/>
            <rFont val="Tahoma"/>
            <family val="2"/>
          </rPr>
          <t>Author:</t>
        </r>
        <r>
          <rPr>
            <sz val="10"/>
            <color rgb="FF000000"/>
            <rFont val="Tahoma"/>
            <family val="2"/>
          </rPr>
          <t xml:space="preserve">
molar ratio</t>
        </r>
      </text>
    </comment>
    <comment ref="O5" authorId="0" shapeId="0" xr:uid="{762F47F0-AAA4-4274-A8AC-89F888D2DF75}">
      <text>
        <r>
          <rPr>
            <b/>
            <sz val="10"/>
            <color rgb="FF000000"/>
            <rFont val="Tahoma"/>
            <family val="2"/>
          </rPr>
          <t>Author:</t>
        </r>
        <r>
          <rPr>
            <sz val="10"/>
            <color rgb="FF000000"/>
            <rFont val="Tahoma"/>
            <family val="2"/>
          </rPr>
          <t xml:space="preserve">
molar ratio
</t>
        </r>
      </text>
    </comment>
    <comment ref="V5" authorId="0" shapeId="0" xr:uid="{8545197B-41E5-43D3-8951-56CBEB18C377}">
      <text>
        <r>
          <rPr>
            <b/>
            <sz val="10"/>
            <color rgb="FF000000"/>
            <rFont val="Tahoma"/>
            <family val="2"/>
          </rPr>
          <t>Author:</t>
        </r>
        <r>
          <rPr>
            <sz val="10"/>
            <color rgb="FF000000"/>
            <rFont val="Tahoma"/>
            <family val="2"/>
          </rPr>
          <t xml:space="preserve">
molar ratio</t>
        </r>
      </text>
    </comment>
    <comment ref="H6" authorId="0" shapeId="0" xr:uid="{2FE19AF0-C034-4001-82AB-373B668CA452}">
      <text>
        <r>
          <rPr>
            <b/>
            <sz val="10"/>
            <color rgb="FF000000"/>
            <rFont val="Tahoma"/>
            <family val="2"/>
          </rPr>
          <t>Author:</t>
        </r>
        <r>
          <rPr>
            <sz val="10"/>
            <color rgb="FF000000"/>
            <rFont val="Tahoma"/>
            <family val="2"/>
          </rPr>
          <t xml:space="preserve">
Molar ratio Zn/Al of 3</t>
        </r>
      </text>
    </comment>
    <comment ref="I6" authorId="0" shapeId="0" xr:uid="{5316C32A-4BA0-4ABA-A56A-7723B2106EA3}">
      <text>
        <r>
          <rPr>
            <b/>
            <sz val="10"/>
            <color rgb="FF000000"/>
            <rFont val="Tahoma"/>
            <family val="2"/>
          </rPr>
          <t>Author:</t>
        </r>
        <r>
          <rPr>
            <sz val="10"/>
            <color rgb="FF000000"/>
            <rFont val="Tahoma"/>
            <family val="2"/>
          </rPr>
          <t xml:space="preserve">
weight ratio</t>
        </r>
      </text>
    </comment>
    <comment ref="O7" authorId="0" shapeId="0" xr:uid="{4EA39B0D-4667-427F-A313-D483636606D6}">
      <text>
        <r>
          <rPr>
            <b/>
            <sz val="10"/>
            <color rgb="FF000000"/>
            <rFont val="Tahoma"/>
            <family val="2"/>
          </rPr>
          <t>Author:</t>
        </r>
        <r>
          <rPr>
            <sz val="10"/>
            <color rgb="FF000000"/>
            <rFont val="Tahoma"/>
            <family val="2"/>
          </rPr>
          <t xml:space="preserve">
molar ratio</t>
        </r>
      </text>
    </comment>
    <comment ref="H11" authorId="0" shapeId="0" xr:uid="{F0E65EEA-9C7A-4241-B32A-225FBCD55EFC}">
      <text>
        <r>
          <rPr>
            <b/>
            <sz val="10"/>
            <color rgb="FF000000"/>
            <rFont val="Tahoma"/>
            <family val="2"/>
          </rPr>
          <t>Author:</t>
        </r>
        <r>
          <rPr>
            <sz val="10"/>
            <color rgb="FF000000"/>
            <rFont val="Tahoma"/>
            <family val="2"/>
          </rPr>
          <t xml:space="preserve">
[Bmin][OAc]</t>
        </r>
      </text>
    </comment>
    <comment ref="I11" authorId="0" shapeId="0" xr:uid="{3C667481-78AF-46F0-AEEC-78862164DEBE}">
      <text>
        <r>
          <rPr>
            <b/>
            <sz val="10"/>
            <color rgb="FF000000"/>
            <rFont val="Tahoma"/>
            <family val="2"/>
          </rPr>
          <t>Author:</t>
        </r>
        <r>
          <rPr>
            <sz val="10"/>
            <color rgb="FF000000"/>
            <rFont val="Tahoma"/>
            <family val="2"/>
          </rPr>
          <t xml:space="preserve">
weight ratio</t>
        </r>
      </text>
    </comment>
    <comment ref="O11" authorId="0" shapeId="0" xr:uid="{DD1460D9-4CD8-4128-A0E0-CCC93E33BCFD}">
      <text>
        <r>
          <rPr>
            <b/>
            <sz val="10"/>
            <color rgb="FF000000"/>
            <rFont val="Tahoma"/>
            <family val="2"/>
          </rPr>
          <t>Author:</t>
        </r>
        <r>
          <rPr>
            <sz val="10"/>
            <color rgb="FF000000"/>
            <rFont val="Tahoma"/>
            <family val="2"/>
          </rPr>
          <t xml:space="preserve">
weight ratio</t>
        </r>
      </text>
    </comment>
    <comment ref="H12" authorId="0" shapeId="0" xr:uid="{BEF0AAF4-051D-4A6A-8EE0-5AFADD4D91C9}">
      <text>
        <r>
          <rPr>
            <b/>
            <sz val="10"/>
            <color rgb="FF000000"/>
            <rFont val="Tahoma"/>
            <family val="2"/>
          </rPr>
          <t>Author:</t>
        </r>
        <r>
          <rPr>
            <sz val="10"/>
            <color rgb="FF000000"/>
            <rFont val="Tahoma"/>
            <family val="2"/>
          </rPr>
          <t xml:space="preserve">
Mg-Al-O@Fe3O4</t>
        </r>
      </text>
    </comment>
    <comment ref="O12" authorId="0" shapeId="0" xr:uid="{A245216D-570B-4FEE-96C2-98AE0FB785DF}">
      <text>
        <r>
          <rPr>
            <b/>
            <sz val="10"/>
            <color rgb="FF000000"/>
            <rFont val="Tahoma"/>
            <family val="2"/>
          </rPr>
          <t>Author:</t>
        </r>
        <r>
          <rPr>
            <sz val="10"/>
            <color rgb="FF000000"/>
            <rFont val="Tahoma"/>
            <family val="2"/>
          </rPr>
          <t xml:space="preserve">
weight ratio</t>
        </r>
      </text>
    </comment>
    <comment ref="U12" authorId="0" shapeId="0" xr:uid="{8C7370EF-1BA3-4B9E-95E9-DDD98A93BC8E}">
      <text>
        <r>
          <rPr>
            <b/>
            <sz val="10"/>
            <color rgb="FF000000"/>
            <rFont val="Tahoma"/>
            <family val="2"/>
          </rPr>
          <t>Author:</t>
        </r>
        <r>
          <rPr>
            <sz val="10"/>
            <color rgb="FF000000"/>
            <rFont val="Tahoma"/>
            <family val="2"/>
          </rPr>
          <t xml:space="preserve">
weight ratio</t>
        </r>
      </text>
    </comment>
    <comment ref="V12" authorId="0" shapeId="0" xr:uid="{27E4C379-146E-4D79-96EC-A0F592A60F41}">
      <text>
        <r>
          <rPr>
            <b/>
            <sz val="10"/>
            <color rgb="FF000000"/>
            <rFont val="Tahoma"/>
            <family val="2"/>
          </rPr>
          <t>Author:</t>
        </r>
        <r>
          <rPr>
            <sz val="10"/>
            <color rgb="FF000000"/>
            <rFont val="Tahoma"/>
            <family val="2"/>
          </rPr>
          <t xml:space="preserve">
molar ratio</t>
        </r>
      </text>
    </comment>
    <comment ref="I14" authorId="0" shapeId="0" xr:uid="{6C7500D9-22F9-49F7-9BF5-3DFFDFBEA978}">
      <text>
        <r>
          <rPr>
            <b/>
            <sz val="10"/>
            <color rgb="FF000000"/>
            <rFont val="Tahoma"/>
            <family val="2"/>
          </rPr>
          <t>Author:</t>
        </r>
        <r>
          <rPr>
            <sz val="10"/>
            <color rgb="FF000000"/>
            <rFont val="Tahoma"/>
            <family val="2"/>
          </rPr>
          <t xml:space="preserve">
Molar ratio cat/PET: 0.13%</t>
        </r>
      </text>
    </comment>
    <comment ref="I15" authorId="0" shapeId="0" xr:uid="{8A85AFAE-DE8D-46D1-A86C-C72520F55680}">
      <text>
        <r>
          <rPr>
            <b/>
            <sz val="10"/>
            <color rgb="FF000000"/>
            <rFont val="Tahoma"/>
            <family val="2"/>
          </rPr>
          <t>Author:</t>
        </r>
        <r>
          <rPr>
            <sz val="10"/>
            <color rgb="FF000000"/>
            <rFont val="Tahoma"/>
            <family val="2"/>
          </rPr>
          <t xml:space="preserve">
cat/PET molar ratio: 0.018</t>
        </r>
      </text>
    </comment>
    <comment ref="F25" authorId="0" shapeId="0" xr:uid="{DE3945A0-ACF3-4701-912F-0FDDC9CA8885}">
      <text>
        <r>
          <rPr>
            <b/>
            <sz val="10"/>
            <color rgb="FF000000"/>
            <rFont val="Tahoma"/>
            <family val="2"/>
          </rPr>
          <t>Author:</t>
        </r>
        <r>
          <rPr>
            <sz val="10"/>
            <color rgb="FF000000"/>
            <rFont val="Tahoma"/>
            <family val="2"/>
          </rPr>
          <t xml:space="preserve">
flexible PU foam</t>
        </r>
      </text>
    </comment>
    <comment ref="F26" authorId="0" shapeId="0" xr:uid="{029965A8-CA7D-43D1-BBA2-64FFB6CDC225}">
      <text>
        <r>
          <rPr>
            <b/>
            <sz val="10"/>
            <color rgb="FF000000"/>
            <rFont val="Tahoma"/>
            <family val="2"/>
          </rPr>
          <t>Author:</t>
        </r>
        <r>
          <rPr>
            <sz val="10"/>
            <color rgb="FF000000"/>
            <rFont val="Tahoma"/>
            <family val="2"/>
          </rPr>
          <t xml:space="preserve">
rigid foam</t>
        </r>
      </text>
    </comment>
    <comment ref="N26" authorId="0" shapeId="0" xr:uid="{259FD380-E978-4465-B7FA-E667DB4D4538}">
      <text>
        <r>
          <rPr>
            <b/>
            <sz val="10"/>
            <color rgb="FF000000"/>
            <rFont val="Tahoma"/>
            <family val="2"/>
          </rPr>
          <t>Author:</t>
        </r>
        <r>
          <rPr>
            <sz val="10"/>
            <color rgb="FF000000"/>
            <rFont val="Tahoma"/>
            <family val="2"/>
          </rPr>
          <t xml:space="preserve">
EG:DEG ratio of 6:4</t>
        </r>
      </text>
    </comment>
    <comment ref="F27" authorId="0" shapeId="0" xr:uid="{786428C3-7D38-469E-9CDF-75FD94C1782D}">
      <text>
        <r>
          <rPr>
            <b/>
            <sz val="10"/>
            <color rgb="FF000000"/>
            <rFont val="Tahoma"/>
            <family val="2"/>
          </rPr>
          <t>Author:</t>
        </r>
        <r>
          <rPr>
            <sz val="10"/>
            <color rgb="FF000000"/>
            <rFont val="Tahoma"/>
            <family val="2"/>
          </rPr>
          <t xml:space="preserve">
flexible PU foam</t>
        </r>
      </text>
    </comment>
    <comment ref="V27" authorId="0" shapeId="0" xr:uid="{28802D66-8020-46F9-9C82-7EF4084DC196}">
      <text>
        <r>
          <rPr>
            <b/>
            <sz val="10"/>
            <color rgb="FF000000"/>
            <rFont val="Tahoma"/>
            <family val="2"/>
          </rPr>
          <t>Author:</t>
        </r>
        <r>
          <rPr>
            <sz val="10"/>
            <color rgb="FF000000"/>
            <rFont val="Tahoma"/>
            <family val="2"/>
          </rPr>
          <t xml:space="preserve">
mass ratio</t>
        </r>
      </text>
    </comment>
    <comment ref="F28" authorId="0" shapeId="0" xr:uid="{A9DBA7BD-6160-4474-BB41-612A295A4BD7}">
      <text>
        <r>
          <rPr>
            <b/>
            <sz val="10"/>
            <color rgb="FF000000"/>
            <rFont val="Tahoma"/>
            <family val="2"/>
          </rPr>
          <t>Author:</t>
        </r>
        <r>
          <rPr>
            <sz val="10"/>
            <color rgb="FF000000"/>
            <rFont val="Tahoma"/>
            <family val="2"/>
          </rPr>
          <t xml:space="preserve">
flexible polyurethane foam</t>
        </r>
      </text>
    </comment>
    <comment ref="F29" authorId="0" shapeId="0" xr:uid="{28DD4BE1-3758-4C23-85CA-CEA635045A0C}">
      <text>
        <r>
          <rPr>
            <b/>
            <sz val="10"/>
            <color rgb="FF000000"/>
            <rFont val="Tahoma"/>
            <family val="2"/>
          </rPr>
          <t>Author:</t>
        </r>
        <r>
          <rPr>
            <sz val="10"/>
            <color rgb="FF000000"/>
            <rFont val="Tahoma"/>
            <family val="2"/>
          </rPr>
          <t xml:space="preserve">
rigid PU foam</t>
        </r>
      </text>
    </comment>
    <comment ref="F30" authorId="0" shapeId="0" xr:uid="{B29CD7A1-D0CD-4FD1-BE52-669EDCA89465}">
      <text>
        <r>
          <rPr>
            <b/>
            <sz val="10"/>
            <color rgb="FF000000"/>
            <rFont val="Tahoma"/>
            <family val="2"/>
          </rPr>
          <t>Author:</t>
        </r>
        <r>
          <rPr>
            <sz val="10"/>
            <color rgb="FF000000"/>
            <rFont val="Tahoma"/>
            <family val="2"/>
          </rPr>
          <t xml:space="preserve">
rigid PU foam</t>
        </r>
      </text>
    </comment>
    <comment ref="F31" authorId="0" shapeId="0" xr:uid="{A49C1CAD-583C-447E-BCC9-6A8426596F7F}">
      <text>
        <r>
          <rPr>
            <b/>
            <sz val="10"/>
            <color rgb="FF000000"/>
            <rFont val="Tahoma"/>
            <family val="2"/>
          </rPr>
          <t>Author:</t>
        </r>
        <r>
          <rPr>
            <sz val="10"/>
            <color rgb="FF000000"/>
            <rFont val="Tahoma"/>
            <family val="2"/>
          </rPr>
          <t xml:space="preserve">
rigid PU foam</t>
        </r>
      </text>
    </comment>
    <comment ref="F32" authorId="0" shapeId="0" xr:uid="{0A0730BB-8E04-4B21-8E22-C90A991475A2}">
      <text>
        <r>
          <rPr>
            <b/>
            <sz val="10"/>
            <color rgb="FF000000"/>
            <rFont val="Tahoma"/>
            <family val="2"/>
          </rPr>
          <t>Author:</t>
        </r>
        <r>
          <rPr>
            <sz val="10"/>
            <color rgb="FF000000"/>
            <rFont val="Tahoma"/>
            <family val="2"/>
          </rPr>
          <t xml:space="preserve">
flexible PU foam</t>
        </r>
      </text>
    </comment>
    <comment ref="F33" authorId="0" shapeId="0" xr:uid="{A45E4D23-E065-4448-B81E-468501579558}">
      <text>
        <r>
          <rPr>
            <b/>
            <sz val="10"/>
            <color rgb="FF000000"/>
            <rFont val="Tahoma"/>
            <family val="2"/>
          </rPr>
          <t>Author:</t>
        </r>
        <r>
          <rPr>
            <sz val="10"/>
            <color rgb="FF000000"/>
            <rFont val="Tahoma"/>
            <family val="2"/>
          </rPr>
          <t xml:space="preserve">
flexible PU foam</t>
        </r>
      </text>
    </comment>
    <comment ref="I33" authorId="0" shapeId="0" xr:uid="{A6B87CF2-ED0C-4C05-8F6B-3F471A780321}">
      <text>
        <r>
          <rPr>
            <b/>
            <sz val="10"/>
            <color rgb="FF000000"/>
            <rFont val="Tahoma"/>
            <family val="2"/>
          </rPr>
          <t>Author:</t>
        </r>
        <r>
          <rPr>
            <sz val="10"/>
            <color rgb="FF000000"/>
            <rFont val="Tahoma"/>
            <family val="2"/>
          </rPr>
          <t xml:space="preserve">
weight of the reagent</t>
        </r>
      </text>
    </comment>
    <comment ref="V33" authorId="0" shapeId="0" xr:uid="{A5EAE0C3-5796-46FF-BC68-8EA2ED6F8305}">
      <text>
        <r>
          <rPr>
            <b/>
            <sz val="10"/>
            <color rgb="FF000000"/>
            <rFont val="Tahoma"/>
            <family val="2"/>
          </rPr>
          <t>Author:</t>
        </r>
        <r>
          <rPr>
            <sz val="10"/>
            <color rgb="FF000000"/>
            <rFont val="Tahoma"/>
            <family val="2"/>
          </rPr>
          <t xml:space="preserve">
85% of the upper phase liquid</t>
        </r>
      </text>
    </comment>
    <comment ref="N35" authorId="0" shapeId="0" xr:uid="{A4407299-2D5E-43AD-B40B-82DA43327E2F}">
      <text>
        <r>
          <rPr>
            <b/>
            <sz val="10"/>
            <color rgb="FF000000"/>
            <rFont val="Tahoma"/>
            <family val="2"/>
          </rPr>
          <t>Author:</t>
        </r>
        <r>
          <rPr>
            <sz val="10"/>
            <color rgb="FF000000"/>
            <rFont val="Tahoma"/>
            <family val="2"/>
          </rPr>
          <t xml:space="preserve">
PP13: N-methyl-N-propylpiperidinium
TFSI: Triethylsulfoniumbis(trifluormethylsulfonyl)amid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72" authorId="0" shapeId="0" xr:uid="{B0147C8C-FFDE-4B83-AB0B-766A4C52647D}">
      <text>
        <r>
          <rPr>
            <b/>
            <sz val="9"/>
            <color indexed="81"/>
            <rFont val="Tahoma"/>
            <family val="2"/>
          </rPr>
          <t>Author:</t>
        </r>
        <r>
          <rPr>
            <sz val="9"/>
            <color indexed="81"/>
            <rFont val="Tahoma"/>
            <family val="2"/>
          </rPr>
          <t xml:space="preserve">
long duration, high temperature, high loss rate (low insulation)</t>
        </r>
      </text>
    </comment>
    <comment ref="D91" authorId="0" shapeId="0" xr:uid="{B013C714-B205-44D8-80F7-CD031D48178C}">
      <text>
        <r>
          <rPr>
            <b/>
            <sz val="9"/>
            <color indexed="81"/>
            <rFont val="Tahoma"/>
            <family val="2"/>
          </rPr>
          <t>Author:</t>
        </r>
        <r>
          <rPr>
            <sz val="9"/>
            <color indexed="81"/>
            <rFont val="Tahoma"/>
            <family val="2"/>
          </rPr>
          <t xml:space="preserve">
cf ecoinvent average 1.8</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28" authorId="0" shapeId="0" xr:uid="{5E0F42CA-3C98-4641-914D-94B0CE89BBFB}">
      <text>
        <r>
          <rPr>
            <b/>
            <sz val="9"/>
            <color indexed="81"/>
            <rFont val="Tahoma"/>
            <family val="2"/>
          </rPr>
          <t>Author:</t>
        </r>
        <r>
          <rPr>
            <sz val="9"/>
            <color indexed="81"/>
            <rFont val="Tahoma"/>
            <family val="2"/>
          </rPr>
          <t xml:space="preserve">
BHET approximated, being intermediate step of TPA/DMT + EG -&gt; PET, therefore assumed higher impact than impacts of educts because step further: impact of educts (rough calculation by making average, as close to each other and as production pathways via TPA or DMT may vary) + 1/2 of remaining PET production impact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46" authorId="0" shapeId="0" xr:uid="{61D15956-6554-48F6-9E85-FC4D2629FFA1}">
      <text>
        <r>
          <rPr>
            <b/>
            <sz val="9"/>
            <color indexed="81"/>
            <rFont val="Tahoma"/>
            <family val="2"/>
          </rPr>
          <t>Author:</t>
        </r>
        <r>
          <rPr>
            <sz val="9"/>
            <color indexed="81"/>
            <rFont val="Tahoma"/>
            <family val="2"/>
          </rPr>
          <t xml:space="preserve">
for intermediate solvent impact</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8" authorId="0" shapeId="0" xr:uid="{209CAA00-0FD0-4935-BF01-975E1A63E6D9}">
      <text>
        <r>
          <rPr>
            <b/>
            <sz val="9"/>
            <color indexed="81"/>
            <rFont val="Tahoma"/>
            <family val="2"/>
          </rPr>
          <t>Author:</t>
        </r>
        <r>
          <rPr>
            <sz val="9"/>
            <color indexed="81"/>
            <rFont val="Tahoma"/>
            <family val="2"/>
          </rPr>
          <t xml:space="preserve">
from Ecoinvent dataset "market group for natural gas, high pressure [Europe without Switzerland]"</t>
        </r>
      </text>
    </comment>
    <comment ref="B29" authorId="0" shapeId="0" xr:uid="{A6768C4A-AEDC-4B0E-AD7E-BB17CA9A3D2B}">
      <text>
        <r>
          <rPr>
            <b/>
            <sz val="9"/>
            <color indexed="81"/>
            <rFont val="Tahoma"/>
            <family val="2"/>
          </rPr>
          <t>Author:</t>
        </r>
        <r>
          <rPr>
            <sz val="9"/>
            <color indexed="81"/>
            <rFont val="Tahoma"/>
            <family val="2"/>
          </rPr>
          <t xml:space="preserve">
0.004 for all availble processes in Ecoinvent, Germany chosen;
size usually above 10 MW
=&gt; impact conservative / worse than achievable in reality</t>
        </r>
      </text>
    </comment>
    <comment ref="B39" authorId="0" shapeId="0" xr:uid="{00CE304D-21E7-4195-8C33-DB4237B5B41D}">
      <text>
        <r>
          <rPr>
            <b/>
            <sz val="9"/>
            <color indexed="81"/>
            <rFont val="Tahoma"/>
            <family val="2"/>
          </rPr>
          <t xml:space="preserve">Author:
</t>
        </r>
        <r>
          <rPr>
            <sz val="9"/>
            <color indexed="81"/>
            <rFont val="Tahoma"/>
            <family val="2"/>
          </rPr>
          <t>heat for chemicals mostly supplied via steam (Maddeddu) =&gt; electric boiler assumed, eff 95-99%, can reach 400-1000°C (even if 1000 maybe not steam, whereby probably only lower temperatures needed)</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EC821103-2073-4D35-A216-D24BA076AC1D}">
      <text>
        <r>
          <rPr>
            <b/>
            <sz val="9"/>
            <color indexed="81"/>
            <rFont val="Tahoma"/>
            <family val="2"/>
          </rPr>
          <t>Author:</t>
        </r>
        <r>
          <rPr>
            <sz val="9"/>
            <color indexed="81"/>
            <rFont val="Tahoma"/>
            <family val="2"/>
          </rPr>
          <t xml:space="preserve">
not utilized for study</t>
        </r>
      </text>
    </comment>
    <comment ref="L3" authorId="0" shapeId="0" xr:uid="{3445C6A9-5A9A-43EE-8363-3E12AE2A348B}">
      <text>
        <r>
          <rPr>
            <b/>
            <sz val="9"/>
            <color indexed="81"/>
            <rFont val="Tahoma"/>
            <family val="2"/>
          </rPr>
          <t>Author:</t>
        </r>
        <r>
          <rPr>
            <sz val="9"/>
            <color indexed="81"/>
            <rFont val="Tahoma"/>
            <family val="2"/>
          </rPr>
          <t xml:space="preserve">
higher than from IDEA</t>
        </r>
      </text>
    </comment>
    <comment ref="A4" authorId="0" shapeId="0" xr:uid="{D94CA588-3767-4F8D-AC99-5F0913E6A6A8}">
      <text>
        <r>
          <rPr>
            <b/>
            <sz val="9"/>
            <color indexed="81"/>
            <rFont val="Tahoma"/>
            <family val="2"/>
          </rPr>
          <t>Author:</t>
        </r>
        <r>
          <rPr>
            <sz val="9"/>
            <color indexed="81"/>
            <rFont val="Tahoma"/>
            <family val="2"/>
          </rPr>
          <t xml:space="preserve">
not utilized for study</t>
        </r>
      </text>
    </comment>
    <comment ref="J8" authorId="0" shapeId="0" xr:uid="{68EAF932-A1F7-41FC-B659-6CC6E007F0BA}">
      <text>
        <r>
          <rPr>
            <b/>
            <sz val="9"/>
            <color indexed="81"/>
            <rFont val="Tahoma"/>
            <family val="2"/>
          </rPr>
          <t>Author:</t>
        </r>
        <r>
          <rPr>
            <sz val="9"/>
            <color indexed="81"/>
            <rFont val="Tahoma"/>
            <family val="2"/>
          </rPr>
          <t xml:space="preserve">
average as shares not known</t>
        </r>
      </text>
    </comment>
    <comment ref="J9" authorId="0" shapeId="0" xr:uid="{9A94BB99-2707-4BC0-8AF6-7797B7E15BE8}">
      <text>
        <r>
          <rPr>
            <b/>
            <sz val="9"/>
            <color indexed="81"/>
            <rFont val="Tahoma"/>
            <family val="2"/>
          </rPr>
          <t>Author:</t>
        </r>
        <r>
          <rPr>
            <sz val="9"/>
            <color indexed="81"/>
            <rFont val="Tahoma"/>
            <family val="2"/>
          </rPr>
          <t xml:space="preserve">
average as shares not known</t>
        </r>
      </text>
    </comment>
    <comment ref="J10" authorId="0" shapeId="0" xr:uid="{EC66B5E7-497B-4EA1-BA76-3341047B1157}">
      <text>
        <r>
          <rPr>
            <b/>
            <sz val="9"/>
            <color indexed="81"/>
            <rFont val="Tahoma"/>
            <family val="2"/>
          </rPr>
          <t>Author:</t>
        </r>
        <r>
          <rPr>
            <sz val="9"/>
            <color indexed="81"/>
            <rFont val="Tahoma"/>
            <family val="2"/>
          </rPr>
          <t xml:space="preserve">
average as shares not known</t>
        </r>
      </text>
    </comment>
    <comment ref="I28" authorId="0" shapeId="0" xr:uid="{5FE7F001-FD38-49BF-9A62-9CE7769ED174}">
      <text>
        <r>
          <rPr>
            <b/>
            <sz val="9"/>
            <color indexed="81"/>
            <rFont val="Tahoma"/>
            <family val="2"/>
          </rPr>
          <t>Author:</t>
        </r>
        <r>
          <rPr>
            <sz val="9"/>
            <color indexed="81"/>
            <rFont val="Tahoma"/>
            <family val="2"/>
          </rPr>
          <t xml:space="preserve">
C5 approximated with pentane, pentene assumed to arise in smaller amounts if any due to lower stability</t>
        </r>
      </text>
    </comment>
    <comment ref="P28" authorId="0" shapeId="0" xr:uid="{E602D1FF-6B53-4EAB-9685-87FAE038CA68}">
      <text>
        <r>
          <rPr>
            <b/>
            <sz val="9"/>
            <color indexed="81"/>
            <rFont val="Tahoma"/>
            <family val="2"/>
          </rPr>
          <t>Author:</t>
        </r>
        <r>
          <rPr>
            <sz val="9"/>
            <color indexed="81"/>
            <rFont val="Tahoma"/>
            <family val="2"/>
          </rPr>
          <t xml:space="preserve">
average of ethane, propane, and butane</t>
        </r>
      </text>
    </comment>
    <comment ref="K52" authorId="0" shapeId="0" xr:uid="{A3C5298D-32E1-4F6C-8674-FB10AABD93CC}">
      <text>
        <r>
          <rPr>
            <b/>
            <sz val="9"/>
            <color indexed="81"/>
            <rFont val="Tahoma"/>
            <family val="2"/>
          </rPr>
          <t>Author:</t>
        </r>
        <r>
          <rPr>
            <sz val="9"/>
            <color indexed="81"/>
            <rFont val="Tahoma"/>
            <family val="2"/>
          </rPr>
          <t xml:space="preserve">
approximated based on densities of H2 and CO</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8" authorId="0" shapeId="0" xr:uid="{968E49BA-DDD9-4FA7-83AA-1BFECC70C774}">
      <text>
        <r>
          <rPr>
            <b/>
            <sz val="9"/>
            <color indexed="81"/>
            <rFont val="Tahoma"/>
            <family val="2"/>
          </rPr>
          <t>Author:</t>
        </r>
        <r>
          <rPr>
            <sz val="9"/>
            <color indexed="81"/>
            <rFont val="Tahoma"/>
            <family val="2"/>
          </rPr>
          <t xml:space="preserve">
syngas worse than energy recovery</t>
        </r>
      </text>
    </comment>
    <comment ref="D9" authorId="0" shapeId="0" xr:uid="{4694BA8F-1938-4C9D-80F7-F765EF09017A}">
      <text>
        <r>
          <rPr>
            <b/>
            <sz val="9"/>
            <color indexed="81"/>
            <rFont val="Tahoma"/>
            <family val="2"/>
          </rPr>
          <t>Author:</t>
        </r>
        <r>
          <rPr>
            <sz val="9"/>
            <color indexed="81"/>
            <rFont val="Tahoma"/>
            <family val="2"/>
          </rPr>
          <t xml:space="preserve">
with product separation effort so to fit with credits</t>
        </r>
      </text>
    </comment>
    <comment ref="D12" authorId="0" shapeId="0" xr:uid="{E15D902C-3E81-4C45-833F-C939C6A5ED95}">
      <text>
        <r>
          <rPr>
            <b/>
            <sz val="9"/>
            <color indexed="81"/>
            <rFont val="Tahoma"/>
            <family val="2"/>
          </rPr>
          <t>Author:</t>
        </r>
        <r>
          <rPr>
            <sz val="9"/>
            <color indexed="81"/>
            <rFont val="Tahoma"/>
            <family val="2"/>
          </rPr>
          <t xml:space="preserve">
simple average</t>
        </r>
      </text>
    </comment>
    <comment ref="E12" authorId="0" shapeId="0" xr:uid="{25375C78-1862-4BF3-95CA-88C957D25696}">
      <text>
        <r>
          <rPr>
            <b/>
            <sz val="9"/>
            <color indexed="81"/>
            <rFont val="Tahoma"/>
            <family val="2"/>
          </rPr>
          <t>Author:</t>
        </r>
        <r>
          <rPr>
            <sz val="9"/>
            <color indexed="81"/>
            <rFont val="Tahoma"/>
            <family val="2"/>
          </rPr>
          <t xml:space="preserve">
simple average</t>
        </r>
      </text>
    </comment>
    <comment ref="F12" authorId="0" shapeId="0" xr:uid="{EF4E6DEE-5397-4177-9F4E-3C64CC86C8E4}">
      <text>
        <r>
          <rPr>
            <b/>
            <sz val="9"/>
            <color indexed="81"/>
            <rFont val="Tahoma"/>
            <family val="2"/>
          </rPr>
          <t>Author:</t>
        </r>
        <r>
          <rPr>
            <sz val="9"/>
            <color indexed="81"/>
            <rFont val="Tahoma"/>
            <family val="2"/>
          </rPr>
          <t xml:space="preserve">
simple average</t>
        </r>
      </text>
    </comment>
    <comment ref="E15" authorId="0" shapeId="0" xr:uid="{1A4F6B98-C870-4A6C-8227-58BD97E6D734}">
      <text>
        <r>
          <rPr>
            <b/>
            <sz val="9"/>
            <color indexed="81"/>
            <rFont val="Tahoma"/>
            <family val="2"/>
          </rPr>
          <t>Author:</t>
        </r>
        <r>
          <rPr>
            <sz val="9"/>
            <color indexed="81"/>
            <rFont val="Tahoma"/>
            <family val="2"/>
          </rPr>
          <t xml:space="preserve">
simple average</t>
        </r>
      </text>
    </comment>
    <comment ref="F15" authorId="0" shapeId="0" xr:uid="{51BE9B3C-6F19-4C52-A32E-F1DC72085ED7}">
      <text>
        <r>
          <rPr>
            <b/>
            <sz val="9"/>
            <color indexed="81"/>
            <rFont val="Tahoma"/>
            <family val="2"/>
          </rPr>
          <t>Author:</t>
        </r>
        <r>
          <rPr>
            <sz val="9"/>
            <color indexed="81"/>
            <rFont val="Tahoma"/>
            <family val="2"/>
          </rPr>
          <t xml:space="preserve">
simple average</t>
        </r>
      </text>
    </comment>
    <comment ref="D17" authorId="0" shapeId="0" xr:uid="{E1EC065B-C9E9-4C84-BDCD-8545DD41DE20}">
      <text>
        <r>
          <rPr>
            <b/>
            <sz val="9"/>
            <color indexed="81"/>
            <rFont val="Tahoma"/>
            <family val="2"/>
          </rPr>
          <t>Author:</t>
        </r>
        <r>
          <rPr>
            <sz val="9"/>
            <color indexed="81"/>
            <rFont val="Tahoma"/>
            <family val="2"/>
          </rPr>
          <t xml:space="preserve">
for today's energy and mobility situation from Klotz et al. (2023)</t>
        </r>
      </text>
    </comment>
    <comment ref="E17" authorId="0" shapeId="0" xr:uid="{7BFCAA38-BE7B-4643-A06E-4A35906E3533}">
      <text>
        <r>
          <rPr>
            <b/>
            <sz val="9"/>
            <color indexed="81"/>
            <rFont val="Tahoma"/>
            <family val="2"/>
          </rPr>
          <t>Author:</t>
        </r>
        <r>
          <rPr>
            <sz val="9"/>
            <color indexed="81"/>
            <rFont val="Tahoma"/>
            <family val="2"/>
          </rPr>
          <t xml:space="preserve">
for today's energy and mobility situation from Klotz et al. (2023), high-benchmark efficiency</t>
        </r>
      </text>
    </comment>
    <comment ref="F17" authorId="0" shapeId="0" xr:uid="{1C144663-C5EC-4BFE-9E6E-FEC3E7F71222}">
      <text>
        <r>
          <rPr>
            <b/>
            <sz val="9"/>
            <color indexed="81"/>
            <rFont val="Tahoma"/>
            <family val="2"/>
          </rPr>
          <t>Author:</t>
        </r>
        <r>
          <rPr>
            <sz val="9"/>
            <color indexed="81"/>
            <rFont val="Tahoma"/>
            <family val="2"/>
          </rPr>
          <t xml:space="preserve">
for future energy and mobility situation from Klotz et al. (2023)</t>
        </r>
      </text>
    </comment>
    <comment ref="D18" authorId="0" shapeId="0" xr:uid="{88B3C61F-DAB6-421F-9B88-B4538CDFCF8A}">
      <text>
        <r>
          <rPr>
            <b/>
            <sz val="9"/>
            <color indexed="81"/>
            <rFont val="Tahoma"/>
            <family val="2"/>
          </rPr>
          <t>Author:</t>
        </r>
        <r>
          <rPr>
            <sz val="9"/>
            <color indexed="81"/>
            <rFont val="Tahoma"/>
            <family val="2"/>
          </rPr>
          <t xml:space="preserve">
simple average</t>
        </r>
      </text>
    </comment>
    <comment ref="E18" authorId="0" shapeId="0" xr:uid="{CBFC61F3-D528-4D14-8CBC-45A100AB8B16}">
      <text>
        <r>
          <rPr>
            <b/>
            <sz val="9"/>
            <color indexed="81"/>
            <rFont val="Tahoma"/>
            <family val="2"/>
          </rPr>
          <t>Author:</t>
        </r>
        <r>
          <rPr>
            <sz val="9"/>
            <color indexed="81"/>
            <rFont val="Tahoma"/>
            <family val="2"/>
          </rPr>
          <t xml:space="preserve">
simple average</t>
        </r>
      </text>
    </comment>
    <comment ref="F18" authorId="0" shapeId="0" xr:uid="{2299E680-9692-4011-93C1-3E36471C64A0}">
      <text>
        <r>
          <rPr>
            <b/>
            <sz val="9"/>
            <color indexed="81"/>
            <rFont val="Tahoma"/>
            <family val="2"/>
          </rPr>
          <t>Author:</t>
        </r>
        <r>
          <rPr>
            <sz val="9"/>
            <color indexed="81"/>
            <rFont val="Tahoma"/>
            <family val="2"/>
          </rPr>
          <t xml:space="preserve">
average of net impacts in future energy and mobility scenarios of Klotz et al. (2023) and net impacts of high-efficiency benchmark WTE with credits based on today's energy mix</t>
        </r>
      </text>
    </comment>
    <comment ref="D19" authorId="0" shapeId="0" xr:uid="{F6BBE6BD-05EF-498A-B192-B93D8519F295}">
      <text>
        <r>
          <rPr>
            <b/>
            <sz val="9"/>
            <color indexed="81"/>
            <rFont val="Tahoma"/>
            <family val="2"/>
          </rPr>
          <t>Author:</t>
        </r>
        <r>
          <rPr>
            <sz val="9"/>
            <color indexed="81"/>
            <rFont val="Tahoma"/>
            <family val="2"/>
          </rPr>
          <t xml:space="preserve">
for future energy and mobility situation from Klotz et al. (2023)</t>
        </r>
      </text>
    </comment>
    <comment ref="E19" authorId="0" shapeId="0" xr:uid="{0378D738-F259-4FBB-B83D-DD4D186E8290}">
      <text>
        <r>
          <rPr>
            <b/>
            <sz val="9"/>
            <color indexed="81"/>
            <rFont val="Tahoma"/>
            <family val="2"/>
          </rPr>
          <t>Author:</t>
        </r>
        <r>
          <rPr>
            <sz val="9"/>
            <color indexed="81"/>
            <rFont val="Tahoma"/>
            <family val="2"/>
          </rPr>
          <t xml:space="preserve">
for future energy and mobility situation from Klotz et al. (2023)</t>
        </r>
      </text>
    </comment>
    <comment ref="F19" authorId="0" shapeId="0" xr:uid="{C6DE731D-D7CA-4E8E-904C-BDDC0DCE6C6B}">
      <text>
        <r>
          <rPr>
            <b/>
            <sz val="9"/>
            <color indexed="81"/>
            <rFont val="Tahoma"/>
            <family val="2"/>
          </rPr>
          <t>Author:</t>
        </r>
        <r>
          <rPr>
            <sz val="9"/>
            <color indexed="81"/>
            <rFont val="Tahoma"/>
            <family val="2"/>
          </rPr>
          <t xml:space="preserve">
for today's energy and mobility situation from Klotz et al. (2023)</t>
        </r>
      </text>
    </comment>
    <comment ref="E27" authorId="0" shapeId="0" xr:uid="{D495C224-332E-405B-B105-5345D01BEA5F}">
      <text>
        <r>
          <rPr>
            <b/>
            <sz val="9"/>
            <color indexed="81"/>
            <rFont val="Tahoma"/>
            <family val="2"/>
          </rPr>
          <t>Author:</t>
        </r>
        <r>
          <rPr>
            <sz val="9"/>
            <color indexed="81"/>
            <rFont val="Tahoma"/>
            <family val="2"/>
          </rPr>
          <t xml:space="preserve">
without considering
energetic utilization</t>
        </r>
      </text>
    </comment>
    <comment ref="F27" authorId="0" shapeId="0" xr:uid="{861FDD39-A1A7-42BC-BF20-793B294FEF47}">
      <text>
        <r>
          <rPr>
            <b/>
            <sz val="9"/>
            <color indexed="81"/>
            <rFont val="Tahoma"/>
            <family val="2"/>
          </rPr>
          <t>Author:</t>
        </r>
        <r>
          <rPr>
            <sz val="9"/>
            <color indexed="81"/>
            <rFont val="Tahoma"/>
            <family val="2"/>
          </rPr>
          <t xml:space="preserve">
without considering energetic utilization</t>
        </r>
      </text>
    </comment>
    <comment ref="E30" authorId="0" shapeId="0" xr:uid="{3A94AB16-C250-4FC0-8921-45785F8F481E}">
      <text>
        <r>
          <rPr>
            <b/>
            <sz val="9"/>
            <color indexed="81"/>
            <rFont val="Tahoma"/>
            <family val="2"/>
          </rPr>
          <t>Author:</t>
        </r>
        <r>
          <rPr>
            <sz val="9"/>
            <color indexed="81"/>
            <rFont val="Tahoma"/>
            <family val="2"/>
          </rPr>
          <t xml:space="preserve">
with energetic utilization of gas because this is done</t>
        </r>
      </text>
    </comment>
    <comment ref="D31" authorId="0" shapeId="0" xr:uid="{1A932902-3D9F-4CF2-BBD1-E3D35162A25D}">
      <text>
        <r>
          <rPr>
            <b/>
            <sz val="9"/>
            <color indexed="81"/>
            <rFont val="Tahoma"/>
            <family val="2"/>
          </rPr>
          <t>Author:</t>
        </r>
        <r>
          <rPr>
            <sz val="9"/>
            <color indexed="81"/>
            <rFont val="Tahoma"/>
            <family val="2"/>
          </rPr>
          <t xml:space="preserve">
with product separation effort so to fit with credits</t>
        </r>
      </text>
    </comment>
    <comment ref="D34" authorId="0" shapeId="0" xr:uid="{D96FA6F2-4F5B-45CE-AD60-40F87DFF0017}">
      <text>
        <r>
          <rPr>
            <b/>
            <sz val="9"/>
            <color indexed="81"/>
            <rFont val="Tahoma"/>
            <family val="2"/>
          </rPr>
          <t>Author:</t>
        </r>
        <r>
          <rPr>
            <sz val="9"/>
            <color indexed="81"/>
            <rFont val="Tahoma"/>
            <family val="2"/>
          </rPr>
          <t xml:space="preserve">
simple average</t>
        </r>
      </text>
    </comment>
    <comment ref="E34" authorId="0" shapeId="0" xr:uid="{A05455D9-9180-45C9-B5B7-BC142D2A3D9F}">
      <text>
        <r>
          <rPr>
            <b/>
            <sz val="9"/>
            <color indexed="81"/>
            <rFont val="Tahoma"/>
            <family val="2"/>
          </rPr>
          <t>Author:</t>
        </r>
        <r>
          <rPr>
            <sz val="9"/>
            <color indexed="81"/>
            <rFont val="Tahoma"/>
            <family val="2"/>
          </rPr>
          <t xml:space="preserve">
simple average</t>
        </r>
      </text>
    </comment>
    <comment ref="F34" authorId="0" shapeId="0" xr:uid="{845B86DD-21BB-460B-B960-84AF9D4D1F0A}">
      <text>
        <r>
          <rPr>
            <b/>
            <sz val="9"/>
            <color indexed="81"/>
            <rFont val="Tahoma"/>
            <family val="2"/>
          </rPr>
          <t>Author:</t>
        </r>
        <r>
          <rPr>
            <sz val="9"/>
            <color indexed="81"/>
            <rFont val="Tahoma"/>
            <family val="2"/>
          </rPr>
          <t xml:space="preserve">
simple average</t>
        </r>
      </text>
    </comment>
    <comment ref="E37" authorId="0" shapeId="0" xr:uid="{6F1F875F-06B8-492C-993B-CFAEED32A210}">
      <text>
        <r>
          <rPr>
            <b/>
            <sz val="9"/>
            <color indexed="81"/>
            <rFont val="Tahoma"/>
            <family val="2"/>
          </rPr>
          <t>Author:</t>
        </r>
        <r>
          <rPr>
            <sz val="9"/>
            <color indexed="81"/>
            <rFont val="Tahoma"/>
            <family val="2"/>
          </rPr>
          <t xml:space="preserve">
simple average</t>
        </r>
      </text>
    </comment>
    <comment ref="F37" authorId="0" shapeId="0" xr:uid="{A22F0DFF-B5C0-4B4F-B96D-2F557334E37D}">
      <text>
        <r>
          <rPr>
            <b/>
            <sz val="9"/>
            <color indexed="81"/>
            <rFont val="Tahoma"/>
            <family val="2"/>
          </rPr>
          <t>Author:</t>
        </r>
        <r>
          <rPr>
            <sz val="9"/>
            <color indexed="81"/>
            <rFont val="Tahoma"/>
            <family val="2"/>
          </rPr>
          <t xml:space="preserve">
simple average</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7" authorId="0" shapeId="0" xr:uid="{71964CBA-D975-446D-AB70-0C7911F48385}">
      <text>
        <r>
          <rPr>
            <b/>
            <sz val="9"/>
            <color indexed="81"/>
            <rFont val="Tahoma"/>
            <family val="2"/>
          </rPr>
          <t>Author:</t>
        </r>
        <r>
          <rPr>
            <sz val="9"/>
            <color indexed="81"/>
            <rFont val="Tahoma"/>
            <family val="2"/>
          </rPr>
          <t xml:space="preserve">
mixed waste: for e.g. packaging sorting via magnets / eddy current, robot sorting B&amp;C, allocated shredding share auto and eee kWh
plastic waste: e.g. NIR detection device, belt conveyer</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27" authorId="0" shapeId="0" xr:uid="{B20474FF-CE3D-4A9D-8FCE-98E4EF145215}">
      <text>
        <r>
          <rPr>
            <b/>
            <sz val="9"/>
            <color indexed="81"/>
            <rFont val="Tahoma"/>
            <family val="2"/>
          </rPr>
          <t>Author:</t>
        </r>
        <r>
          <rPr>
            <sz val="9"/>
            <color indexed="81"/>
            <rFont val="Tahoma"/>
            <family val="2"/>
          </rPr>
          <t xml:space="preserve">
(including credits for avoided products)</t>
        </r>
      </text>
    </comment>
    <comment ref="D67" authorId="0" shapeId="0" xr:uid="{63E53365-79D6-4332-AEF0-C0FE6587A1F3}">
      <text>
        <r>
          <rPr>
            <b/>
            <sz val="9"/>
            <color indexed="81"/>
            <rFont val="Tahoma"/>
            <family val="2"/>
          </rPr>
          <t>Author:</t>
        </r>
        <r>
          <rPr>
            <sz val="9"/>
            <color indexed="81"/>
            <rFont val="Tahoma"/>
            <family val="2"/>
          </rPr>
          <t xml:space="preserve">
lowest incl. variation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28" authorId="0" shapeId="0" xr:uid="{723F82E0-1A8A-4D9B-8288-F2C68E34E473}">
      <text>
        <r>
          <rPr>
            <b/>
            <sz val="9"/>
            <color indexed="81"/>
            <rFont val="Tahoma"/>
            <family val="2"/>
          </rPr>
          <t>Author:</t>
        </r>
        <r>
          <rPr>
            <sz val="9"/>
            <color indexed="81"/>
            <rFont val="Tahoma"/>
            <family val="2"/>
          </rPr>
          <t xml:space="preserve">
(including credits for avoided products)</t>
        </r>
      </text>
    </comment>
    <comment ref="D67" authorId="0" shapeId="0" xr:uid="{F47200BD-8D38-4D44-A9D3-45A3B8158FEC}">
      <text>
        <r>
          <rPr>
            <b/>
            <sz val="9"/>
            <color indexed="81"/>
            <rFont val="Tahoma"/>
            <family val="2"/>
          </rPr>
          <t>Author:</t>
        </r>
        <r>
          <rPr>
            <sz val="9"/>
            <color indexed="81"/>
            <rFont val="Tahoma"/>
            <family val="2"/>
          </rPr>
          <t xml:space="preserve">
lowest incl. variation</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L5" authorId="0" shapeId="0" xr:uid="{568086C8-8E4A-4A22-BFD4-675BF131C076}">
      <text>
        <r>
          <rPr>
            <b/>
            <sz val="9"/>
            <color indexed="81"/>
            <rFont val="Tahoma"/>
            <family val="2"/>
          </rPr>
          <t>Author:</t>
        </r>
        <r>
          <rPr>
            <sz val="9"/>
            <color indexed="81"/>
            <rFont val="Tahoma"/>
            <family val="2"/>
          </rPr>
          <t xml:space="preserve">
given per process input ;  including pretreatment (shredding) and residues treatment included for all processes;</t>
        </r>
      </text>
    </comment>
    <comment ref="AA5" authorId="0" shapeId="0" xr:uid="{C2A41B5E-BD66-4B06-A4E8-902C1DAA354C}">
      <text>
        <r>
          <rPr>
            <b/>
            <sz val="9"/>
            <color indexed="81"/>
            <rFont val="Tahoma"/>
            <family val="2"/>
          </rPr>
          <t>Author:</t>
        </r>
        <r>
          <rPr>
            <sz val="9"/>
            <color indexed="81"/>
            <rFont val="Tahoma"/>
            <family val="2"/>
          </rPr>
          <t xml:space="preserve">
for today's energy and mobility situation
</t>
        </r>
      </text>
    </comment>
    <comment ref="B6" authorId="0" shapeId="0" xr:uid="{329538AB-4906-47B9-B778-CCB61BFA5747}">
      <text>
        <r>
          <rPr>
            <b/>
            <sz val="9"/>
            <color indexed="81"/>
            <rFont val="Tahoma"/>
            <family val="2"/>
          </rPr>
          <t>Author:</t>
        </r>
        <r>
          <rPr>
            <sz val="9"/>
            <color indexed="81"/>
            <rFont val="Tahoma"/>
            <family val="2"/>
          </rPr>
          <t xml:space="preserve">
here for today's energy and mobility situation using Ecoinvent data, because only used to calculate waste treatment impact from Schwarz et al. (2021)</t>
        </r>
      </text>
    </comment>
    <comment ref="X11" authorId="0" shapeId="0" xr:uid="{F05D15FC-C740-4E44-8D42-EAA9293E4D47}">
      <text>
        <r>
          <rPr>
            <b/>
            <sz val="9"/>
            <color indexed="81"/>
            <rFont val="Tahoma"/>
            <family val="2"/>
          </rPr>
          <t>Author:</t>
        </r>
        <r>
          <rPr>
            <sz val="9"/>
            <color indexed="81"/>
            <rFont val="Tahoma"/>
            <family val="2"/>
          </rPr>
          <t xml:space="preserve">
many monomers as product</t>
        </r>
      </text>
    </comment>
    <comment ref="X14" authorId="0" shapeId="0" xr:uid="{51EF17EC-532A-4209-A235-C5179F8C8038}">
      <text>
        <r>
          <rPr>
            <b/>
            <sz val="9"/>
            <color indexed="81"/>
            <rFont val="Tahoma"/>
            <family val="2"/>
          </rPr>
          <t>Author:</t>
        </r>
        <r>
          <rPr>
            <sz val="9"/>
            <color indexed="81"/>
            <rFont val="Tahoma"/>
            <family val="2"/>
          </rPr>
          <t xml:space="preserve">
many monomers as product</t>
        </r>
      </text>
    </comment>
    <comment ref="B15" authorId="0" shapeId="0" xr:uid="{A9D23B5B-F8AC-4EB7-BA88-6EAEB02BF7CA}">
      <text>
        <r>
          <rPr>
            <b/>
            <sz val="9"/>
            <color indexed="81"/>
            <rFont val="Tahoma"/>
            <family val="2"/>
          </rPr>
          <t>Author:</t>
        </r>
        <r>
          <rPr>
            <sz val="9"/>
            <color indexed="81"/>
            <rFont val="Tahoma"/>
            <family val="2"/>
          </rPr>
          <t xml:space="preserve">
average nylon 6, nylon 6-6</t>
        </r>
      </text>
    </comment>
    <comment ref="G15" authorId="0" shapeId="0" xr:uid="{95190C98-FB85-47AC-B6C9-780487F3A750}">
      <text>
        <r>
          <rPr>
            <b/>
            <sz val="9"/>
            <color indexed="81"/>
            <rFont val="Tahoma"/>
            <family val="2"/>
          </rPr>
          <t>Author:</t>
        </r>
        <r>
          <rPr>
            <sz val="9"/>
            <color indexed="81"/>
            <rFont val="Tahoma"/>
            <family val="2"/>
          </rPr>
          <t xml:space="preserve">
large difference between PA6 and PA66</t>
        </r>
      </text>
    </comment>
    <comment ref="J15" authorId="0" shapeId="0" xr:uid="{A942AC13-EBDD-4860-A2DA-86AF343FEB87}">
      <text>
        <r>
          <rPr>
            <b/>
            <sz val="9"/>
            <color indexed="81"/>
            <rFont val="Tahoma"/>
            <family val="2"/>
          </rPr>
          <t>Author:</t>
        </r>
        <r>
          <rPr>
            <sz val="9"/>
            <color indexed="81"/>
            <rFont val="Tahoma"/>
            <family val="2"/>
          </rPr>
          <t xml:space="preserve">
only given for PA6 </t>
        </r>
      </text>
    </comment>
    <comment ref="J16" authorId="0" shapeId="0" xr:uid="{853D4E6C-86DD-4B80-98F3-A4FC7A5AB220}">
      <text>
        <r>
          <rPr>
            <b/>
            <sz val="9"/>
            <color indexed="81"/>
            <rFont val="Tahoma"/>
            <family val="2"/>
          </rPr>
          <t>Author:</t>
        </r>
        <r>
          <rPr>
            <sz val="9"/>
            <color indexed="81"/>
            <rFont val="Tahoma"/>
            <family val="2"/>
          </rPr>
          <t xml:space="preserve">
depolymerization possible, but no LCIA data available</t>
        </r>
      </text>
    </comment>
    <comment ref="X16" authorId="0" shapeId="0" xr:uid="{E11A897B-1EC3-4A9D-B687-38A522B1AA09}">
      <text>
        <r>
          <rPr>
            <b/>
            <sz val="9"/>
            <color indexed="81"/>
            <rFont val="Tahoma"/>
            <family val="2"/>
          </rPr>
          <t>Author:</t>
        </r>
        <r>
          <rPr>
            <sz val="9"/>
            <color indexed="81"/>
            <rFont val="Tahoma"/>
            <family val="2"/>
          </rPr>
          <t xml:space="preserve">
no data for Depolymerization)</t>
        </r>
      </text>
    </comment>
    <comment ref="J17" authorId="0" shapeId="0" xr:uid="{AA2CDFE6-2171-4190-ACB7-F5B7193E973C}">
      <text>
        <r>
          <rPr>
            <b/>
            <sz val="9"/>
            <color indexed="81"/>
            <rFont val="Tahoma"/>
            <family val="2"/>
          </rPr>
          <t>Author:</t>
        </r>
        <r>
          <rPr>
            <sz val="9"/>
            <color indexed="81"/>
            <rFont val="Tahoma"/>
            <family val="2"/>
          </rPr>
          <t xml:space="preserve">
denoted as "dissolution" in Schwarz et al., but allocated to depolymerization, as cross-linked, so primary bonds have to be broken</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P4" authorId="0" shapeId="0" xr:uid="{FEC72F5F-6BA7-4532-A035-F87E2AA3CF54}">
      <text>
        <r>
          <rPr>
            <b/>
            <sz val="9"/>
            <color indexed="81"/>
            <rFont val="Tahoma"/>
            <family val="2"/>
          </rPr>
          <t>Author:</t>
        </r>
        <r>
          <rPr>
            <sz val="9"/>
            <color indexed="81"/>
            <rFont val="Tahoma"/>
            <family val="2"/>
          </rPr>
          <t xml:space="preserve">
considering average gasification and pyrolysis</t>
        </r>
      </text>
    </comment>
    <comment ref="H14" authorId="0" shapeId="0" xr:uid="{76AEAEC3-364F-43DA-97DE-D8483A0FBE48}">
      <text>
        <r>
          <rPr>
            <b/>
            <sz val="9"/>
            <color indexed="81"/>
            <rFont val="Tahoma"/>
            <family val="2"/>
          </rPr>
          <t>Author:</t>
        </r>
        <r>
          <rPr>
            <sz val="9"/>
            <color indexed="81"/>
            <rFont val="Tahoma"/>
            <family val="2"/>
          </rPr>
          <t xml:space="preserve">
depolymierization can be applied, but no related LCA data was available, therefore, we applied dissolution</t>
        </r>
      </text>
    </comment>
    <comment ref="Q23" authorId="0" shapeId="0" xr:uid="{894A41DF-4310-45F6-82A7-A89137629D9B}">
      <text>
        <r>
          <rPr>
            <b/>
            <sz val="9"/>
            <color indexed="81"/>
            <rFont val="Tahoma"/>
            <family val="2"/>
          </rPr>
          <t>Author:</t>
        </r>
        <r>
          <rPr>
            <sz val="9"/>
            <color indexed="81"/>
            <rFont val="Tahoma"/>
            <family val="2"/>
          </rPr>
          <t xml:space="preserve">
(including credits for avoided products)</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F3" authorId="0" shapeId="0" xr:uid="{86A5143D-B782-4073-9C2D-3F3B6D1F0BE0}">
      <text>
        <r>
          <rPr>
            <b/>
            <sz val="9"/>
            <color indexed="81"/>
            <rFont val="Tahoma"/>
            <family val="2"/>
          </rPr>
          <t>Author:</t>
        </r>
        <r>
          <rPr>
            <sz val="9"/>
            <color indexed="81"/>
            <rFont val="Tahoma"/>
            <family val="2"/>
          </rPr>
          <t xml:space="preserve">
commercial plant in Edmonton, Canada</t>
        </r>
      </text>
    </comment>
    <comment ref="N3" authorId="0" shapeId="0" xr:uid="{24D9EA76-BCDF-4DEC-9593-9DF0A23CF930}">
      <text>
        <r>
          <rPr>
            <b/>
            <sz val="9"/>
            <color indexed="81"/>
            <rFont val="Tahoma"/>
            <family val="2"/>
          </rPr>
          <t>Author:</t>
        </r>
        <r>
          <rPr>
            <sz val="9"/>
            <color indexed="81"/>
            <rFont val="Tahoma"/>
            <family val="2"/>
          </rPr>
          <t xml:space="preserve">
methanol from waste input</t>
        </r>
      </text>
    </comment>
    <comment ref="O5" authorId="0" shapeId="0" xr:uid="{AC2CC74A-A115-45A3-A8A2-E10825C2C31A}">
      <text>
        <r>
          <rPr>
            <b/>
            <sz val="9"/>
            <color indexed="81"/>
            <rFont val="Tahoma"/>
            <family val="2"/>
          </rPr>
          <t>Author:</t>
        </r>
        <r>
          <rPr>
            <sz val="9"/>
            <color indexed="81"/>
            <rFont val="Tahoma"/>
            <family val="2"/>
          </rPr>
          <t xml:space="preserve">
commissioned in 2020; pilot plant since 2009</t>
        </r>
      </text>
    </comment>
    <comment ref="F6" authorId="0" shapeId="0" xr:uid="{54D40DF4-C28E-4818-83B3-D7D1EAC9C461}">
      <text>
        <r>
          <rPr>
            <b/>
            <sz val="9"/>
            <color indexed="81"/>
            <rFont val="Tahoma"/>
            <family val="2"/>
          </rPr>
          <t>Author:</t>
        </r>
        <r>
          <rPr>
            <sz val="9"/>
            <color indexed="81"/>
            <rFont val="Tahoma"/>
            <family val="2"/>
          </rPr>
          <t xml:space="preserve">
pilot plant (Switzerland): 3,000 t/a</t>
        </r>
      </text>
    </comment>
    <comment ref="O6" authorId="0" shapeId="0" xr:uid="{DD0AA37E-F571-46E8-8723-2099522A165E}">
      <text>
        <r>
          <rPr>
            <b/>
            <sz val="9"/>
            <color indexed="81"/>
            <rFont val="Tahoma"/>
            <family val="2"/>
          </rPr>
          <t>Author:</t>
        </r>
        <r>
          <rPr>
            <sz val="9"/>
            <color indexed="81"/>
            <rFont val="Tahoma"/>
            <family val="2"/>
          </rPr>
          <t xml:space="preserve">
fully operational since 1 year (2021); technology demonstration in pilot plant in 2014</t>
        </r>
      </text>
    </comment>
    <comment ref="N7" authorId="0" shapeId="0" xr:uid="{4FAA342D-C90F-4761-B545-9EF5704D1456}">
      <text>
        <r>
          <rPr>
            <b/>
            <sz val="9"/>
            <color indexed="81"/>
            <rFont val="Tahoma"/>
            <family val="2"/>
          </rPr>
          <t>Author:</t>
        </r>
        <r>
          <rPr>
            <sz val="9"/>
            <color indexed="81"/>
            <rFont val="Tahoma"/>
            <family val="2"/>
          </rPr>
          <t xml:space="preserve">
no gas liberation, complete carbon recovery in form of waxes or grease base stocks</t>
        </r>
      </text>
    </comment>
    <comment ref="I8" authorId="0" shapeId="0" xr:uid="{CC16637D-0817-43C4-B11F-EDCB751BE402}">
      <text>
        <r>
          <rPr>
            <b/>
            <sz val="9"/>
            <color indexed="81"/>
            <rFont val="Tahoma"/>
            <charset val="1"/>
          </rPr>
          <t>Author:</t>
        </r>
        <r>
          <rPr>
            <sz val="9"/>
            <color indexed="81"/>
            <rFont val="Tahoma"/>
            <charset val="1"/>
          </rPr>
          <t xml:space="preserve">
für 2027-2028;
mittelstufe: </t>
        </r>
      </text>
    </comment>
    <comment ref="O8" authorId="0" shapeId="0" xr:uid="{F53247B7-D90D-4591-9C62-D77701899E20}">
      <text>
        <r>
          <rPr>
            <b/>
            <sz val="9"/>
            <color indexed="81"/>
            <rFont val="Tahoma"/>
            <family val="2"/>
          </rPr>
          <t>Author:</t>
        </r>
        <r>
          <rPr>
            <sz val="9"/>
            <color indexed="81"/>
            <rFont val="Tahoma"/>
            <family val="2"/>
          </rPr>
          <t xml:space="preserve">
started already in 2013  with plant of 50 t/a</t>
        </r>
      </text>
    </comment>
    <comment ref="G12" authorId="0" shapeId="0" xr:uid="{14384F9E-8685-405E-9C3C-23077A4AB0E4}">
      <text>
        <r>
          <rPr>
            <b/>
            <sz val="9"/>
            <color indexed="81"/>
            <rFont val="Tahoma"/>
            <family val="2"/>
          </rPr>
          <t>Author:</t>
        </r>
        <r>
          <rPr>
            <sz val="9"/>
            <color indexed="81"/>
            <rFont val="Tahoma"/>
            <family val="2"/>
          </rPr>
          <t xml:space="preserve">
calculated from sustainability report, stating that scale-up (see "Planned scale-up") corresponds to an 4-5-fold increase of the capacity of the current plants</t>
        </r>
      </text>
    </comment>
    <comment ref="I12" authorId="0" shapeId="0" xr:uid="{99539710-0511-45B3-ADC7-6E82893F46B8}">
      <text>
        <r>
          <rPr>
            <b/>
            <sz val="9"/>
            <color indexed="81"/>
            <rFont val="Tahoma"/>
            <family val="2"/>
          </rPr>
          <t>Author:</t>
        </r>
        <r>
          <rPr>
            <sz val="9"/>
            <color indexed="81"/>
            <rFont val="Tahoma"/>
            <family val="2"/>
          </rPr>
          <t xml:space="preserve">
also see further list entries to Plastic Energy</t>
        </r>
      </text>
    </comment>
    <comment ref="N13" authorId="0" shapeId="0" xr:uid="{F7770998-BCFA-4BC4-A151-878D41D4D311}">
      <text>
        <r>
          <rPr>
            <b/>
            <sz val="9"/>
            <color indexed="81"/>
            <rFont val="Tahoma"/>
            <family val="2"/>
          </rPr>
          <t>Author:</t>
        </r>
        <r>
          <rPr>
            <sz val="9"/>
            <color indexed="81"/>
            <rFont val="Tahoma"/>
            <family val="2"/>
          </rPr>
          <t xml:space="preserve">
products used for supply of process energy might not be included in specified product amount</t>
        </r>
      </text>
    </comment>
    <comment ref="O13" authorId="0" shapeId="0" xr:uid="{30DAB54B-7E35-4DF4-AE1A-A71F1733BB3C}">
      <text>
        <r>
          <rPr>
            <b/>
            <sz val="9"/>
            <color indexed="81"/>
            <rFont val="Tahoma"/>
            <family val="2"/>
          </rPr>
          <t>Author:</t>
        </r>
        <r>
          <rPr>
            <sz val="9"/>
            <color indexed="81"/>
            <rFont val="Tahoma"/>
            <family val="2"/>
          </rPr>
          <t xml:space="preserve">
source on plants from 2015</t>
        </r>
      </text>
    </comment>
    <comment ref="O15" authorId="0" shapeId="0" xr:uid="{98AC21EA-A822-43FA-9ACB-DA73BB2BB54C}">
      <text>
        <r>
          <rPr>
            <b/>
            <sz val="9"/>
            <color indexed="81"/>
            <rFont val="Tahoma"/>
            <family val="2"/>
          </rPr>
          <t>Author:</t>
        </r>
        <r>
          <rPr>
            <sz val="9"/>
            <color indexed="81"/>
            <rFont val="Tahoma"/>
            <family val="2"/>
          </rPr>
          <t xml:space="preserve">
was expected to start operation in 2019</t>
        </r>
      </text>
    </comment>
    <comment ref="H16" authorId="0" shapeId="0" xr:uid="{66154EBD-0690-4940-B007-BAC362F2C1C1}">
      <text>
        <r>
          <rPr>
            <b/>
            <sz val="9"/>
            <color indexed="81"/>
            <rFont val="Tahoma"/>
            <family val="2"/>
          </rPr>
          <t>Author:</t>
        </r>
        <r>
          <rPr>
            <sz val="9"/>
            <color indexed="81"/>
            <rFont val="Tahoma"/>
            <family val="2"/>
          </rPr>
          <t xml:space="preserve">
1,000 t were planned to be delivered to BASF in 2019</t>
        </r>
      </text>
    </comment>
    <comment ref="O17" authorId="0" shapeId="0" xr:uid="{C716EC06-4102-43C8-B49F-7443A60E4E5F}">
      <text>
        <r>
          <rPr>
            <b/>
            <sz val="9"/>
            <color indexed="81"/>
            <rFont val="Tahoma"/>
            <family val="2"/>
          </rPr>
          <t>Author:</t>
        </r>
        <r>
          <rPr>
            <sz val="9"/>
            <color indexed="81"/>
            <rFont val="Tahoma"/>
            <family val="2"/>
          </rPr>
          <t xml:space="preserve">
plant existed in 2021</t>
        </r>
      </text>
    </comment>
    <comment ref="B18" authorId="0" shapeId="0" xr:uid="{15BA201E-D987-41A1-951E-24EA1EAE3F93}">
      <text>
        <r>
          <rPr>
            <b/>
            <sz val="9"/>
            <color indexed="81"/>
            <rFont val="Tahoma"/>
            <family val="2"/>
          </rPr>
          <t>Author:</t>
        </r>
        <r>
          <rPr>
            <sz val="9"/>
            <color indexed="81"/>
            <rFont val="Tahoma"/>
            <family val="2"/>
          </rPr>
          <t xml:space="preserve">
research and development plant in Poland (Gliwice)</t>
        </r>
      </text>
    </comment>
    <comment ref="O18" authorId="0" shapeId="0" xr:uid="{A2E9065E-E9FF-4311-A1E5-763D51F9E57D}">
      <text>
        <r>
          <rPr>
            <b/>
            <sz val="9"/>
            <color indexed="81"/>
            <rFont val="Tahoma"/>
            <family val="2"/>
          </rPr>
          <t>Author:</t>
        </r>
        <r>
          <rPr>
            <sz val="9"/>
            <color indexed="81"/>
            <rFont val="Tahoma"/>
            <family val="2"/>
          </rPr>
          <t xml:space="preserve">
R&amp;D pilot plant since 2006</t>
        </r>
      </text>
    </comment>
    <comment ref="O19" authorId="0" shapeId="0" xr:uid="{EFD8A4CF-1B8A-40BD-B47A-63B0C97624BC}">
      <text>
        <r>
          <rPr>
            <b/>
            <sz val="9"/>
            <color indexed="81"/>
            <rFont val="Tahoma"/>
            <family val="2"/>
          </rPr>
          <t>Author:</t>
        </r>
        <r>
          <rPr>
            <sz val="9"/>
            <color indexed="81"/>
            <rFont val="Tahoma"/>
            <family val="2"/>
          </rPr>
          <t xml:space="preserve">
initially for biomass and lignite</t>
        </r>
      </text>
    </comment>
    <comment ref="F32" authorId="0" shapeId="0" xr:uid="{92FA9BD5-B1FF-4A0C-A574-9E86032D27A3}">
      <text>
        <r>
          <rPr>
            <b/>
            <sz val="9"/>
            <color indexed="81"/>
            <rFont val="Tahoma"/>
            <family val="2"/>
          </rPr>
          <t>Author:</t>
        </r>
        <r>
          <rPr>
            <sz val="9"/>
            <color indexed="81"/>
            <rFont val="Tahoma"/>
            <family val="2"/>
          </rPr>
          <t xml:space="preserve">
pilot plants in India in operation since 2012, test line in Moerdijk, Netherlands, operating since 2018</t>
        </r>
      </text>
    </comment>
    <comment ref="F34" authorId="0" shapeId="0" xr:uid="{38E8EAC7-3A74-46C7-9BB3-01612588E014}">
      <text>
        <r>
          <rPr>
            <b/>
            <sz val="9"/>
            <color indexed="81"/>
            <rFont val="Tahoma"/>
            <family val="2"/>
          </rPr>
          <t>Author:</t>
        </r>
        <r>
          <rPr>
            <sz val="9"/>
            <color indexed="81"/>
            <rFont val="Tahoma"/>
            <family val="2"/>
          </rPr>
          <t xml:space="preserve">
currently pilot plant at Ghent University</t>
        </r>
      </text>
    </comment>
    <comment ref="A38" authorId="0" shapeId="0" xr:uid="{CBC3915D-3C8C-4FEB-BB57-BFE98A2F9984}">
      <text>
        <r>
          <rPr>
            <b/>
            <sz val="9"/>
            <color indexed="81"/>
            <rFont val="Tahoma"/>
            <family val="2"/>
          </rPr>
          <t>Author:</t>
        </r>
        <r>
          <rPr>
            <sz val="9"/>
            <color indexed="81"/>
            <rFont val="Tahoma"/>
            <family val="2"/>
          </rPr>
          <t xml:space="preserve">
collaboration with KIT
</t>
        </r>
      </text>
    </comment>
    <comment ref="O42" authorId="0" shapeId="0" xr:uid="{CA8A7614-DF0A-4F2D-BFA5-CCCF1E7765E2}">
      <text>
        <r>
          <rPr>
            <b/>
            <sz val="9"/>
            <color indexed="81"/>
            <rFont val="Tahoma"/>
            <family val="2"/>
          </rPr>
          <t>Author:</t>
        </r>
        <r>
          <rPr>
            <sz val="9"/>
            <color indexed="81"/>
            <rFont val="Tahoma"/>
            <family val="2"/>
          </rPr>
          <t xml:space="preserve">
production start in 2011, no plant news regarding production since then</t>
        </r>
      </text>
    </comment>
    <comment ref="O46" authorId="0" shapeId="0" xr:uid="{4E937708-0CDC-46AD-A7F4-DE48C2C6D4B4}">
      <text>
        <r>
          <rPr>
            <b/>
            <sz val="9"/>
            <color indexed="81"/>
            <rFont val="Tahoma"/>
            <family val="2"/>
          </rPr>
          <t>Author:</t>
        </r>
        <r>
          <rPr>
            <sz val="9"/>
            <color indexed="81"/>
            <rFont val="Tahoma"/>
            <family val="2"/>
          </rPr>
          <t xml:space="preserve">
phase-1 operations; phase-2 operations since 2017</t>
        </r>
      </text>
    </comment>
    <comment ref="F50" authorId="0" shapeId="0" xr:uid="{685CFE96-5688-423D-80D5-15B075E91AC0}">
      <text>
        <r>
          <rPr>
            <b/>
            <sz val="9"/>
            <color indexed="81"/>
            <rFont val="Tahoma"/>
            <family val="2"/>
          </rPr>
          <t>Author:</t>
        </r>
        <r>
          <rPr>
            <sz val="9"/>
            <color indexed="81"/>
            <rFont val="Tahoma"/>
            <family val="2"/>
          </rPr>
          <t xml:space="preserve">
previously laboratory process, 1 kg batch</t>
        </r>
      </text>
    </comment>
    <comment ref="O55" authorId="0" shapeId="0" xr:uid="{9DB386C8-836B-41A3-AB74-44254A158170}">
      <text>
        <r>
          <rPr>
            <b/>
            <sz val="9"/>
            <color indexed="81"/>
            <rFont val="Tahoma"/>
            <family val="2"/>
          </rPr>
          <t>Author:</t>
        </r>
        <r>
          <rPr>
            <sz val="9"/>
            <color indexed="81"/>
            <rFont val="Tahoma"/>
            <family val="2"/>
          </rPr>
          <t xml:space="preserve">
start of trial operation in 2013</t>
        </r>
      </text>
    </comment>
    <comment ref="O57" authorId="0" shapeId="0" xr:uid="{BA26FB63-F06D-4165-B363-4C4E7E11AA5E}">
      <text>
        <r>
          <rPr>
            <b/>
            <sz val="9"/>
            <color indexed="81"/>
            <rFont val="Tahoma"/>
            <family val="2"/>
          </rPr>
          <t>Author:</t>
        </r>
        <r>
          <rPr>
            <sz val="9"/>
            <color indexed="81"/>
            <rFont val="Tahoma"/>
            <family val="2"/>
          </rPr>
          <t xml:space="preserve">
pilot plant since 2015</t>
        </r>
      </text>
    </comment>
    <comment ref="N59" authorId="0" shapeId="0" xr:uid="{3D640EB2-E65E-45AB-A33E-3B041FDE8A39}">
      <text>
        <r>
          <rPr>
            <b/>
            <sz val="9"/>
            <color indexed="81"/>
            <rFont val="Tahoma"/>
            <family val="2"/>
          </rPr>
          <t>Author:</t>
        </r>
        <r>
          <rPr>
            <sz val="9"/>
            <color indexed="81"/>
            <rFont val="Tahoma"/>
            <family val="2"/>
          </rPr>
          <t xml:space="preserve">
only contaminants and other plastics are being removed</t>
        </r>
      </text>
    </comment>
  </commentList>
</comments>
</file>

<file path=xl/sharedStrings.xml><?xml version="1.0" encoding="utf-8"?>
<sst xmlns="http://schemas.openxmlformats.org/spreadsheetml/2006/main" count="6232" uniqueCount="2259">
  <si>
    <t>Klotz et al. (2023)</t>
  </si>
  <si>
    <r>
      <t xml:space="preserve">impacts from Schwarz et al. </t>
    </r>
    <r>
      <rPr>
        <b/>
        <sz val="14"/>
        <color theme="1"/>
        <rFont val="Calibri"/>
        <family val="2"/>
        <scheme val="minor"/>
      </rPr>
      <t>incl. production</t>
    </r>
  </si>
  <si>
    <r>
      <t xml:space="preserve">impacts from Schwarz et al. </t>
    </r>
    <r>
      <rPr>
        <b/>
        <sz val="14"/>
        <color theme="1"/>
        <rFont val="Calibri"/>
        <family val="2"/>
        <scheme val="minor"/>
      </rPr>
      <t>only waste treatment (net)</t>
    </r>
  </si>
  <si>
    <t xml:space="preserve"> </t>
  </si>
  <si>
    <t>t CO2-eq / t plastic produced or plastic waste input</t>
  </si>
  <si>
    <t>production</t>
  </si>
  <si>
    <t>Gasification (Monomers)</t>
  </si>
  <si>
    <t>Gasification (Energy)</t>
  </si>
  <si>
    <t>Pyrolysis (Monomers)</t>
  </si>
  <si>
    <t>Pyrolysis (Wax)</t>
  </si>
  <si>
    <t>Pyrolysis (Energy)</t>
  </si>
  <si>
    <t>Depolymerization</t>
  </si>
  <si>
    <t>Dissolution</t>
  </si>
  <si>
    <t>Gasification - average</t>
  </si>
  <si>
    <t>Pyrolysis - average</t>
  </si>
  <si>
    <t>best technology for polymer</t>
  </si>
  <si>
    <t>best technology for polymer - considering average gasification and pyrolysis</t>
  </si>
  <si>
    <t>HDPE</t>
  </si>
  <si>
    <t>/</t>
  </si>
  <si>
    <t>LDPE</t>
  </si>
  <si>
    <t>PET</t>
  </si>
  <si>
    <t>PP</t>
  </si>
  <si>
    <t>PS</t>
  </si>
  <si>
    <t>PVC</t>
  </si>
  <si>
    <t>ABS</t>
  </si>
  <si>
    <t>HIPS</t>
  </si>
  <si>
    <t>PA</t>
  </si>
  <si>
    <t>PC</t>
  </si>
  <si>
    <t>PUR</t>
  </si>
  <si>
    <t>gasification</t>
  </si>
  <si>
    <t>source</t>
  </si>
  <si>
    <t>plastic_type</t>
  </si>
  <si>
    <t>waste</t>
  </si>
  <si>
    <t>not colected at all</t>
  </si>
  <si>
    <t>separable plastic types of sorting and recycling residues for chemical recycling, i.e. flexible treatment</t>
  </si>
  <si>
    <t>non-separable plastic types of sorting and recycling residues for chemical recycling, i.e. only gasification or pyrolysis possible (else at least one plastic type (which is not target) is lost)</t>
  </si>
  <si>
    <t>final disposal</t>
  </si>
  <si>
    <t>kg CO2-eq</t>
  </si>
  <si>
    <t>Gasification (average)</t>
  </si>
  <si>
    <t>Pyrolysis (average)</t>
  </si>
  <si>
    <t>Depolymerization (&amp;dissolution-grey) - average</t>
  </si>
  <si>
    <t>Dissolution (&amp;depolymerization-grey) - average</t>
  </si>
  <si>
    <t>best technology for each plastic type - upper range</t>
  </si>
  <si>
    <t>best technology for each plastic type - lower range</t>
  </si>
  <si>
    <t>best technology for each plastic type</t>
  </si>
  <si>
    <t>total</t>
  </si>
  <si>
    <t>future</t>
  </si>
  <si>
    <t>future energy and mobility situation</t>
  </si>
  <si>
    <t>no mech rec + incineration</t>
  </si>
  <si>
    <t>max mech rec + incineration in WTE plants</t>
  </si>
  <si>
    <t>max mech rec + max incineration in cement kilns</t>
  </si>
  <si>
    <t>max mech rec + incineration in WTE plants with carbon capture</t>
  </si>
  <si>
    <t>max mech rec 
+ gasificiation</t>
  </si>
  <si>
    <t>max mech rec 
+ pyrolysis</t>
  </si>
  <si>
    <t>max mech rec 
+ depolymerization
&amp;dissolution</t>
  </si>
  <si>
    <t>max mech rec 
+ dissolution
&amp;depolymerization</t>
  </si>
  <si>
    <t>incineration in cement kiln</t>
  </si>
  <si>
    <t>primary and secondary (mechanical recycling) production</t>
  </si>
  <si>
    <t>chemical recycling net (including credits for avoided products)</t>
  </si>
  <si>
    <t>positive error</t>
  </si>
  <si>
    <t>negative error</t>
  </si>
  <si>
    <t>today</t>
  </si>
  <si>
    <t>today's energy and mobility situation</t>
  </si>
  <si>
    <t>(direct) incineration</t>
  </si>
  <si>
    <t>vs max</t>
  </si>
  <si>
    <t xml:space="preserve">Klotz et al. </t>
  </si>
  <si>
    <t>Direct impacts chemical recycling processes including pretreatment</t>
  </si>
  <si>
    <t>Impacts collection and sorting for chemical recycling processes</t>
  </si>
  <si>
    <t>total impact</t>
  </si>
  <si>
    <t>pyrolysis</t>
  </si>
  <si>
    <t>depolymerization</t>
  </si>
  <si>
    <t>dissolution</t>
  </si>
  <si>
    <t>additional transport required for gasification</t>
  </si>
  <si>
    <t>Assessment of separable shares may be different among product segments, but average share was used for all</t>
  </si>
  <si>
    <t>no collection</t>
  </si>
  <si>
    <t>reuse from collection for recycling or reuse</t>
  </si>
  <si>
    <t>Mass flows</t>
  </si>
  <si>
    <t>LCA Data</t>
  </si>
  <si>
    <t>System impacts</t>
  </si>
  <si>
    <t>Depolymerization (&amp;dissolution-grey) + Gasification (average)</t>
  </si>
  <si>
    <t>Depolymerization (&amp;dissolution-grey) + Pyrolysis (average)</t>
  </si>
  <si>
    <t>Dissolution (&amp;depolymerization-grey) + Gasification (average)</t>
  </si>
  <si>
    <t>Dissolution (&amp;depolymerization-grey) + Pyrolysis (average)</t>
  </si>
  <si>
    <t>incineration for waste not going to chemical recycling</t>
  </si>
  <si>
    <t>direct chemical recycling benefit</t>
  </si>
  <si>
    <t>incineration avoiding benefit</t>
  </si>
  <si>
    <t>Source</t>
  </si>
  <si>
    <t>Original data source</t>
  </si>
  <si>
    <t>Process type</t>
  </si>
  <si>
    <t>Reactor type</t>
  </si>
  <si>
    <t>Catalysator</t>
  </si>
  <si>
    <t>Suitable waste input source</t>
  </si>
  <si>
    <t>Suitable waste input composition</t>
  </si>
  <si>
    <t>Temperature level [°C]</t>
  </si>
  <si>
    <t>Pressure level [bar]</t>
  </si>
  <si>
    <t>Common size (industrial scale)</t>
  </si>
  <si>
    <t>Auxiliary input materials (solvent, water, oxygen, catalyst, …)</t>
  </si>
  <si>
    <t>Required energy</t>
  </si>
  <si>
    <t>Energy supply (fuel or electricity)</t>
  </si>
  <si>
    <t>Required pretreatment steps</t>
  </si>
  <si>
    <t>Required waste composition (size, elements content, moisture/ash/volatiles content…)</t>
  </si>
  <si>
    <t>Maturity level</t>
  </si>
  <si>
    <t>Products</t>
  </si>
  <si>
    <t>Products shares of total output [%]</t>
  </si>
  <si>
    <t>Share liquid output of chosen studies</t>
  </si>
  <si>
    <t>Share gaseous output of chosen studies</t>
  </si>
  <si>
    <t>Share solid output of chosen studies</t>
  </si>
  <si>
    <t>Composition of the pyrolysis liquids [%]</t>
  </si>
  <si>
    <t>Composition of the pyrolysis gases [%]</t>
  </si>
  <si>
    <t>Composition of the pyrolysis solids [%]</t>
  </si>
  <si>
    <t>C</t>
  </si>
  <si>
    <t>H</t>
  </si>
  <si>
    <t>O</t>
  </si>
  <si>
    <t>N</t>
  </si>
  <si>
    <t>Cl</t>
  </si>
  <si>
    <t>F</t>
  </si>
  <si>
    <t>Br</t>
  </si>
  <si>
    <t>S</t>
  </si>
  <si>
    <t>ash</t>
  </si>
  <si>
    <t>Comments</t>
  </si>
  <si>
    <t>Kaminsky et al. (1995)</t>
  </si>
  <si>
    <t>Pyrolysis</t>
  </si>
  <si>
    <t>Fluidized bed reactor (FBR)</t>
  </si>
  <si>
    <t>without</t>
  </si>
  <si>
    <t>100% HDPE</t>
  </si>
  <si>
    <t>steam</t>
  </si>
  <si>
    <t>fuel and electricity</t>
  </si>
  <si>
    <t>washing, shredding, density separation</t>
  </si>
  <si>
    <t>laboratory scale (1-3 kg/h)</t>
  </si>
  <si>
    <t>Liquids, Gases, Solids</t>
  </si>
  <si>
    <t>41% Liquids, 31% Gases, 29% Solids</t>
  </si>
  <si>
    <t>0.7% toluene, 0.7% benzene, 0.05% xylene, 11.2% C5, 15.1% C6</t>
  </si>
  <si>
    <t>0.3% H, 0.1% CO2, 7.7% methane, 6.1% ethane, 35.5% ethene, 24.2% propene, 11.3% butene, 11.2% butadiene</t>
  </si>
  <si>
    <t>100% distillation residue</t>
  </si>
  <si>
    <t>Steam cannot be considered as an inert gas, due to the formation of carbon oxides, which is influenced by the amount of steam</t>
  </si>
  <si>
    <t>20% Liquids, 76% Gases, 3.6% Solids</t>
  </si>
  <si>
    <t>11% toluene, 43% benzene, 1% xylene, 5.5% styrene, 5.5% naphtalene, 16% C5</t>
  </si>
  <si>
    <t>0.8% H2, 0.4% CO, 0.5% CO2, 13.2% methane, 3.6% ethane, 47.4% ethene, 19.7% propene, 2.5% butene, 9.2% butadiene</t>
  </si>
  <si>
    <t>55.6% distillation residue, 44.4% solids</t>
  </si>
  <si>
    <t>21.6% Liquids, 69% Gases, 9.6% Solids</t>
  </si>
  <si>
    <t>5.1% toluene, 50.9% benzene, 1.4% xylene, 6.9% styrene, 21.3% naphtalene, 1.9% C5</t>
  </si>
  <si>
    <t>3% H2, 5.9% CO, 3.8% CO2, 27.5% methane, 2.3% ethane, 49.3% ethene, 2% propene, 2.6% butadiene</t>
  </si>
  <si>
    <t>92.7% distillation residue, 6.3% solids</t>
  </si>
  <si>
    <t>Yoshioka et al. (2004)</t>
  </si>
  <si>
    <t>100% PET</t>
  </si>
  <si>
    <t>laboratory scale (1 kg/h)</t>
  </si>
  <si>
    <t>2% Liquids, 37% Gases, 49% Solids</t>
  </si>
  <si>
    <t>4% Liquids, 39% Gases, 46% Solids</t>
  </si>
  <si>
    <t>MSW</t>
  </si>
  <si>
    <t>77% PET, 12% TiO2, 5% Barium ferrite, 4% metals</t>
  </si>
  <si>
    <t>3% Liquids, 31% Gases, 31% Solids</t>
  </si>
  <si>
    <t>Barium ferrite, Fe2O3, NiO have catalytic effect.</t>
  </si>
  <si>
    <t>12% Liquids, 39% Gases, 14% Solids</t>
  </si>
  <si>
    <t>70% PET, 13% TiO2, 7% Fe2O3, 7% NiO</t>
  </si>
  <si>
    <t>0% Liquids, 34% Gases, 9% Solids</t>
  </si>
  <si>
    <t>7% Liquids, 40% Gases, 8% Solids</t>
  </si>
  <si>
    <t>Karaduman et al. (2003)</t>
  </si>
  <si>
    <t>Free-Fall Reactor</t>
  </si>
  <si>
    <t>100% LDPE</t>
  </si>
  <si>
    <t>nitrogen</t>
  </si>
  <si>
    <t>Shredding</t>
  </si>
  <si>
    <t>particle size: 0.075-0.15 mm</t>
  </si>
  <si>
    <t>5% Liquids, 37% Gases, 58% Solids</t>
  </si>
  <si>
    <t>Demirbas et al. (2004)</t>
  </si>
  <si>
    <t>MPW</t>
  </si>
  <si>
    <t>PS/PP/PE</t>
  </si>
  <si>
    <t>shredding</t>
  </si>
  <si>
    <t>particle size: 3mm x 5mm</t>
  </si>
  <si>
    <t>laboratory scale</t>
  </si>
  <si>
    <t>33.2% paraffins, 31.6% olefins, 22.7% naphtene, 11.6% aromatics, 0.9% others</t>
  </si>
  <si>
    <t>x</t>
  </si>
  <si>
    <t>31.1% paraffins, 32.3% olefins, 23% naphtene, 12.5% aromatics, 1.1% others</t>
  </si>
  <si>
    <t>31.4% paraffins, 33.6% olefins, 21.5% naphtene, 13.6% aromatics, 1.9% others</t>
  </si>
  <si>
    <t>32.5% paraffins, 37.3% olefins, 20.7% naphtene, 7.9% aromatics, 1.6% others</t>
  </si>
  <si>
    <t>Lopez et al. (2010)</t>
  </si>
  <si>
    <t>Fixed bed reactors</t>
  </si>
  <si>
    <t>39.5% HDPE, 34.17% PP, 9.33% PS, 6.93% expanded PS, 2.94% PET, 4.16% PVC, 0.38% others, 2.24% ABS, 0.35% paper</t>
  </si>
  <si>
    <t>sorting and shredding</t>
  </si>
  <si>
    <t>particle size: max. 8mm</t>
  </si>
  <si>
    <t>53% Liquids, 41.5% Gases, 5.5% Solids</t>
  </si>
  <si>
    <t>12% toluene, 5.4% Dimethyl-heptene, 10.4% Ethyl-benzene, 2.1% xylene, 40.9% styrene, 4.8% 𝛂-Methyl-styrene</t>
  </si>
  <si>
    <t>2.4% CO, 4.9% CO2, 15.2% methane, 15.7% ethane, 25.7% ethene, 32.1% C3</t>
  </si>
  <si>
    <t>48% C, 1.9% H, 0.9% N, 3.7% Cl, 45.5% ash/others</t>
  </si>
  <si>
    <t>real sample, out of separation plant in Spain</t>
  </si>
  <si>
    <t>Adrados et al. (2012)</t>
  </si>
  <si>
    <t>semi-batch reactor</t>
  </si>
  <si>
    <t>18.77% PE, 21.94% PP, 8.36% PS, 3.02% expanded PS, 3.23% PET, 0.79% PVC, 2.14% PE film, 1.73% PP film, 5.34% packing waste, 34.68% others (glass, wood waste, ABS,…)</t>
  </si>
  <si>
    <t>40.9% Liquids, 25.6% Gases, 33.5% Solids</t>
  </si>
  <si>
    <t>14.9% toluene, 1.2% 2,4-dimethyl-1-heptane, 16.4% ethyl benzene, 4.1% xylene, 33.5% styrene, 7% 𝛂-methyl styrene, 3.1% naphtalene, 1.2% methyl naphtalene</t>
  </si>
  <si>
    <t>8.2% H2, 8.3% CO, 15% CO2, 3.2% methane, 8.5% ethane, 18.8% ethene, 17.3% C3, 10.3% C4</t>
  </si>
  <si>
    <t>29.3% C, 1.2% H, 1.1% N, 4.7% Cl, 61.4% ash/others</t>
  </si>
  <si>
    <t>40% PE, 35% PP, 18% PS, 4% PET, 3% PVC</t>
  </si>
  <si>
    <t>65.2% Liquids, 34% Gases, 0.8% Solids</t>
  </si>
  <si>
    <t>8.1% toluene, 5.9% 2,4-dimethyl-1-heptane, 5% ethyl benzene, 1.5% xylene, 48.4% styrene, 4.2% 𝛂-methyl styrene, 0.8% naphtalene</t>
  </si>
  <si>
    <t>6.9% H2, 0.9% CO, 2.2% CO2, 17.4% methane, 11.1% ethane, 14.6% ethene, 23% C3, 12.2% C4, 5.4% C5, 6.3% C6</t>
  </si>
  <si>
    <t>93.7% C, 3.5% H, 0.3% Cl, 2.3% ash/others</t>
  </si>
  <si>
    <t>simulated sample, according to the plastic packaging waste content in the real sample of the separation plant in Spain.</t>
  </si>
  <si>
    <t>red mud</t>
  </si>
  <si>
    <t>57% Liquids, 42.4% Gases, 0.6% Solids</t>
  </si>
  <si>
    <t>14.2% toluene, 2.1% 2,4-dimethyl-1-heptane, 9.0% ethyl benzene, 4.2% xylene, 42.3% styrene, 4.9% 𝛂-methyl styrene, 2.9% naphtalene, 1.4% methyl naphtalene</t>
  </si>
  <si>
    <t>10.8% H2, 1.2% CO, 4.8% CO2, 24.9% methane, 11.7% ethane, 17.5% ethene, 18% C3, 8.4% C4, 2.2% C5</t>
  </si>
  <si>
    <t>13.9% C, 0.7% H, 3.7% Cl, 80.8% ash/others</t>
  </si>
  <si>
    <t>Kaminsky et Kim (1999)</t>
  </si>
  <si>
    <t>65%Polyolefins, 14% PS, 3.8% PVC, 7.2% paper, 2.0% other plastic, 4.0% water, 4.0% metals</t>
  </si>
  <si>
    <t>lime</t>
  </si>
  <si>
    <t>propane or electricity</t>
  </si>
  <si>
    <t>laboratory scale (3 kg/h)</t>
  </si>
  <si>
    <t>44% Liquids, 44% Gases, 12% Solids</t>
  </si>
  <si>
    <t>13.9% toluene, 24.5% benzene, 2.3% ethyl benzene, 1.4% xylene, 18% styrene, 2.5% methyl styrene, 2.7% naphtalene, 0.9% methyl naphtalene, 11.1% paraffins C5-C6, 3.6% paraffins C7-C9, 13.2% others</t>
  </si>
  <si>
    <t>1.1% H2, 12.5% CO, 5.7% CO2, 28% methane, 8.9% ethane, 20.2% ethene, 13.6% propene, 5.2% butene</t>
  </si>
  <si>
    <t>65%Polyolefins, 25% PS, 1.2% PVC, 1.5% paper, 1.3% other plastic, 4.1% water, 1.9% metals</t>
  </si>
  <si>
    <t>50% Liquids, 38% Gases, 12% Solids</t>
  </si>
  <si>
    <t>7.8% toluene, 34.8% benzene, 0.4% ethyl benzen, 0.4% xylene, 17.4% styrene, 0.4% methyl styrene, 14.4% naphtalene, 0.2% methyl naphtalene, 1.4% paraffins C5-C6, 0.4% paraffins C7-C9, 5% indene, 12.4% others</t>
  </si>
  <si>
    <t>1.8% H2, 3.4% CO, 1.6% CO2, 53.9% methane, 5.8% ethane, 27.1% ethene, 2.6% propene</t>
  </si>
  <si>
    <t>technical scale reactor (60 kg/h)</t>
  </si>
  <si>
    <t>51.8% Liquids, 35% Gases, 13.2% Solids</t>
  </si>
  <si>
    <t>14.7% toluene, 17.6% benzene, 4.8% ethyl benzene, 1.5% xylene, 20.8% sytrene, 3.1% methyl styrene, 4.4% naphtalene, 1.9% methyl naphtalene, 6% paraffins C5-C6, 1% paraffins C7-C9, 9.8% others, 2.3% C3-benzene, 2.1% C4-benzene, 4.8% other aromatics</t>
  </si>
  <si>
    <t>1.1% H2, 3.7% CO, 1.1% CO2, 34% methane, 11.1% ethane, 25.4% ethene, 14.3% propene, 4.6% butene</t>
  </si>
  <si>
    <t>Sakata et al. (2003)</t>
  </si>
  <si>
    <t>batch reactor</t>
  </si>
  <si>
    <t>42.2% PE, 17.6% PP, 24.1% PS, 5.1% PVC, 1.7% PVDC, 8.9% PET, 0.3% ABS</t>
  </si>
  <si>
    <t>particle size: 3mm x 2mm</t>
  </si>
  <si>
    <t>59% Liquids, 25% Gases, 16% Solids</t>
  </si>
  <si>
    <t>presence of PET increases the formation of new chlorinated hydrocarbons in liquid products and decreases the inorgangic chlorine content in the gaseous products.</t>
  </si>
  <si>
    <t>30% PE, 30% PP, 30% PS, 10% PVC</t>
  </si>
  <si>
    <t>70% Liquids, 25% Gases, 5% Solids</t>
  </si>
  <si>
    <t>27.3% PE, 27.3% PP, 27.3% PS, 9.1% PVC, 9.1% PET</t>
  </si>
  <si>
    <t>53% Liquids, 34% Gases, 13% Solids</t>
  </si>
  <si>
    <t>Miskolczi et al. (2004)</t>
  </si>
  <si>
    <t>horizontal tube reactor</t>
  </si>
  <si>
    <t>40% PE, 40% PP, 20% EPC</t>
  </si>
  <si>
    <t>24.3% Liquids, 6.1% Gases, 69.6 Solids</t>
  </si>
  <si>
    <t>39% PE, 49% PP, 2% PA, 2% PUR, 8% PS</t>
  </si>
  <si>
    <t>21% Liquids, 5.1% Gases, 73.9% Solids</t>
  </si>
  <si>
    <t>73% PE/PP, 26% PS, 1% PVC</t>
  </si>
  <si>
    <t>Washing, shredding, density separation</t>
  </si>
  <si>
    <t>38% Liquids, 53% Gases, 9.6% Solids</t>
  </si>
  <si>
    <t>10% toluene, 17.1% benzene, 3.9% xylene, 34.2% styrene, 5% naphtalene, 8.9% C5</t>
  </si>
  <si>
    <t>0.9% H2, 1.1% CO, 0.8% CO2, 13.2% methane, 4% ethane, 37.7% ethene, 5.8% butene, 9.6% butadiene</t>
  </si>
  <si>
    <t>79.2% distillation residue, 20.8% solids</t>
  </si>
  <si>
    <t>DeMarco et al. (2008)</t>
  </si>
  <si>
    <t>Autoclave reactor</t>
  </si>
  <si>
    <t>WEEE (PE wires)</t>
  </si>
  <si>
    <t>28% inorganic matter, 64.1% C, 9.6% H</t>
  </si>
  <si>
    <t>Liquid, Gases, Solids</t>
  </si>
  <si>
    <t>44.1% Liquids, 23% Gases, 32.9% Solids</t>
  </si>
  <si>
    <t>1.7% phenol derivatives, 8.7% other oygenated aromatics, 1.4% toluene, 1.1% other alkyl benzenes, 62% non-aromatics</t>
  </si>
  <si>
    <t>WEEE (table phones)</t>
  </si>
  <si>
    <t>15% inorganic matter, 75.1% C, 6.6% H, 4.8% N</t>
  </si>
  <si>
    <t>53.5% Liquids, 12.2% Gases, 34.4% Solids</t>
  </si>
  <si>
    <t xml:space="preserve">1.8% phenol, 1.4% phneol derivatives, 12.8% alkyl benzenes, 30.2% nitrogenated aromatics, 6.4% silicon compounds, </t>
  </si>
  <si>
    <t>WEEE (mobile phones)</t>
  </si>
  <si>
    <t>15.6% inorganic matter, 70.1% C, 5.7% H, 1.8% N</t>
  </si>
  <si>
    <t xml:space="preserve">57.4% Liquids, 12.3% Gases, 30.3% Solids </t>
  </si>
  <si>
    <t xml:space="preserve">10.5% phenol, 23% phenol derivatives, 3% toluene, 9.1% styrene, 6.8% alkyl benzenes, 3.8% nitrogenated aromatics, 14.2% silicon compounds, </t>
  </si>
  <si>
    <t>WEEE (PCR)</t>
  </si>
  <si>
    <t>70.7% inorganic matter, 20.5% C, 1.4% H, 0.5% N</t>
  </si>
  <si>
    <t>16.2% Liquids, 7.3% Gases, 76.5% Solids</t>
  </si>
  <si>
    <t xml:space="preserve">36.1% phenols, 26.9% phenol derivatives, 1.2% other oxygenated aromatics, 1.6% toluene, 5.1% alkyl benzenes, 1.3% nitrogenated aromatics, </t>
  </si>
  <si>
    <t>Hall et al. (2007)</t>
  </si>
  <si>
    <t>fixed bed reactor</t>
  </si>
  <si>
    <t>WEEE (CRT)</t>
  </si>
  <si>
    <t>5.5% N, 81.6% C, 7.5% H, 3.9% O, 0.26% Cl, 1.3% Ash</t>
  </si>
  <si>
    <t>1.5 kW tube furnace</t>
  </si>
  <si>
    <t>shredding and dismantling</t>
  </si>
  <si>
    <t>particle size: 600um-1mm</t>
  </si>
  <si>
    <t>83.85% Liquids, 1.4% Gases, 14.45% Char</t>
  </si>
  <si>
    <t>3.2% toluene, 8.3% ethyl benzene, 19.3% styrene, 6.8% 𝛂-methyl styrene, 1.7% cumene, 0.9% 2,5-Dimethylphenol, 10.3% Benzenebutanenitrile, 4.1% 1,3-Diphenylpropane, 1.3% Diphenylcyclopropane, 0.6% hexadecanenitrile</t>
  </si>
  <si>
    <t>5.1% H2, 6.1% CO, 24.4% CO2, 20.1% methane, 10.3% ethane, 6.7% ethene, 4% propane, 6.7% propene, 1.8% butane, 14.9% butene/butadiene</t>
  </si>
  <si>
    <t>WEEE (refrigertors)</t>
  </si>
  <si>
    <t>1.8% N, 71.4% C, 7% H, 4.7% O, 1.3% Cl, 13.8% Ash</t>
  </si>
  <si>
    <t>76.5% Liquids, 2.95% Gases, 20.4% Char</t>
  </si>
  <si>
    <t>4.6% toluene, 8.6% ethyl benzene, 39.9% styrene, 2.7% 𝛂-methyl styrene, 0.1% naphthalene, 0.7% cumene, 1.1% (1-Methoxy-1-methylethyl)benzene, 1.1% Benzenebutanenitrile, 3.5% 1,3-Diphenylpropane, 1.6% 1,2-Diphenyl-1-isocyanoethane, 0.7% 1,2-Diphenylcyclopropane, 0.6% 2,4-Diphenyl-4-methyl-1-pentene, 0.9% 1,3-Diphenyl-1-butene, 0.6% Isooctyl phtalate</t>
  </si>
  <si>
    <t>10.3% H2, 7.4% CO, 47.1% CO2, 10.6% methane, 3.8% ethane, 3.1% ethene, 3.4% propane, 5% propene, 1.3% butane, 7.5% butene/butadiene</t>
  </si>
  <si>
    <t>WEEE (mixed)</t>
  </si>
  <si>
    <t>0.8% N, 75.7% C, 6.3% H, 13.5% O, 0.31% F, 3.3% Ash</t>
  </si>
  <si>
    <t>70.6% Liquids, 7.8% Gases, 21.05% Char</t>
  </si>
  <si>
    <t xml:space="preserve">0.8% toluene, 1% ethyl benzene, 5.9% styrene, 1% 𝛂-methyl styrene, 21.4% phenol, 0.7% 4-Ethylphenol, 8.8% 4-Isopropylphenol, 1.7% p-Isopropenylphenol, 1.1% Benzenebutanenitrile, 0.7% 1,3-Diphenylpropane, 2.4% Diphenyl carbonate, 1.4% 3,5-Diethyl-2-phenylpyridine, 1.3% 4-(Dimethylphenylethyl)phenol, 2.3% Bisphenol A, 1.3% Triphenyl phosphate, </t>
  </si>
  <si>
    <t>1% H2, 14.7% CO, 64.7% CO2, 6.4% methane, 1% ethane, 1.2% ethene, 1.1% propene, 8.9% butene/butadiene</t>
  </si>
  <si>
    <t>Esposito et al. (2020)</t>
  </si>
  <si>
    <t>WEEE residue</t>
  </si>
  <si>
    <t>62% C, 6.4% H, 1.4% N, 9% O, 2.2% Cl, 1.4% Br</t>
  </si>
  <si>
    <t>particle size: 20mm</t>
  </si>
  <si>
    <t>60.6% liquids, 7% Gases, 32% Solids</t>
  </si>
  <si>
    <t>5% toluene, 3% ethyl benzene, 14% styrene, 2% benzene</t>
  </si>
  <si>
    <t>23% H2, 8.2% CO, 45% CO2, 13% methane, 3.5% ethane, 3.2% ethene, 3% C3, 1% C4, 0.2% C5</t>
  </si>
  <si>
    <t>HUSY(5.1)</t>
  </si>
  <si>
    <t>59% Liquids, 6% Gases, 36% Solids</t>
  </si>
  <si>
    <t>6% toluene, 4% ethyl benzene, 13% styrene, 5% benzene</t>
  </si>
  <si>
    <t>18% H2, 10.5% CO, 40% CO2, 16% methane, 3.8% ethane, 3.2% ethene, 5.7% C3, 1.9% C4, 0.5% C5</t>
  </si>
  <si>
    <t>HUSY(810)</t>
  </si>
  <si>
    <t>65.4% Liquids, 8.5% Gases, 27% Solids</t>
  </si>
  <si>
    <t>7.5% toluene, 4.5% ethyl benzene, 17% styrene, 2% benzene</t>
  </si>
  <si>
    <t>21% H2, 9% CO, 43% CO2, 14% methane, 3.9% ethane, 3.2% ethene, 4% C3, 1.2% C4, 0.5% C5</t>
  </si>
  <si>
    <t>NaUSY(5.7)</t>
  </si>
  <si>
    <t>67.9% Liquids, 9% Gases, 24% Solids</t>
  </si>
  <si>
    <t>6.5% toluene, 5% ethyl benzene, 17% styrene, 6% benzene</t>
  </si>
  <si>
    <t>21% H2, 9% CO, 44% CO2, 14% methane, 3.1% ethane, 2.8% ethene, 4.9% C3, 1.3% C4, 0.2% C5</t>
  </si>
  <si>
    <t>HZSM-5(250)</t>
  </si>
  <si>
    <t>61.4% Liquids, 8.6% Gases, 30% Solids</t>
  </si>
  <si>
    <t>6% toluene, 4% ethyl benzene, 14% styrene, 2% benzene</t>
  </si>
  <si>
    <t>7% H2, 11.1% CO, 45% CO2, 13% methane, 3.7% ethane, 3.2% ethene, 4.9% C3, 1.8% C4, 0.4% C5</t>
  </si>
  <si>
    <t>Benedetti et al. (2017)</t>
  </si>
  <si>
    <t>WEEE</t>
  </si>
  <si>
    <t>85.3% C, 7.8% H, 3.4% N, 0.98% O, 0.02% Cl, 0.13% Br</t>
  </si>
  <si>
    <t>87% Liquids, 2% Gases, 13% Solids</t>
  </si>
  <si>
    <t>6.8% toluene, 9.3% ethylbenzene, 37.3% styrene, 0.2% benzene, 7.7%  𝛂-methyl styrene, 2.1% 1-methylethyl-benzene, 11% Benzenebutanenitrile, 6.4% (1,3-propanediyl)bis-benzene</t>
  </si>
  <si>
    <t>18% CO, 36% CO2, 22% methane, 6.9% ethane, 9% ethene, 1.5% propane, 3.6% propene, 0.2% butane, 3% butene</t>
  </si>
  <si>
    <t>FA</t>
  </si>
  <si>
    <t>85% Liquids, 2% Gases, 12.2% Solids</t>
  </si>
  <si>
    <t>4.4% toluene, 8.5% ethylbenzene, 44.2% styrene, 0.2% benzene, 11.5%  𝛂-methyl styrene, 3.2% 1-methylethyl-benzene, 5.1% Benzenebutanenitrile, 4.5% (1,3-propanediyl)bis-benzene, 1.2% (2-butene-1,4-diyl)bis-benzene</t>
  </si>
  <si>
    <t>15% CO, 63% CO2, 11% methane, 2.2% ethane, 6.2% ethene, 0.4% propane, 1.4% propene, 0.6% butene</t>
  </si>
  <si>
    <t>FAMA</t>
  </si>
  <si>
    <t>79% Liquids, 2.5% Gases, 19% Solids</t>
  </si>
  <si>
    <t>4.7% toluene, 4.6% ethylbenzene, 52.8% styrene, 0.2% benzene, 1.4% 1-methylethyl-benzene, 8.4%  𝛂-methyl styrene, 6.1% Benzenebutanenitrile, 6% (1,3-propanediyl)bis-benzene, 1.4% (2-butene-1,4-diyl)bis-benzene</t>
  </si>
  <si>
    <t>28% CO, 57% CO2, 10% methane, 4% ethene, 0.3% propane, 1.2% propene, 0.7% butene</t>
  </si>
  <si>
    <t>FAMB</t>
  </si>
  <si>
    <t>85% Liquids, 4% Gases, 11.4% Solids</t>
  </si>
  <si>
    <t>4.2% toluene, 3.9% ethylbenzene, 59.2% styrene, 0.2% benzene, 9.6%  𝛂-methyl styrene, 6.7% Benzenebutanenitrile, 4.2% (1,3-propanediyl)bis-benzene, 2.7% (2-butene-1,4-diyl)bis-benzene</t>
  </si>
  <si>
    <t>35% H2, 12% CO, 38% CO2, 8% methane, 3.9% ethane, 0.5% propane, 1.6% propene, 0.5% butene</t>
  </si>
  <si>
    <t>Santella et al. (2016)</t>
  </si>
  <si>
    <t>particle size: 0.5mm</t>
  </si>
  <si>
    <t>86% Liquids, 3% Gases, 10.9% Solids</t>
  </si>
  <si>
    <t xml:space="preserve">0.5% toluene, 2.3% ethylbenzen, 5.9% styrene, 2% 𝛂-methyl styrene, 1.1% 1-methylethyl-benzene, 1.5% 1,4-Dicynobenzene, 40.2% Benzenebutanenitrile, 5% (1,3-dimethyl-3-butenyl)benzene, 20.1% 1,3-Diphenylpropane, </t>
  </si>
  <si>
    <t>42% CO2, 28% CH4, 13% ethane, 8% ethene</t>
  </si>
  <si>
    <t>74.9% C, 1.7% H, 2.78% N, 8.6% O</t>
  </si>
  <si>
    <t>HZSM-5(1500)</t>
  </si>
  <si>
    <t>91% Liquids, 2% Gases, 7.1% Solids</t>
  </si>
  <si>
    <t xml:space="preserve">6.9% toluene, 0.4% ethylbenzene, 38.9% styrene, 5.7% 𝛂-methylstryene, 1.8% 1-methylethyl-benzene, 15.9% Benzenebutanenitrile, 8.5% 1,3-Diphenylpropane, </t>
  </si>
  <si>
    <t>47% CO2, 24.2% CH4, 13.8% ethane, 14% ethene</t>
  </si>
  <si>
    <t>18.3% C, 0.83% H, 0.82% N, 2.4% O</t>
  </si>
  <si>
    <t>HUSY(30)</t>
  </si>
  <si>
    <t>83% Liquids, 3% Gases, 13.2% Solids</t>
  </si>
  <si>
    <t xml:space="preserve">6.9% toluene, 31.9% ethylbenzene, 20.7% styrene, 4.4% 𝛂-methylstyrene, 5.5% 1-methylethyl-benzene, 13.3% benzenebutanenitrile, 6.9% 1,3-Diphenylpropane, </t>
  </si>
  <si>
    <t>38% CO2, 28% CH4, 16% ethane, 17% ethene</t>
  </si>
  <si>
    <t>27.2% C, 1.22% H, 0.96% N, 3% O</t>
  </si>
  <si>
    <t>Muhammad et al. (2015)</t>
  </si>
  <si>
    <t>fixed bed, two-stage batch reactor</t>
  </si>
  <si>
    <t>81.6% C, 7.5% H, 5.5% N, 3.9% O, 0.01% Br, 0.26% Cl</t>
  </si>
  <si>
    <t>two 1.5 kW tube furnace</t>
  </si>
  <si>
    <t>dismantling, shreding, sorting (air blowing, electromagnets, cyclones)</t>
  </si>
  <si>
    <t>particle size: 10-20mm</t>
  </si>
  <si>
    <t>84% Liquids, 10% Gases, 6% Solids</t>
  </si>
  <si>
    <t>not representative, because data visible as a graph and not in a table</t>
  </si>
  <si>
    <t>WEEE (freezers)</t>
  </si>
  <si>
    <t>71.4% C, 7% H, 1.8% N, 4.7% O, 0.01% Br, 1.3% Br</t>
  </si>
  <si>
    <t>83% Liquids, 10% Gases, 7% Solids</t>
  </si>
  <si>
    <t>Y Zeolite(5.4)</t>
  </si>
  <si>
    <t>80% Liquids, 17% Gases, 3% Solids</t>
  </si>
  <si>
    <t>65% Liquids, 18% Gases, 17% Solids</t>
  </si>
  <si>
    <t>ZSM-5(40)</t>
  </si>
  <si>
    <t>77.5% Liquids, 16% Gases, 6.5% Solids</t>
  </si>
  <si>
    <t>64% Liquids, 18% Gases, 18% Solids</t>
  </si>
  <si>
    <t>Notarnicole et al. (2017)</t>
  </si>
  <si>
    <t>rotary kiln reactor</t>
  </si>
  <si>
    <t>ASR</t>
  </si>
  <si>
    <t>53% C, 7.6% H, 2.01% N, 18.12% O, 0.29% S, 0.08% F, 1.91% Cl, 0.02% Br</t>
  </si>
  <si>
    <t>electricity, 9.2kW furnace</t>
  </si>
  <si>
    <t>dismantling, depolluting, shredding, sorting</t>
  </si>
  <si>
    <t>particle size: 5x20 mm</t>
  </si>
  <si>
    <t>bench scale</t>
  </si>
  <si>
    <t>35% Liquids, 31% Gases, 34% Solids</t>
  </si>
  <si>
    <t>10% CO2, 30% CO, 30% H2, 18% methane, 5% ethane, 10% propane</t>
  </si>
  <si>
    <t>39% C, 1.25% H, 1.59% N, 0.37% S, 0.04% F, 2.88% Cl, 0.04% Br</t>
  </si>
  <si>
    <t>Haydary et al. (2016)</t>
  </si>
  <si>
    <t>screw type reactor</t>
  </si>
  <si>
    <t>58.88% C, 6.75% H, 1.42% N, 0.9% S, 13.1% O, 18% Ash</t>
  </si>
  <si>
    <t>electricity, tube furnace</t>
  </si>
  <si>
    <t>shredding, sorting</t>
  </si>
  <si>
    <t>particle size: 3-5mm</t>
  </si>
  <si>
    <t>30% Liquids, 40% Gases, 30% Solids</t>
  </si>
  <si>
    <t>49.56% C, 1.99% H, 0.7% N, 1.12% S, 5.61% O, 41.02% Ash</t>
  </si>
  <si>
    <t>18% Liquids, 48% Gases, 34% Solids</t>
  </si>
  <si>
    <t>9% CO2, 4% CO, 20% methane, 15% H2, 52% light hydrocarbons</t>
  </si>
  <si>
    <t>40.93% C, 1.11% H, 0.57% N, 1.66% S, 10.05% O, 45.68% Ash</t>
  </si>
  <si>
    <t>17% Liquids, 51% Gases, 32% Solids</t>
  </si>
  <si>
    <t>11% CO2, 6% CO, 22% methane, 16% hydrogen, 45% light hydrocarbons</t>
  </si>
  <si>
    <t>45.96% C, 0.89% H, 0.46% N, 1.68% S, 4.29% O, 46.72% Ash</t>
  </si>
  <si>
    <t>15% Liquids, 55% Gases, 30% Solids</t>
  </si>
  <si>
    <t>9% CO2, 7% CO, 20% methane, 16% hydrogen, 48% light hydrocarbons</t>
  </si>
  <si>
    <t>45.16% C, 0.7% H, 0.51% N, 2.56% S, 3.85% O, 47.22% Ash</t>
  </si>
  <si>
    <t>14% Liquids, 56% Gases, 30% Solids</t>
  </si>
  <si>
    <t>7% CO2, 9% CO, 33% methane, 25% H2, 26% light hydrocarbons</t>
  </si>
  <si>
    <t>43.25% C, 0.21% H, 0.42% N, 2.62% S, 6.45% O, 47.06% Ash</t>
  </si>
  <si>
    <t>8% Liquids, 64% Gases, 28% Solids</t>
  </si>
  <si>
    <t>7% CO2, 15% CO, 30% methane, 28% H2, 20% light hydrocarbons</t>
  </si>
  <si>
    <t>47.95% C, 0.26% H, 0.42% N, 2.31% S, 1.9% O, 47.16% Ash</t>
  </si>
  <si>
    <t>Roh et al. (2013)</t>
  </si>
  <si>
    <t>Lindberg tube furnace (batch reactor)</t>
  </si>
  <si>
    <t>48.5% C, 6.3% H, 19.5% O, 1.9% N, 0.6% S, 1.7% Cl</t>
  </si>
  <si>
    <t>electricity</t>
  </si>
  <si>
    <t>particle size: 5mm</t>
  </si>
  <si>
    <t>37% Liquids, 5% Gases, 58% Solids</t>
  </si>
  <si>
    <t>14.5% CO2, 11.2% CO, 10.2% H2, 20.5% methane, 17.8% light hydrocarbons</t>
  </si>
  <si>
    <t>33% Liquids, 8% Gases, 59% Solids</t>
  </si>
  <si>
    <t>12% CO2, 15% CO, 12% H2, 23.26% methane, 15% light hydrocarbons</t>
  </si>
  <si>
    <t>30% Liquids, 14% Gases, 56% Solids</t>
  </si>
  <si>
    <t>7.3% CO2, 19.1% CO, 17.5% H2, 22% methane, 6.9% light hydrocarbons</t>
  </si>
  <si>
    <t>DeMarco et al. (2007)</t>
  </si>
  <si>
    <t>autoclave reactor</t>
  </si>
  <si>
    <t>light ASR</t>
  </si>
  <si>
    <t>29.7% C, 4% H, 1% N, 0.6% S, 55.8% inorganics, 8.9% others</t>
  </si>
  <si>
    <t>10.3% Liquids, 26.1% Gases, 63.6%</t>
  </si>
  <si>
    <t>81.1% C, 9.6% H, 1.5% N, 0.4% S, 7.4% others</t>
  </si>
  <si>
    <t xml:space="preserve">13% CO2, 62% CO, 4% H2S, 5.8% methane, 3% ethene, 2.7% ethane, 2.7% propene, 1.1% propane, 1.5% butene, 1.5% butane </t>
  </si>
  <si>
    <t>16.2% C, 0.8% H, 0.8% N, 0.7% S, 82% inorganics</t>
  </si>
  <si>
    <t>heavy ASR</t>
  </si>
  <si>
    <t>70.9% C, 6.4% H, 1.2% N, 0.9% S, 18.6% inorganics</t>
  </si>
  <si>
    <t>29% Liquids, 31.6% Gases, 39.4% Solids</t>
  </si>
  <si>
    <t>86.1% C, 9.4% H, 1% N, 0.4% S, 3.1% others</t>
  </si>
  <si>
    <t xml:space="preserve">10.5% CO2, 55.6% CO, 3.2% H2S, 9.9% methane, 4.1% ethene, 4.1% ethane, 4% propene, 1.5% propane, 2.6% butene, 1.2% butane, 1.1% pentene </t>
  </si>
  <si>
    <t>50.4% C, 1.5% H, 1.1% N, 0.9% S, 44.7% inorganics</t>
  </si>
  <si>
    <t>min</t>
  </si>
  <si>
    <t>lower quartile</t>
  </si>
  <si>
    <t>median</t>
  </si>
  <si>
    <t>upper quartile</t>
  </si>
  <si>
    <t>max</t>
  </si>
  <si>
    <t>total product amount</t>
  </si>
  <si>
    <t>corresponding to waste input, as inert gas does not participate in reactions</t>
  </si>
  <si>
    <t>liquid yield</t>
  </si>
  <si>
    <t>configurations</t>
  </si>
  <si>
    <t>high</t>
  </si>
  <si>
    <t>intermediate</t>
  </si>
  <si>
    <t>low</t>
  </si>
  <si>
    <t>product shares</t>
  </si>
  <si>
    <t>liquid share</t>
  </si>
  <si>
    <t>gas share</t>
  </si>
  <si>
    <t>char share</t>
  </si>
  <si>
    <t>liquid substitution</t>
  </si>
  <si>
    <t>material utilization - max high impact products</t>
  </si>
  <si>
    <t>material utilization - intermediate composition</t>
  </si>
  <si>
    <t>substitution of naphtha</t>
  </si>
  <si>
    <t>substituted products</t>
  </si>
  <si>
    <t>substituted product</t>
  </si>
  <si>
    <t>styrene</t>
  </si>
  <si>
    <t>naphtha</t>
  </si>
  <si>
    <t>phenol</t>
  </si>
  <si>
    <t>alpha-methylstyrene</t>
  </si>
  <si>
    <t>cumene</t>
  </si>
  <si>
    <t>ethylbenzene</t>
  </si>
  <si>
    <t>benzene</t>
  </si>
  <si>
    <t>xylene</t>
  </si>
  <si>
    <t>toluene</t>
  </si>
  <si>
    <t>other C6</t>
  </si>
  <si>
    <t>C5</t>
  </si>
  <si>
    <t>paraffins</t>
  </si>
  <si>
    <t>indene</t>
  </si>
  <si>
    <t>gas substitution</t>
  </si>
  <si>
    <t>CO</t>
  </si>
  <si>
    <t>1 kg pyrolysis gas substitutes</t>
  </si>
  <si>
    <t>kg natural gas</t>
  </si>
  <si>
    <t>propene</t>
  </si>
  <si>
    <t>This avoids</t>
  </si>
  <si>
    <t>kg CO2e (which would be caused by combustion of respective amount of natural gas)</t>
  </si>
  <si>
    <t>butene</t>
  </si>
  <si>
    <t>The difference of this to combustion of 1 kg pyrolysis gas amounts to</t>
  </si>
  <si>
    <t>kg CO2e (pyrolysis gas causes more CO2e emissions than natural gas for same energy amount produced, sensible because natural gas has lower C and higher H content)</t>
  </si>
  <si>
    <t>H2</t>
  </si>
  <si>
    <t>ethene</t>
  </si>
  <si>
    <t>impact of substituted natural gas</t>
  </si>
  <si>
    <t xml:space="preserve">kg CO2e </t>
  </si>
  <si>
    <t>butadiene</t>
  </si>
  <si>
    <t>ethane</t>
  </si>
  <si>
    <t>propane</t>
  </si>
  <si>
    <t>butane</t>
  </si>
  <si>
    <t>methane</t>
  </si>
  <si>
    <t>CO2</t>
  </si>
  <si>
    <t>refinery gas</t>
  </si>
  <si>
    <t>solid substitution</t>
  </si>
  <si>
    <t>100% incineration - low heating value and therewith C content (higher ash)</t>
  </si>
  <si>
    <t>100% incineration - intermediate heating value and therewith C content</t>
  </si>
  <si>
    <t>100% incineration -  high heating value and therewith C content</t>
  </si>
  <si>
    <t>100% incineration - intermediate heating value, substitution of renewable electricity and heat</t>
  </si>
  <si>
    <t>1 kg pyrolysis solids substitute</t>
  </si>
  <si>
    <t>1 kg pyrolysis solids causes</t>
  </si>
  <si>
    <t>kg CO2e</t>
  </si>
  <si>
    <t>The difference of this to combustion of 1 kg pyrolysis solids amounts to</t>
  </si>
  <si>
    <t>kg CO2e (pyrolysis solids cause more CO2e emissions than natural gas for same energy amount produced, sensible because natural gas has lower C and higher H content)</t>
  </si>
  <si>
    <t>intermediate composition</t>
  </si>
  <si>
    <t>variation of liquid share</t>
  </si>
  <si>
    <t>variation of liquid composition</t>
  </si>
  <si>
    <t>variation of gas composition</t>
  </si>
  <si>
    <t>variation of char composition</t>
  </si>
  <si>
    <t>extreme cases</t>
  </si>
  <si>
    <t>intermediate C content and heating value</t>
  </si>
  <si>
    <t>renewable energy</t>
  </si>
  <si>
    <t>high C content and heating value</t>
  </si>
  <si>
    <t>low C content and heating value</t>
  </si>
  <si>
    <t>bed material</t>
  </si>
  <si>
    <t>Products composition</t>
  </si>
  <si>
    <t>Syngas composition</t>
  </si>
  <si>
    <t>H2O</t>
  </si>
  <si>
    <t>CH4</t>
  </si>
  <si>
    <t>(for studies using air without N2)</t>
  </si>
  <si>
    <t>other (ethan, propane, butane, C2-C4, ethene, ethine, benzene)</t>
  </si>
  <si>
    <t>sum</t>
  </si>
  <si>
    <t>N2</t>
  </si>
  <si>
    <t>Tar production [mg/Nm3]</t>
  </si>
  <si>
    <t>Tar composition</t>
  </si>
  <si>
    <t>BKV</t>
  </si>
  <si>
    <t>Gasification</t>
  </si>
  <si>
    <t>Fixed Bed Gasification</t>
  </si>
  <si>
    <t>Residual household waste</t>
  </si>
  <si>
    <t>oxygen, steam</t>
  </si>
  <si>
    <t>Shredding and Sorting</t>
  </si>
  <si>
    <t>max. particle size: 100mm; moisture content &lt; 25wt-%; ash content &lt; 20wt-%; sulfur &lt; 0.5wt-%; chlorine  &lt; 1.2wt-%</t>
  </si>
  <si>
    <t>first of a kind commercial system</t>
  </si>
  <si>
    <t>Syngas</t>
  </si>
  <si>
    <t>32.1 mole-% CO; 38.3 mole-% H2; 13.4 mole-% CO2; 14.6 mole-% H2O; 0.1 mole-% CH4; 1.2 mole-% N2</t>
  </si>
  <si>
    <t>Fluidized Bed Gasification</t>
  </si>
  <si>
    <t>max. particle size: 50mm; moisture content &lt; 35wt-%; volatile matter &lt; 75 wt-%; ash content &lt; 25wt-%; sulfur &lt; 1wt-%; chlorine  &lt; 2wt-%</t>
  </si>
  <si>
    <t>full commercial system</t>
  </si>
  <si>
    <t>25 mole-% CO; 37.2 mole-% H2; 15.3 mole-% CO2; 21 mole-% H2O; 0.08 mole-% CH4; 1.1 mole-% N2</t>
  </si>
  <si>
    <t>Entrained Flow Gasification</t>
  </si>
  <si>
    <t>water, steam, oxygen</t>
  </si>
  <si>
    <t>Shredding and Sorting, Pyrolysis</t>
  </si>
  <si>
    <t>max. particle size: 0.1mm; moisture content &lt; 25wt-%; ash content &lt; 20wt-%; sulfur &lt; 0.2wt-%; chlorine  &lt; 0.2wt-%</t>
  </si>
  <si>
    <t>prototype system</t>
  </si>
  <si>
    <t>Syngas, Solids</t>
  </si>
  <si>
    <t>25.6 mole-% CO; 27.3 mole-% H2; 7.1 mole-% CO2; 39.2 mole-% H2O; 0.1 mole-% CH4; 0.7 mole-% N2</t>
  </si>
  <si>
    <t>Brems et al. (2013)</t>
  </si>
  <si>
    <t>20-40% of the amount of air needed for  the combustion</t>
  </si>
  <si>
    <t>Xiao et al. (2007)</t>
  </si>
  <si>
    <t>air</t>
  </si>
  <si>
    <t>Slapak et al. (2000)</t>
  </si>
  <si>
    <t>Bubbling fluidized bed reactor</t>
  </si>
  <si>
    <t>PVC Waste</t>
  </si>
  <si>
    <t>40% PVC, 30% DOP, 20% CaCO3, 10% inorganics</t>
  </si>
  <si>
    <t>10.2 MW</t>
  </si>
  <si>
    <t>particle size: 1 cm</t>
  </si>
  <si>
    <t>laboratory scale (50 kt PVC Waste/y)</t>
  </si>
  <si>
    <t>Pinto et al. (2002)</t>
  </si>
  <si>
    <t>Co-Gasification</t>
  </si>
  <si>
    <t>Cross-section gasifier</t>
  </si>
  <si>
    <t>biomass (pine) and PE</t>
  </si>
  <si>
    <t>20-60% PE, 40-80% biomass</t>
  </si>
  <si>
    <t>730-900</t>
  </si>
  <si>
    <t>1,01325</t>
  </si>
  <si>
    <t>Particle size: 1.25 - 2 mm</t>
  </si>
  <si>
    <t>CO, CO2, H2, CH4, CnHm</t>
  </si>
  <si>
    <t>Tukker et al. (1999)</t>
  </si>
  <si>
    <t>Texaco, Entrained bed reactor</t>
  </si>
  <si>
    <t>MSW (90% plastic, 10% others, 10% of the plastic can be PVC)</t>
  </si>
  <si>
    <t>1200-1500</t>
  </si>
  <si>
    <t>oxygen and steam</t>
  </si>
  <si>
    <t>particle size: max. 10 cm</t>
  </si>
  <si>
    <t>pilot scale (10t/d)</t>
  </si>
  <si>
    <t>Arena et al. (2010)</t>
  </si>
  <si>
    <t>Fluidized bed reactor</t>
  </si>
  <si>
    <t>Olivine</t>
  </si>
  <si>
    <t>Polyolefins</t>
  </si>
  <si>
    <t>84.4% C, 14% H, 0.3% moisture, 1.3% ash</t>
  </si>
  <si>
    <t>particle size: 7mm</t>
  </si>
  <si>
    <t>pilot scale (30-100 kg/h)</t>
  </si>
  <si>
    <t>Syngas, Tar</t>
  </si>
  <si>
    <t xml:space="preserve">1.7% CO2, 19.9% CO, 29.5% H2, 2.5% CH4, 0.7% C2H4, </t>
  </si>
  <si>
    <t>Dolomite</t>
  </si>
  <si>
    <t>5.1% CO2, 16.7% CO, 13.7% H2, 7.3% CH4, 2.4% C2H4</t>
  </si>
  <si>
    <t>Cho et al. (2013)</t>
  </si>
  <si>
    <t>silica sand</t>
  </si>
  <si>
    <t>mixed plastics</t>
  </si>
  <si>
    <t xml:space="preserve">80.8% C, 12.8% H, 5.2% O, 1.13% Cl </t>
  </si>
  <si>
    <t>63.35% N2, 4.24% CO2, 10.49% H2, 2.84% CO, 12.57% CH4, 4.23% C2H4, 1.43% benzene</t>
  </si>
  <si>
    <t>calcined dolomite</t>
  </si>
  <si>
    <t xml:space="preserve">57.58% N2, 0.99% CO2, 14.89% H2, 9.35% CO, 11.1% CH4, 4.41% C2H4, </t>
  </si>
  <si>
    <t>Activated carbon</t>
  </si>
  <si>
    <t>51.33% N2, 7.96% CO2, 18.13% H2, 11.38% CO, 8.76% CH4, 1.79% C2H4</t>
  </si>
  <si>
    <t>45.3% N2, 4.23% CO2, 26.11% H2, 16.82% CO, 7.5% CH4</t>
  </si>
  <si>
    <t>Kim et al. (2011)</t>
  </si>
  <si>
    <t>79.9% C, 12.6% H, 5.1% O, 1.13% Cl</t>
  </si>
  <si>
    <t>51.91% N2, 5.48% CO2, 10.98% H2, 5.04% CO, 17.09% CH4, 6.7% C2H4</t>
  </si>
  <si>
    <t>50.99% N2, 3.96% CO2, 14.18% H2, 6.56% CO, 15.7% CH4, 6.06% C2H4</t>
  </si>
  <si>
    <t>dolomite</t>
  </si>
  <si>
    <t>46.14% N2, 7.03% CO2, 13.21% H2, 7.72% CO, 16.61% CH4, 6.44% C2H4</t>
  </si>
  <si>
    <t>Cho et al. (2014)</t>
  </si>
  <si>
    <t>natural olivine</t>
  </si>
  <si>
    <t>82.41% C, 13.42% H, 2.86% O, 0.18% N, 1.13% Cl</t>
  </si>
  <si>
    <t>particle size: 2-3.35mm</t>
  </si>
  <si>
    <t>95.1% Syngas, 0.7% tar, 0.5% char, 3.7% condensated liquids</t>
  </si>
  <si>
    <t>54.08% N2, 3.18% CO2, 17.03% H2, 13.59% CO, 8.77% CH4, 2.25% C2H4,</t>
  </si>
  <si>
    <t>calcined dolomite, activated carbon</t>
  </si>
  <si>
    <t>90.4% Syngas, 0.1% tar, 4.7% char, 4.8% condensated liquids</t>
  </si>
  <si>
    <t>48.24% N2, 5.56% CO2, 25.14% H2, 13.32% CO, 7.7% CH4</t>
  </si>
  <si>
    <t>activated carbon</t>
  </si>
  <si>
    <t>air, steam</t>
  </si>
  <si>
    <t>84.7% Syngas, 0.3% tar, 4.8% char, 10.2% condensate liquids</t>
  </si>
  <si>
    <t>51.24% N2, 8.44% CO2, 27.02% H2, 5.73% CO, 7.33% CH4</t>
  </si>
  <si>
    <t>Zaccariello et al. (2014)</t>
  </si>
  <si>
    <t>79.54% C, 13.06% H, 0.18% N, 0.08% S, 4.53% O</t>
  </si>
  <si>
    <t>particle size: 15-20mm</t>
  </si>
  <si>
    <t>pilot scale (5kg/h)</t>
  </si>
  <si>
    <t>11.2% CO2, 4.9% CO, 9.2% H2, 9.1% CH4, 5.14% C3</t>
  </si>
  <si>
    <t>93.25% C, 6.17% H</t>
  </si>
  <si>
    <t>mixed plastics and natural wood</t>
  </si>
  <si>
    <t>73.2% C, 11.15% H, 0.3% N, 0.1% S, 11.31% O</t>
  </si>
  <si>
    <t>particle size: 6x20mm</t>
  </si>
  <si>
    <t>10.9% CO2, 7.12% CO, 9.91% H2, 7.6% CH4, 4.01% C3</t>
  </si>
  <si>
    <t>93.34% C, 6% H</t>
  </si>
  <si>
    <t>Onwudili et al. (2016)</t>
  </si>
  <si>
    <t>SCWG</t>
  </si>
  <si>
    <t>RuO2</t>
  </si>
  <si>
    <t>100% virgin LDPE</t>
  </si>
  <si>
    <t>1.00-3.80</t>
  </si>
  <si>
    <t>water</t>
  </si>
  <si>
    <t>7.6% H2, 27.45% CO2, 60.45% CH4, 2.16% ethane, 1.76% propane, 0.665% butane, 4.58% C2-C4</t>
  </si>
  <si>
    <t>100% virgin HDPE</t>
  </si>
  <si>
    <t>10.3% H2, 29.4% CO2, 55% CH4, 2.94% ethane, 0.95% propane, 1.07% butane, 5.05% C2-C4</t>
  </si>
  <si>
    <t>100% virgin PP</t>
  </si>
  <si>
    <t>6.75% H2, 28.4% CO2, 58.1% CH4, 3.16% ethane, 3.15% propane, 0.45% butane, 6.76% C2-C4</t>
  </si>
  <si>
    <t>100% virgin PS</t>
  </si>
  <si>
    <t>6.09% H2, 40.5% CO2, 53.1% CH4, 0.18% ethane, 0.04% propane, 0.22% C2-C4</t>
  </si>
  <si>
    <t>Cheng et al. (2020)</t>
  </si>
  <si>
    <t>51.43% C, 6.4% H, 1.21% N, 0.34% S, 7.61% O, 1.08% Cl</t>
  </si>
  <si>
    <t>particle size: 2.38mm</t>
  </si>
  <si>
    <t>3.85% H2, 3.34% CO, 1.97% CH4</t>
  </si>
  <si>
    <t>oyster shell</t>
  </si>
  <si>
    <t>4.83% H2, 4.28% CO, 5.68% CH4</t>
  </si>
  <si>
    <t xml:space="preserve">6.27% H2, 3.4% CO, 5.04% CH4, 0.63% C2H2, 5.57% C2H4, 0.25% C2H6 </t>
  </si>
  <si>
    <t>6.44% H2, 6.83% CO, 5.15% CH4, 0.71% C2H2, 5.5% C2H4, 0.24% C2H6</t>
  </si>
  <si>
    <t>Maric et al. (2018)</t>
  </si>
  <si>
    <t>Dual fluidized bed reactor</t>
  </si>
  <si>
    <t>olivine</t>
  </si>
  <si>
    <t>33.5% C, 4.3% H, 0.31% S, 1.47% N, 0.48% Cl, 13.84% O</t>
  </si>
  <si>
    <t>semi-industrial scale</t>
  </si>
  <si>
    <t>55% Syngas, 10% tar, 20% non-conveted C, 15% not idntified</t>
  </si>
  <si>
    <t>39.4% CO2, 24.2% H2, 12.1% CO, 12.1% CH4, 9.1% C2H4, 0.3% C2H2, 0.9% C2H6, 1.8% C3Hx</t>
  </si>
  <si>
    <t>33.53% benzene, 8.41% toluene, 7.71% styrene, 1.01% phenol, 1.65% indene, 8.15% 1-ring components, 5.15% naphthalene, 5.12% 2-ring components, 3.91% 3-ring components</t>
  </si>
  <si>
    <t>60% Syngas, 10% tar, 20% non-converted C, 10% not identified</t>
  </si>
  <si>
    <t>39.4% CO2, 24.2% H2, 12.1% CO, 13.6% CH4, 9.1% C2H4, 0.3% C2H2, 0.6% C2H6, 0.6% C3Hx</t>
  </si>
  <si>
    <t>38.98% benzene, 7.12% toluene, 6.17% styrene, 1.61% indene, 6.34% 1-ring components, 7.15% naphthalene, 1.37% acenaphthylene, 4.54% 2-ring components, 1.39% phenanthrene, 3.24% 3-ring components</t>
  </si>
  <si>
    <t>shaft-type furnace</t>
  </si>
  <si>
    <t>air, oxygen</t>
  </si>
  <si>
    <t>coke</t>
  </si>
  <si>
    <t>pilot scale (5000 kg/d)</t>
  </si>
  <si>
    <t>Syngas, Slag</t>
  </si>
  <si>
    <t>14.4% H2, 35.4% CO, 2.6% CH4, 11.98% CO2, 1.76% C2H4, 0.25% C2H6, 0.07% C3H8</t>
  </si>
  <si>
    <t>gas yield</t>
  </si>
  <si>
    <t>moderate</t>
  </si>
  <si>
    <t>naphthalene</t>
  </si>
  <si>
    <t>variation of gas share</t>
  </si>
  <si>
    <t>gas</t>
  </si>
  <si>
    <t>max high impact products</t>
  </si>
  <si>
    <t>liquid composition</t>
  </si>
  <si>
    <t>100% naphtha</t>
  </si>
  <si>
    <t>char</t>
  </si>
  <si>
    <t>Company name</t>
  </si>
  <si>
    <t>Plant location</t>
  </si>
  <si>
    <t>Process conditions</t>
  </si>
  <si>
    <t>Treatable plastic types</t>
  </si>
  <si>
    <t>Maturity</t>
  </si>
  <si>
    <t>Size</t>
  </si>
  <si>
    <t>Current production amount</t>
  </si>
  <si>
    <t>Planned scale-up</t>
  </si>
  <si>
    <t>Feedstock</t>
  </si>
  <si>
    <t>Pre-treatments</t>
  </si>
  <si>
    <t>Post-treatments</t>
  </si>
  <si>
    <t>Products utilization</t>
  </si>
  <si>
    <t>Yield</t>
  </si>
  <si>
    <t>Operation time</t>
  </si>
  <si>
    <t>Enerkem / Shell / Air Liquide / Nouryon / Port of Rotterdam</t>
  </si>
  <si>
    <t xml:space="preserve">Netherlands (Rotterdam) </t>
  </si>
  <si>
    <t>with air/oxygen; bubbling fluidized bed gasifier; heat recovery</t>
  </si>
  <si>
    <t>mixed waste</t>
  </si>
  <si>
    <t>commercial-scale facility to be built</t>
  </si>
  <si>
    <t>360,000 t/a municipal solid waste to 220,000 t/a MeOH</t>
  </si>
  <si>
    <t>non-recyclable mixed waste, including plastics</t>
  </si>
  <si>
    <t>sorting, shredding, drying (if required)</t>
  </si>
  <si>
    <t>methanol (from syngas) utilizable as fuel or for chemicals producion; solids/inerts utilizable as aggregates and construction materials</t>
  </si>
  <si>
    <t xml:space="preserve">Ebara / Ube Industries / Showa Denko </t>
  </si>
  <si>
    <t>Japan (Kawasaki)</t>
  </si>
  <si>
    <t>with oxygen and steam; first low-temperature gasifier (600-800°C, 0.5-1.5 MPa, fluidized bed), then high-temperature gasifier (1300-1500°C, 0.5-1.6 MPa, internally circulating fluidized-bed); no concerns about generation of dioxins following the high-temperature gasification</t>
  </si>
  <si>
    <t>mixed plastic waste</t>
  </si>
  <si>
    <t>70,000 t/a</t>
  </si>
  <si>
    <t>1,000,000 t in total since start of production</t>
  </si>
  <si>
    <t>plastic waste and other high-calorific value waste</t>
  </si>
  <si>
    <t>gas cleaning</t>
  </si>
  <si>
    <t>hydrogen (from synthetic gas composed mainly of carbon monoxide and hydrogen) for production of ammonia and fuel gas; fly ash recovered in form of molten slag, reused as a cement material or for other purposes; carbon dioxide used to produce dry ice and for carbonated drink</t>
  </si>
  <si>
    <t>19 years (since 2003)</t>
  </si>
  <si>
    <t>Plastic Energy</t>
  </si>
  <si>
    <t>Spain (Sevilla, Almería)</t>
  </si>
  <si>
    <t>LDPE, HDPE, PS, PP</t>
  </si>
  <si>
    <t>commercial</t>
  </si>
  <si>
    <t>3,000-8,000 t/a</t>
  </si>
  <si>
    <t>contracted to build a range of plants processing between 15,000 –33,000 t/a of plastic waste in Europe over the next few years</t>
  </si>
  <si>
    <t>waste from municipal recovery facilities and recycling factories, delivered in a form that can be readily managed</t>
  </si>
  <si>
    <t>removal of metals, humidity, other plastic types, other undesired components</t>
  </si>
  <si>
    <t>distilling collected hydrocarbons into raw diesel, light oil, and synthetic gas components</t>
  </si>
  <si>
    <t>diesel and naphta are sold to petrochemical companies to be converted into plastics, oil or fuels; synthetic gas is used for internal energy supply</t>
  </si>
  <si>
    <t>6 years (since 2016 and 2017)</t>
  </si>
  <si>
    <t>Plastic Energy / Ineos</t>
  </si>
  <si>
    <t>yet to be decided, close to Ineos crackers, tests conducted in Germany (Köln)</t>
  </si>
  <si>
    <t>temperatures just below 500°C</t>
  </si>
  <si>
    <t>planned to be in operation end of 2023</t>
  </si>
  <si>
    <t>30,000 t/a</t>
  </si>
  <si>
    <t>mix of treatable plastic types</t>
  </si>
  <si>
    <t>distilling collected hydrocarbons and purifying as well as upgrading fractions depending on application</t>
  </si>
  <si>
    <t>-</t>
  </si>
  <si>
    <t>Plastic Energy / Sabic</t>
  </si>
  <si>
    <t>Netherlands (Geleen)</t>
  </si>
  <si>
    <t>planned to be in operation end of 2022</t>
  </si>
  <si>
    <t>20,000 t/a</t>
  </si>
  <si>
    <t>Plastic Energy / Totalenergies</t>
  </si>
  <si>
    <t>France</t>
  </si>
  <si>
    <t>planned to be in operation in 2023</t>
  </si>
  <si>
    <t>15,000 t/a</t>
  </si>
  <si>
    <t>Plastic Energy / Exxonmobil</t>
  </si>
  <si>
    <t>25,000 t/a</t>
  </si>
  <si>
    <t>potential to expand to 33,000 t/a</t>
  </si>
  <si>
    <t>Regenyx (Agilyx and AmSty)</t>
  </si>
  <si>
    <t>US (Tigard, Oregon)</t>
  </si>
  <si>
    <t>under use of heat, oxygen-deprived atmosphere, only PS as input</t>
  </si>
  <si>
    <t>commercial scale</t>
  </si>
  <si>
    <t>3,000 t/a</t>
  </si>
  <si>
    <t>plans for 15,000-30,000 t/a plant in St. James, Louisiana</t>
  </si>
  <si>
    <t>contaminated post-consumer polystyrene materials, including expanded polystyrene</t>
  </si>
  <si>
    <t>styrene monomer, other petrochemical products</t>
  </si>
  <si>
    <t>3 years (since 2019)</t>
  </si>
  <si>
    <t>OMV (ReOil)</t>
  </si>
  <si>
    <t>Austria (Schwechat)</t>
  </si>
  <si>
    <t>mixing polymer melt with matrix liquid (solvent; high-boiling intermediate product from refinery) for improving heat transfer, reducing viscosity to a value similar as for water, allowing for the use of tube reactors as used in refineries for heat supply; residence time &lt; 20 min; moderate pressure; temperature 400-450°C; separation of product and coke; separation of additives</t>
  </si>
  <si>
    <t>HDPE, LDPE, PP, PS; max. 3% PET, max. 2% PVC, PA tolerable if amount small, flame retardants problematic</t>
  </si>
  <si>
    <t>pilot plant</t>
  </si>
  <si>
    <t>1,000 t/a</t>
  </si>
  <si>
    <t xml:space="preserve">residues from mechanical recycling; plastic cups from airplanes; foils (a bit dirty) from cement industry
</t>
  </si>
  <si>
    <t>shredding (feedstock already delivered as flakes)</t>
  </si>
  <si>
    <t>little residual material due to high H/C ratio</t>
  </si>
  <si>
    <t>4 years (since 2018)</t>
  </si>
  <si>
    <t>Quantafuel</t>
  </si>
  <si>
    <t>Denmark (Skive)</t>
  </si>
  <si>
    <t>two-stage catalytic process in the gas phase to increase the quality of desirable hydrocarbons</t>
  </si>
  <si>
    <t>HDPE, LDPE, PP; smaller amounts of PS and PET, containing impurities; PVC, ABS, PA sorted out</t>
  </si>
  <si>
    <t>16,000 t/a</t>
  </si>
  <si>
    <t>significantly larger facilities across Europe to be built</t>
  </si>
  <si>
    <t>presorting removing PVC, ABS, PA</t>
  </si>
  <si>
    <t>gas condensation and separation into oil fractions through distillation; purification of oil product (removal of ash and detrimental impurities such as chlorine and sulphur)</t>
  </si>
  <si>
    <t>80% converted to liquid product (ca. 60% middle distillate, 16% light distillate, and 8% heavy distallate; earmarked raw material for new plastics), 10% converted to non-condensable gas (utilized in process as fuel for reactors), and up to 10% becomes a carbon rich ash (commercial potential in a wide range of areas, such as cement and asphalt production; can also be used as fuel given its high energy content)</t>
  </si>
  <si>
    <t>70-80%</t>
  </si>
  <si>
    <t>2 years (since 2020)</t>
  </si>
  <si>
    <t>Recycling Technologies / Ineos Styrolution / Trinseo</t>
  </si>
  <si>
    <t>UK (Swindon)</t>
  </si>
  <si>
    <t xml:space="preserve">fluidised bed reactor </t>
  </si>
  <si>
    <t>PS (GPPS)</t>
  </si>
  <si>
    <t>pilot plant to be built in UK (Swindon) in 2022, then scale-up to commercial level (Ineos Styrolution plans to build full commercial scale recycling facility in Wingles, France; Trinseo has plan to build plant in Tessenderlo, Belgium, which is expected to be operational in 2023; aim for each plant to convert 15,000 t/a)</t>
  </si>
  <si>
    <t>product condensation and light hydrocarbon gas reclamation</t>
  </si>
  <si>
    <t>styrene monomer</t>
  </si>
  <si>
    <t>Indaver / Ineos Styrolution / Trinseo</t>
  </si>
  <si>
    <t>Belgium (Antwerp)</t>
  </si>
  <si>
    <t>PS, PE, PP</t>
  </si>
  <si>
    <t>construction of demonstration plant planned to start in 2022, production to start in 2024</t>
  </si>
  <si>
    <t>scale-up to commercial level (Ineos Styrolution plans to build full commercial scale recycling facility in Wingles, France; Trinseo has plan to build plant in Tessenderlo, Belgium, which is expected to be operational in 2023; aim for each plant to convert 15,000 t/a)</t>
  </si>
  <si>
    <t>styrene, naphtha, and waxes for the (petro)chemical industry</t>
  </si>
  <si>
    <t>Synova / Worley / Trinseo / TNO</t>
  </si>
  <si>
    <t>Belgium (Tessenderlo)</t>
  </si>
  <si>
    <t>construction expected to begin by the end of 2022, expected to be operational in 2023</t>
  </si>
  <si>
    <t>styrene to enable further production of polystyrene (PS) and/or a styrene derivative including acrylonitrile butadiene styrene (ABS) and styrene acrylonitrile (SAN); residual tars used as energy source</t>
  </si>
  <si>
    <t>Arcus</t>
  </si>
  <si>
    <t>Germany (Frankfurt am Main)</t>
  </si>
  <si>
    <t>screw reactor, addition of sorbents and additives, hot gas filtration, multi-stage condensation (consisting of heat exchangers and electrostatic separators) for separation of condensable products</t>
  </si>
  <si>
    <t>PE, PP, PS, ABS, PVC, PET (among others)</t>
  </si>
  <si>
    <t>pilot plant in construction</t>
  </si>
  <si>
    <t>4000 t/a</t>
  </si>
  <si>
    <t>26'000 t/a</t>
  </si>
  <si>
    <t>sorting residues, shredder residues of vehicles</t>
  </si>
  <si>
    <t>feedstock for petrochemical industry, solids, gas used in combined heat and power plant to supply heat and electricity for process</t>
  </si>
  <si>
    <t>Clariter</t>
  </si>
  <si>
    <t>South Africa (East London)</t>
  </si>
  <si>
    <t>thermal cracking (formation of wide range of hydrocarbons)</t>
  </si>
  <si>
    <t>HDPE, LDPE, PP, PS</t>
  </si>
  <si>
    <t>industrial-scale demonstration plant</t>
  </si>
  <si>
    <t>plans for several new Clariter facilities across Europe and the Middle East with a total capacity of 300,000 t/a</t>
  </si>
  <si>
    <t>majority of plastic waste types, like used films or containers, mixed</t>
  </si>
  <si>
    <t>shredding, washing, drying</t>
  </si>
  <si>
    <t>hydro-refining (removal of impurities, formation of naphthenic and paraffinic hydrocarbons); distillation and separation</t>
  </si>
  <si>
    <t>oils (white oil family; for use in span textile, agricultural production, mining, range of other industries, as well as consumer products including car cosmetics, furniture polishes, silicon sealants); waxes (paraffins; developed for a wide range
of industrial, professional, and consumer goods, the latter including car and floor waxes, shoe polishes, candles); solvents (aliphatic; for professional, industrial, and consumer goods); free from sulphur, nitrogen, and chloride; odourless; colourless; 100% saturated; solvents and oils meet FDA purity standards, waxes on the road to achieve this as well</t>
  </si>
  <si>
    <t xml:space="preserve">Ravago / Alterra Energy / Neste </t>
  </si>
  <si>
    <t>Netherlands (Vlissingen)</t>
  </si>
  <si>
    <t>aiming for industrial chemical recycling site (waiting for and subject to regulatory approval)</t>
  </si>
  <si>
    <t>55,000 t/a</t>
  </si>
  <si>
    <t>target to reach capacity of more than 200,000 t/a by 2030</t>
  </si>
  <si>
    <t>Alterra Energy</t>
  </si>
  <si>
    <t>US (Akron, Ohio)</t>
  </si>
  <si>
    <t xml:space="preserve">300-650°C; continuous thermochemical liquefaction; cylindrical, linear, heated reactor having a screw means for transporting, with capability to simultaneously discharge end products both before and after an integral series of step-down condensers; modular and scalable; </t>
  </si>
  <si>
    <t>HDPE, LDPE, PP, PS, and others</t>
  </si>
  <si>
    <t>collaboration planned with Technip Energies, which brings extensive knowledge of ethylene furnace and steam cracker design, preparation and purification of heavy feedstocks for refining and petrochemical facilities; aspire to have capacity of 400-700 Mt /a up and running the second half of this decade</t>
  </si>
  <si>
    <t>mixed and multi-layered plastics with fillers and colorants, which may or may not be contaminated by non-polymer fractions</t>
  </si>
  <si>
    <t>petrochemical products that can be further refined into waxes (microcrystalline or paraffin wax product having, collectively, 30-70 carbon atoms, produced via direct discharge from the apparatus), fuels (one or more additional lighter fractions collectively having 4-30 carbon numbers, recovered from separate discharge ports located in the fifth and sixth continuously operated, series-oriented process zones), and plastics; solid hydrocarbon product is a finely divided carbon char which may or may not contain non-polymer solids;</t>
  </si>
  <si>
    <t>Xycle (Vopak / AM&amp;P Group / Patpert Teknow Systems)</t>
  </si>
  <si>
    <t>Netherlands (Rotterdam)</t>
  </si>
  <si>
    <t>mixed plastic</t>
  </si>
  <si>
    <t>construction start end 2022, production start end 2023</t>
  </si>
  <si>
    <t>non-mechanically recyclable plastic</t>
  </si>
  <si>
    <t>Patpert Teknow Systems (together with e.g. BVG Cleantech, Neha Industries, Euro-Shoe (Tata Intl.), Nestle India, PepsiCo India)</t>
  </si>
  <si>
    <t>India (e.g. in Pune, Jalgaon)</t>
  </si>
  <si>
    <t>plastic is co-fed with silica/alumina-based cracking catalysts to the pyrolysis reactor at 350-360°C; heavy wax fractions separated from other products and fed to a secondary catalytic cracking unit, followed by an integrated fractionation column containing a catalyst fixed bed; continuous plants and batch plants; heat required: 300 kW; electricity required: 30-40 kW; catalyst (A): 10–15 kg/day (0.5–1%); catalyst (B): 20 kg/month</t>
  </si>
  <si>
    <t>HDPE, LDPE, PP, PE, rubber</t>
  </si>
  <si>
    <t>up to 7000 t/a, e.g. 900 t/a (continuous operation); 50-200 kg batch operation installations</t>
  </si>
  <si>
    <t>additional plants in construction</t>
  </si>
  <si>
    <t>besides products from HDPE, LDPE, PP, PE, also tyres or used oils; free of adulteration (moisture, paper, dust)</t>
  </si>
  <si>
    <t>liquid hydrocarbons with use as fuel for e.g. boilers or petrochemicals, 10,000 kcal/kg; gas for heating or electricity generation, 10,000 kcal/kg; carbon residue with use as solid fuel or as tar additive (for road making), 5,000 kcal/kg;</t>
  </si>
  <si>
    <t>per 2,500 kg plastic waste: 1,250 l oil, 400-500 kg of each gas and char; continuous plants: 50% oil, 25% gas, 25% carbon / batch plants: 55% oil, 20% gas, 25% carbon</t>
  </si>
  <si>
    <t>&gt;7 years</t>
  </si>
  <si>
    <t>BlueAlp (owned by Renasci, Mourik, Den Hartog, Rumali) / Shell</t>
  </si>
  <si>
    <t>Belgium (Ostende)</t>
  </si>
  <si>
    <t>melting and cracking, vaporized hydrocarbons pass through condensation and distillation steps; heating via thermal oil; no use of catalysts</t>
  </si>
  <si>
    <t>HDPE, LDPE, PP, PS; only trace amounts of halogen-containing plastics such as PVC, as well as plastics containing molecular oxygen such as PET</t>
  </si>
  <si>
    <t>commercial prototype plant</t>
  </si>
  <si>
    <t>17,000 t/a</t>
  </si>
  <si>
    <t>13,000 t/a</t>
  </si>
  <si>
    <t>expansion of plant to 26,000 t/a planned; 50'000 t/a capacity and improved yield envisioned for 2023, decarbonization and cracker integration envisioned for 2025; Shell to build upgrader unit that improves quality of pyrolysis oil (expected to start production in 2024, capacity of 50,000 t/a);</t>
  </si>
  <si>
    <t>plastic films, refuse-derived fuels, mixed industrial plastic waste</t>
  </si>
  <si>
    <t xml:space="preserve">shredded, analysed, contaminants removed, dried, buffered; standard pre-treatment lines for 3 feedstock composition envelopes </t>
  </si>
  <si>
    <t>gasoil with low suplhur content, utilizable as fuel or input to naphta crackers; two secondary product streams, being light hydrocarbons (liquid) and char/bitumen (solid); non-condensed vapors used as fuel for the process</t>
  </si>
  <si>
    <t>Pryme-Cleantech</t>
  </si>
  <si>
    <t>fully electrified process</t>
  </si>
  <si>
    <t>PE, PP</t>
  </si>
  <si>
    <t>plant to become operational in 2023</t>
  </si>
  <si>
    <t>40'000 t/a</t>
  </si>
  <si>
    <t>350,000 t/a</t>
  </si>
  <si>
    <t>high conversion rate</t>
  </si>
  <si>
    <t>Pyrowave</t>
  </si>
  <si>
    <t>Canada (Salaberry-de-Valleyfield)</t>
  </si>
  <si>
    <t>continuous microwave catalytic depolymerization: heat supplied via high-power microwaves, support (on which microwaves act) to create hot spots, allows for process electrification, organic contaminants and color pigments removed through intense microwave heat, selective, chain-end scission (instead of random scission), silicon carbide particles as catalyst</t>
  </si>
  <si>
    <t>PS (GPPS, EPS, HIPS)</t>
  </si>
  <si>
    <t>crushing into pieces of &lt; 5 cm, liquification and filtration</t>
  </si>
  <si>
    <t>purification of liquid product to gain high concentration of styrene monomer via distillation</t>
  </si>
  <si>
    <t>styrene monomer purity similar to virgin production of up to 99.8%</t>
  </si>
  <si>
    <t>liquid yield of nearly 98%</t>
  </si>
  <si>
    <t>&gt;1 year</t>
  </si>
  <si>
    <t>Promeco</t>
  </si>
  <si>
    <t>400-500°C, catalytic, continuous</t>
  </si>
  <si>
    <t>mostly PE and PP</t>
  </si>
  <si>
    <t>patent for plant with capacity of 11,000 t/a, no installed plant known</t>
  </si>
  <si>
    <t>80% polymer, 10% moisture, 10% other; packaging, especially flexible</t>
  </si>
  <si>
    <t>9,600,000 l/a oil (9,000 kcal/kg, 0.02% S, 35°C flash point); 900 t/a gas (thermal valorization); 2,000 t/a coke (5,000 kcal/kg, 20-60% carbon black content)</t>
  </si>
  <si>
    <t>almost 80%</t>
  </si>
  <si>
    <t>Lamor / Resiclo</t>
  </si>
  <si>
    <t>Finland (Kilpilahti)</t>
  </si>
  <si>
    <t>catalytic thermolysis process</t>
  </si>
  <si>
    <t xml:space="preserve">construction work expected to begin in second half of 2022, commissioning of the plant scheduled to take place in 2023 </t>
  </si>
  <si>
    <t xml:space="preserve"> 10,000 t/a</t>
  </si>
  <si>
    <t>40,000 t/a by end of 2026</t>
  </si>
  <si>
    <t>heterogenous, mixed plastic feedstock</t>
  </si>
  <si>
    <t>chemically recycled raw material, which can be used in the petrochemical industry as alternative to crude oil</t>
  </si>
  <si>
    <t>Brightmark (acquired technology from former RES Polyflow) / BP</t>
  </si>
  <si>
    <t>US (Ashley, Indiana)</t>
  </si>
  <si>
    <t>about 550°C</t>
  </si>
  <si>
    <t>undergoing commissioning</t>
  </si>
  <si>
    <t>100'000 t/a</t>
  </si>
  <si>
    <t>plans for plants in Germany, the Netherlands and Belgium with a total capacity of 400'000 t/a, as well as plant of 400,000 t/a in Georgia, US</t>
  </si>
  <si>
    <t>diesel fuel, naphta blend, containing aromatic chemicals</t>
  </si>
  <si>
    <t>Nexus Circular / Shell</t>
  </si>
  <si>
    <t>US (Atlanta)</t>
  </si>
  <si>
    <t>only once heated and cooled</t>
  </si>
  <si>
    <t>HDPE, LDPE, PP, PS, lower shares of PET, PVC and other plastics</t>
  </si>
  <si>
    <t>wide variety of plastics (rigids, films)</t>
  </si>
  <si>
    <t>no pre-treatment required</t>
  </si>
  <si>
    <t>no post-treatment required</t>
  </si>
  <si>
    <t xml:space="preserve">Nexus Circular / Braskem </t>
  </si>
  <si>
    <t>US (near Chicago,  Illinois)</t>
  </si>
  <si>
    <t>commercial, to be built</t>
  </si>
  <si>
    <t>expansion to 120,000 t/a</t>
  </si>
  <si>
    <t>Nexus Circular / Dow</t>
  </si>
  <si>
    <t>US (Dallas, Texas)</t>
  </si>
  <si>
    <t>26,000 t/a</t>
  </si>
  <si>
    <t>Enval / Greenback / Nestlé</t>
  </si>
  <si>
    <t>Mexico</t>
  </si>
  <si>
    <t>microwave-induced pyrolysis technology</t>
  </si>
  <si>
    <t>6,000 t/a</t>
  </si>
  <si>
    <t>to be scaled up after being in full operation</t>
  </si>
  <si>
    <t>multilayer flexible and aluminum-laminated plastics</t>
  </si>
  <si>
    <t>oil feedstock</t>
  </si>
  <si>
    <t>Fuenix (Ecogy) / Dow</t>
  </si>
  <si>
    <t>Netherlands (Weert)</t>
  </si>
  <si>
    <t>pulverizing, cracking, condensating</t>
  </si>
  <si>
    <t>fully functioning recycling plant</t>
  </si>
  <si>
    <t>mixed waste plastics</t>
  </si>
  <si>
    <t>naphtha, paraffin, and LPG</t>
  </si>
  <si>
    <t>Honeywell / Sacyr</t>
  </si>
  <si>
    <t>Spain (Andalucía)</t>
  </si>
  <si>
    <t>molecular conversion, pyrolysis, and contaminant management technology</t>
  </si>
  <si>
    <t>production expected to begin in 2023</t>
  </si>
  <si>
    <t xml:space="preserve">mixed waste plastics </t>
  </si>
  <si>
    <t>Recenso (Carboliq) / BASF (ChemCycling)</t>
  </si>
  <si>
    <t>Germany (Ennigerloh)</t>
  </si>
  <si>
    <t>Pyrolysis / Oiling</t>
  </si>
  <si>
    <t>catalytic tribochemical conversion: single-stage process within a closed system applying friction energy and chemical catalysts, at moderate temperature (&lt; 400 °C) and atmospheric pressure, shorter hydrocarbon chains evaporate and are contained as condensate</t>
  </si>
  <si>
    <t>LDPE, HDPE, PET, PP, PS, PA</t>
  </si>
  <si>
    <t>pilot plant, TRL 6/7</t>
  </si>
  <si>
    <t>2,500 t/a</t>
  </si>
  <si>
    <t>mixed plastic waste, biomass</t>
  </si>
  <si>
    <t>metals separation, homogenization, drying</t>
  </si>
  <si>
    <t>purification</t>
  </si>
  <si>
    <t>liquid mix of hydrocarbons, for steamcracker in Ludwigshafen, less aromatics, C5+; in addition small gaseous and solid product streams</t>
  </si>
  <si>
    <t>high liquid yield</t>
  </si>
  <si>
    <t>ReNew ELP (Mura Technology) / Licella</t>
  </si>
  <si>
    <t>Australia (New South Wales)</t>
  </si>
  <si>
    <t>Pyrolysis + Hydrogenation (Liquefaction)</t>
  </si>
  <si>
    <t>catalyzed reaction with supercritical water, plastics melted and compressed before mixed with supercritical water; donation of hydrogen from the water to the reaction products, leading to more stable and saturated products; no toxic byproducts such as dioxines; homogeneous heat transfer and reaction conditions; reaction time of 25 minutes</t>
  </si>
  <si>
    <t>all, especially all commodity plastics and PA, mainly PE and PP</t>
  </si>
  <si>
    <t>mixed composite polymer waste streams with levels of contamination of non-plastic materials such as papers and organic matter, residues from mechanical recycling</t>
  </si>
  <si>
    <t>shredding and removal of unwanted contaminants such as glass, metals, grit and stones; no drying required</t>
  </si>
  <si>
    <t>flash distillation (separating individual hydrocarbon products and water)</t>
  </si>
  <si>
    <t>mixed stable hydrocarbons (naphta, distillate gas oil, heavy gas oil, heavy wax residue, as well as high calorific process gas utilized as an energy source for supercritical steam generation); product distribution depends on input, conversion conditions can be adjusted to maximise product distribution to the lighter or heavier end of the product range</t>
  </si>
  <si>
    <t>80-85%</t>
  </si>
  <si>
    <t>11 years (since 2011)</t>
  </si>
  <si>
    <t>ReNew ELP (Mura Technology)</t>
  </si>
  <si>
    <t>UK (Teesside)</t>
  </si>
  <si>
    <t>first line planned to be in operation end of 2022 (commercial)</t>
  </si>
  <si>
    <t>80,000 t/a (20,000 t/a per line, 4 lines)</t>
  </si>
  <si>
    <t>Obbotec</t>
  </si>
  <si>
    <t>Hydrocracking</t>
  </si>
  <si>
    <t>pyrolysis with integrated hydrogenation step (by deoxygenation, without adding fossil hydrogen from external source); transportable units</t>
  </si>
  <si>
    <t>mixed biomass-plastic waste streams</t>
  </si>
  <si>
    <t>fuel which can be used to produce plastics or low-sulphur fuel for shipping</t>
  </si>
  <si>
    <t>Greenmantra</t>
  </si>
  <si>
    <t>Canada (Brantford, Ontario)</t>
  </si>
  <si>
    <t xml:space="preserve">catalytic depolymerization; semi-continuous manufacturing operation; 300-600°C; 345-2413 kPa gauge pressure; [Fe-Cu-Mo-P]/Al2O 3 as catalyst; molten mixed polyethylene waste formed in extruder is continuously pushed into high-pressure reactor; different grades of waxes and grease base stocks produced by using different pressures; compact footprint and modular design; </t>
  </si>
  <si>
    <t>HDPE, LDPE, PP</t>
  </si>
  <si>
    <t>full-scale commercial manufacturing facility</t>
  </si>
  <si>
    <t>5,000 t/a</t>
  </si>
  <si>
    <t>designed for future expansions as well as upgrade to a continuous, fixed-bed process</t>
  </si>
  <si>
    <t>mainly post-consumer plastic scrap along with some post-industrial material, especially also films</t>
  </si>
  <si>
    <t>specialty waxes to be used in asphalt, grease basestock; waxes having different melting points ranging from 60°C to 100°C</t>
  </si>
  <si>
    <t>NextChem (Maire Tecnimont) / gr3n</t>
  </si>
  <si>
    <t>Italy (Chieti)</t>
  </si>
  <si>
    <t>microwave-assisted alkaline hydrolysis (using NaOH and HCl re-obtained from NaCl, separated at monomers purification, via electrolysis), continuous process, reaction time &lt; 10 minutes, temperatures &lt; 200°C</t>
  </si>
  <si>
    <t>e.g. colored bottles, textiles from polyester, also containing up to 30% of other materials like polyurethane or cotton, food containers</t>
  </si>
  <si>
    <t>grinding</t>
  </si>
  <si>
    <t>isolation and purification of monomers</t>
  </si>
  <si>
    <t>terephthalic acid (TPA) and monoethylene glycol (MEG)</t>
  </si>
  <si>
    <t>&lt; 1 year (since end of April 2022)</t>
  </si>
  <si>
    <t>Ioniqa</t>
  </si>
  <si>
    <t>mixing PET with catalytic magnetic fluids (fluids, e.g. ethylene glycol for glycolysis, acting as solvent/reactant, comprising a catalytic and magnetic particle), one phase, process duration 1 h, &lt; 200°C, 2-20 bar, using catalyst in ratio &lt;5 wt%, recoveryble to &gt; 95% &gt; 50 times; magnetic separation of magnetic fluid (addition of water, sedimentation and decanting), crystallization of BHET; high selectivity (93%);</t>
  </si>
  <si>
    <t>PET; other polycondensates and bioplastics are being investigated (especially polyesters and polyethers)</t>
  </si>
  <si>
    <t>industrial plant (demonstration plant in Rotterdam as predecessor)</t>
  </si>
  <si>
    <t>10,000 t/a</t>
  </si>
  <si>
    <t>colored PET, fibers, also if present as a mixture with other waste polymers</t>
  </si>
  <si>
    <t>no purification required</t>
  </si>
  <si>
    <t>oligomers and / or monomers (BHET)</t>
  </si>
  <si>
    <t>high conversion rate &gt; 90%</t>
  </si>
  <si>
    <t>Garbo</t>
  </si>
  <si>
    <t>Italy (Cerano, Novara)</t>
  </si>
  <si>
    <t>glycolysis with ethylene glycol (selective reaction)</t>
  </si>
  <si>
    <t>pilot / pre-industrial scale (TRL 6&amp;7)</t>
  </si>
  <si>
    <t>400 t/a</t>
  </si>
  <si>
    <t>to be scaled up to 35,000 t/a</t>
  </si>
  <si>
    <t>almost all currently non-recoverable PET-based waste</t>
  </si>
  <si>
    <t>several purification steps for removal of solids, other polymers, salts, color and other contaminants</t>
  </si>
  <si>
    <t>BHET</t>
  </si>
  <si>
    <t>Loop Industries</t>
  </si>
  <si>
    <t>Canada (Terrebonne)</t>
  </si>
  <si>
    <t>methanolysis, utilization of catalyst, low heat requirement and ambient pressure</t>
  </si>
  <si>
    <t>pilot / demonstration plant</t>
  </si>
  <si>
    <t>commercialization planned</t>
  </si>
  <si>
    <t>low value waste PET plastic and polyester fiber, even degraded by sun and salt</t>
  </si>
  <si>
    <t>filtering, purification and repolymerization</t>
  </si>
  <si>
    <t xml:space="preserve">dimethyl terephthalate (DMT) and mono ethylene glycol (MEG) </t>
  </si>
  <si>
    <t>5 years (since 2017)</t>
  </si>
  <si>
    <t>Loop Industries / Suez</t>
  </si>
  <si>
    <t>France (Port-Jerome-sur-Seine)</t>
  </si>
  <si>
    <t>methanolysis</t>
  </si>
  <si>
    <t>construction is expected to begin in 2023, with commissioning taking place 18 months later</t>
  </si>
  <si>
    <t>monomers</t>
  </si>
  <si>
    <t>Eastman</t>
  </si>
  <si>
    <t>planned to be operational by 2025</t>
  </si>
  <si>
    <t>160,000 t/a</t>
  </si>
  <si>
    <t>Aquafil (and acquired Julon) (Econyl)</t>
  </si>
  <si>
    <t>Slovenia (Ljubljana)</t>
  </si>
  <si>
    <t>180-240°C; 0.8-6 bar absolute pressure; residence time 30-120 min depending on plastic type and particle size; continuous process; mixing polymer of inhomogeneous size with solvent and/or reactant (organic, glycoles, preferrably ethylene glycol, or acidic aqueous solution); particle size decreases along reactor, ensures short residence time for small particles and complete degradation for big particles; ability to stir in reactor with stirrer, screw or nozzle; heating from inside or outside reactor; separation of solvent/reactant e.g. via evaporation; ideally regeneration of solvent/reactant (possibly reconditioned via distillation)</t>
  </si>
  <si>
    <t>PA (also PET and PC can be treated; PVC no problem)</t>
  </si>
  <si>
    <t>40,000 t/a</t>
  </si>
  <si>
    <t>fishing nets, carpet flooring (e.g. from facility in Arizona, US, after separation of PP and calcium carbonate), fabric scraps, industrial waste, films; can be inhomogeneous and colored</t>
  </si>
  <si>
    <t>sorting and cleaning, shredding to preferrably 3-15 mm (10 µm - 0.5 mm for films)</t>
  </si>
  <si>
    <t>filtering; possibly decoloration via additives containing activated carbon, activated clay minerals, zeolites (e.g. as membrane)</t>
  </si>
  <si>
    <t>liquid consisting mainly of monomer (caprolactam for PA; &gt; 90wt% BHET for PET), can contain oligomers (chain length &lt;50) or polymers, which can be directly used for polymerization</t>
  </si>
  <si>
    <t>Depoly</t>
  </si>
  <si>
    <t>Switzerland (Uvrier, Valais)</t>
  </si>
  <si>
    <t>at room temperature and ambient pressure, electrolysis for separating terephthalic acid (PTA) and monoethylene glycol (MEG), moderate use of four mass chemicals, selective for PET</t>
  </si>
  <si>
    <t>demonstration plant</t>
  </si>
  <si>
    <t>50 kg batch</t>
  </si>
  <si>
    <t>aim for commercial plant to be built and commissioned by 2023, which should be able to process around 10,000 tonnes of PET per year</t>
  </si>
  <si>
    <t>mixed PET waste (different products and colors), e.g. packaging containers, sportswear, shoes, and camping equipment</t>
  </si>
  <si>
    <t>no pre-sorting required</t>
  </si>
  <si>
    <t>terephthalic acid (TPA) and mono ethylene glycol (MEG)</t>
  </si>
  <si>
    <t>CuRe (consortium led by Morssinkhof Group and Cumapol Group)</t>
  </si>
  <si>
    <t>Netherlands (Emmen)</t>
  </si>
  <si>
    <t>glycolysis; color removal, purification; continuous process</t>
  </si>
  <si>
    <t>175 t/a</t>
  </si>
  <si>
    <t>25'000 t/a</t>
  </si>
  <si>
    <t xml:space="preserve">polyester that cannot be addressed by mechanical recycling, focus on food-grade PET packaging and also on textiles, carpets </t>
  </si>
  <si>
    <t>Greenmantra / Ineos Styrolution</t>
  </si>
  <si>
    <t>catalytic depolymerization, continuous, low-energy operation; not breaking styrofoam chains into individual links, but only cuting them into smaller pieces</t>
  </si>
  <si>
    <t>several thousand tonnes per year</t>
  </si>
  <si>
    <t>hard-to-recycle polystyrene foam</t>
  </si>
  <si>
    <t>purification required if PS monomers to be used for polymerization</t>
  </si>
  <si>
    <t>liquid material containing styrene and other components (latex); oligomers; used for additives for inks, coatings, paints, adhesives, insulation board</t>
  </si>
  <si>
    <t>Jeplan</t>
  </si>
  <si>
    <t>Japan (Kitakyushu)</t>
  </si>
  <si>
    <t>glycolysis (using ethylene glycol)</t>
  </si>
  <si>
    <t>2,000 t/a</t>
  </si>
  <si>
    <t>clothing and other fiber products</t>
  </si>
  <si>
    <t>sorting-out of non-polyester material, removal of zippers, buttons etc.</t>
  </si>
  <si>
    <t>BHET purification (adsorption, filtering, crystallization, distillation; removal of dyes and other impurities)</t>
  </si>
  <si>
    <t>purified BHET</t>
  </si>
  <si>
    <t>6 years (since 2016)</t>
  </si>
  <si>
    <t>22,000 t/a</t>
  </si>
  <si>
    <t>PET bottles</t>
  </si>
  <si>
    <t>sorting-out of non-PET material, crushing to flakes</t>
  </si>
  <si>
    <t>14 years (since 2008)</t>
  </si>
  <si>
    <t>Japan (Tokuyama)</t>
  </si>
  <si>
    <t>glycolysis</t>
  </si>
  <si>
    <t>Polystyvert</t>
  </si>
  <si>
    <t>Canada (Anjou)</t>
  </si>
  <si>
    <t>essential oil (p-cymene) as solvent (safe, can be reused several times), purification (removal of solid contaminants by sieving through mesh), afterwards separation of polystyrene to very high degree (additives removal, e.g. HBCD); low temperature process</t>
  </si>
  <si>
    <t>600 t/a</t>
  </si>
  <si>
    <t>all types of polystyrene: expanded, extruded and injection-moulded</t>
  </si>
  <si>
    <t>pelletization</t>
  </si>
  <si>
    <t>Polyloop / Serge Ferrari / Solvay (Texyloop)</t>
  </si>
  <si>
    <t>France (Balan)</t>
  </si>
  <si>
    <t>selective solvent-based process in stirred tank, filtration of insolubles, polymer precipitation by temperature change or by adding a co-solvent, evaporation and condensation of solvent, drying of polymer; batch process, 300 kg / batch, 3h cycle</t>
  </si>
  <si>
    <t>500 t/a</t>
  </si>
  <si>
    <t>flexible PVC composites, e.g. floor, walls and roof coverings, sportswear, footwear, leather-imitation goods, garden pipes, outdoor furniture, packaging</t>
  </si>
  <si>
    <t>grinding, cleaning</t>
  </si>
  <si>
    <t>PVC incl. additives</t>
  </si>
  <si>
    <t>1 year (process had been previously used by Solvay in Italy (Ferrara) under the name Vinyloop, 10'000 t/a, operated for 16 years from 2002-2018, closed down because the process was not able to remove phthalates to a sufficient degree so that their concentration in the product was too high)</t>
  </si>
  <si>
    <t>Circular Flooring project consortium (coordinated by Fraunhofer-Institut für Verfahrenstechnik und Verpackung IVV) (Creasolv process)</t>
  </si>
  <si>
    <t>Germany (Freising)</t>
  </si>
  <si>
    <t>removal of legacy plasticizers (phthalic acid esters) that are not conform to the EU REACH-Directive like DBP, DIBP, BBP and DEHP, subsequently deactivated by catalytic hydrogenation; includes a dissolution unit for PVC waste, a filtration unit for the polymer solution, a batch or semi-continuous extraction unit and a unit specified for separation of PVC from solvents as well as a drying unit for PVC recyclate</t>
  </si>
  <si>
    <t>TRL 5-6, routine research operation planned to start in 2023</t>
  </si>
  <si>
    <t>150 t/a</t>
  </si>
  <si>
    <t>upgrade of PVC with tailored additives</t>
  </si>
  <si>
    <t>Unilever / LOEMI / CreaCycle / Fraunhofer IVV (Creasolv process)</t>
  </si>
  <si>
    <t>Indonesia (Krian area, Sidoarjo, East Java)</t>
  </si>
  <si>
    <t>6/7 (not operational anymore)</t>
  </si>
  <si>
    <t>planned for 1,500 tonnes in 2019 and around 5,000 tonnes in 2020</t>
  </si>
  <si>
    <t>multilayer sachets, 60% PE</t>
  </si>
  <si>
    <t>2 years</t>
  </si>
  <si>
    <t>GEC Group (PS Loop), formerly PolyStyrene Loop / Cooperatief / ENGIE  / CreaCycle / Fraunhofer IVV (Creasolv process)</t>
  </si>
  <si>
    <t>Netherlands (Terneuzen)</t>
  </si>
  <si>
    <t>selective dissolution of EPS for allowing the separation of polystyrene from legislated HBCD and other additives, HBCD is further treated in a bromine recovery unit and the recovered bromine can be used to produce new flame retardants</t>
  </si>
  <si>
    <t>PS (EPS, XPS)</t>
  </si>
  <si>
    <t>3,300 t/a</t>
  </si>
  <si>
    <t>&lt; 1 year</t>
  </si>
  <si>
    <t>LÖMI / Fraunhofer IVV / IRIS (Multicycle) / Lober (Creasolv process)</t>
  </si>
  <si>
    <t>Germany (Neunburg vorm Wald)</t>
  </si>
  <si>
    <t>PE, PP, PET, PA</t>
  </si>
  <si>
    <t>pilot plant, TRL 7</t>
  </si>
  <si>
    <t>200 t/a</t>
  </si>
  <si>
    <t>second similar demonstration plant being constructed at Fraunhofer IVV in Freising; project partners Lömi, Fraunhofer IVV, and Lober GmbH &amp; Co. Abfallentsorgungs KG working on commercial plant concept for flexible post-consumer packaging for a location in north-east Bavaria in the context of the Circular Packaging project</t>
  </si>
  <si>
    <t>packaging and automotive waste</t>
  </si>
  <si>
    <t>plastics with quality so that post-consumer recycled content of more than 50% achievable</t>
  </si>
  <si>
    <t>APK (Newcycling)</t>
  </si>
  <si>
    <t>Germany (Merseburg)</t>
  </si>
  <si>
    <t>solvent bath, selective for target plastics; for regaining both LDPE and PA; multi-stage process to separate the liquid and solid components, purifying the polymers (removal of impurities), and removal of the solvent; solvent recovery</t>
  </si>
  <si>
    <t>LDPE, PA</t>
  </si>
  <si>
    <t>pre-commercial, industrial scale</t>
  </si>
  <si>
    <t>8000 t/a</t>
  </si>
  <si>
    <t>expand to PP; decolorization, deinking, de- and re-additivation</t>
  </si>
  <si>
    <t>PE/PA multilayer, PE/PET multilayer, PE/alu etc.; industrial waste; post-consumer waste</t>
  </si>
  <si>
    <t>shredding, washing, and density separation</t>
  </si>
  <si>
    <t xml:space="preserve">LDPE and PA; properties similar to virgin material, constant technical values, such as viscosity and mechanical properties, offering the highest purity and being almost completely odor-free; for flexible packaging, multilayer film, shrink film, injection-molded technical applications, labels/stickers, films/laminates, cosmetic packaging, automotive </t>
  </si>
  <si>
    <t xml:space="preserve">PureCycle </t>
  </si>
  <si>
    <t>US (Ohio)</t>
  </si>
  <si>
    <t>solvent-based purification recycling technology; process steps: melting in extruder, filtration, mixing with solvent, several steps for separation of contaminants, other plastic types, colors, odor etc., settling of PP in decanter and removal of solvent, PP pelletizing, adding additives, solvent recovery</t>
  </si>
  <si>
    <t>construction start in 2020, planned to be complete end of 2022</t>
  </si>
  <si>
    <t>48,000 t/a</t>
  </si>
  <si>
    <t>almost any PP product</t>
  </si>
  <si>
    <t>removal of additives and contaminants such as color, odor, plasticizers, and flame retardants; solvent recycling</t>
  </si>
  <si>
    <t>LDPE, HDPE, PP</t>
  </si>
  <si>
    <t>almost 100%</t>
  </si>
  <si>
    <t>Teijin Co. Ltd</t>
  </si>
  <si>
    <t>AIES</t>
  </si>
  <si>
    <t>2 large-scale plants</t>
  </si>
  <si>
    <t>30,000 t/a &amp; 20,000 t/a</t>
  </si>
  <si>
    <t>Okuwaki (2004)</t>
  </si>
  <si>
    <t>24,500 t/a</t>
  </si>
  <si>
    <t>plastic type</t>
  </si>
  <si>
    <t>temperature</t>
  </si>
  <si>
    <t>PE</t>
  </si>
  <si>
    <t>utilities needed</t>
  </si>
  <si>
    <t>credits</t>
  </si>
  <si>
    <t>Mass balance data</t>
  </si>
  <si>
    <t>Row/Case</t>
  </si>
  <si>
    <t>Status</t>
  </si>
  <si>
    <t>Description</t>
  </si>
  <si>
    <t xml:space="preserve">Temperature in the gasifier [ºC]
</t>
  </si>
  <si>
    <t xml:space="preserve">QREQUIRE
KW      
</t>
  </si>
  <si>
    <t xml:space="preserve">QREQLPST
KW      
</t>
  </si>
  <si>
    <t xml:space="preserve">QSYN210C
KW      
</t>
  </si>
  <si>
    <t xml:space="preserve">QSYN135C
KW      
</t>
  </si>
  <si>
    <t xml:space="preserve">QSYN40C 
KW      
</t>
  </si>
  <si>
    <t xml:space="preserve">QCOMBUST
KW      
</t>
  </si>
  <si>
    <t xml:space="preserve">QCOM210C
KW      
</t>
  </si>
  <si>
    <t xml:space="preserve">QCOM135C
KW      
</t>
  </si>
  <si>
    <t xml:space="preserve">QCOM40C 
KW      
</t>
  </si>
  <si>
    <t xml:space="preserve">QPLACOMB
KW      
</t>
  </si>
  <si>
    <t xml:space="preserve">QPLA210C
KW      
</t>
  </si>
  <si>
    <t xml:space="preserve">QPLA135C
KW      
</t>
  </si>
  <si>
    <t xml:space="preserve">QPLA40C 
KW      
</t>
  </si>
  <si>
    <t xml:space="preserve">XMOLH2  
</t>
  </si>
  <si>
    <t xml:space="preserve">XMOLH2O 
</t>
  </si>
  <si>
    <t xml:space="preserve">XMOLCO  
</t>
  </si>
  <si>
    <t xml:space="preserve">XMOLCO2 
</t>
  </si>
  <si>
    <t xml:space="preserve">XMOLCH4 
</t>
  </si>
  <si>
    <t xml:space="preserve">MASTOTSG
KG/HR   
</t>
  </si>
  <si>
    <t xml:space="preserve">MOLTOTSG
KMOL/HR 
</t>
  </si>
  <si>
    <t>Q req gasifier (fired heat) [kW]</t>
  </si>
  <si>
    <t>Q req steam generation (fired heat) [kW]</t>
  </si>
  <si>
    <t>Q gen steam 200ºC [kW]</t>
  </si>
  <si>
    <t>Q gen steam 125ºC [kW]</t>
  </si>
  <si>
    <t>Q req cooling to 40ºC (cooling water) [kW]</t>
  </si>
  <si>
    <t>syngas mass flow [kg/h]</t>
  </si>
  <si>
    <t>water [kg]</t>
  </si>
  <si>
    <t>cooling water kg]</t>
  </si>
  <si>
    <t>credits - steam at 200ºC generation [kWh]</t>
  </si>
  <si>
    <t>credits - steam at 125ºC generation [kWh]</t>
  </si>
  <si>
    <t>syngas mole flow [kmol/h]</t>
  </si>
  <si>
    <t>x_H2</t>
  </si>
  <si>
    <t>x_H2O</t>
  </si>
  <si>
    <t>x_CO</t>
  </si>
  <si>
    <t>x_CO2</t>
  </si>
  <si>
    <t>x_CH4</t>
  </si>
  <si>
    <t>Warnings</t>
  </si>
  <si>
    <t>OK</t>
  </si>
  <si>
    <t>material utilization - low impact products</t>
  </si>
  <si>
    <t>numbers given</t>
  </si>
  <si>
    <t>2.5 tonnes syngas</t>
  </si>
  <si>
    <t>heat required [kWh]</t>
  </si>
  <si>
    <t>best case</t>
  </si>
  <si>
    <t>energy source</t>
  </si>
  <si>
    <t>worst case</t>
  </si>
  <si>
    <t>heat recovery</t>
  </si>
  <si>
    <t>only down to 200°C</t>
  </si>
  <si>
    <t>down to 100°C</t>
  </si>
  <si>
    <t>steam use down to 200°C</t>
  </si>
  <si>
    <t>steam use down to 100°C</t>
  </si>
  <si>
    <t>high eff</t>
  </si>
  <si>
    <t>intermediate eff</t>
  </si>
  <si>
    <t>low eff</t>
  </si>
  <si>
    <t xml:space="preserve">energy demand lowered by catalyst by </t>
  </si>
  <si>
    <t>Electricity, low voltage {DE}| electricity production, photovoltaic, 570kWp open ground installation, multi-Si | Cut-off, U</t>
  </si>
  <si>
    <t>intermediate case</t>
  </si>
  <si>
    <t>reactant use</t>
  </si>
  <si>
    <t>catalyst use</t>
  </si>
  <si>
    <t>energy for achieving temperature and pressure</t>
  </si>
  <si>
    <t>solvent</t>
  </si>
  <si>
    <t>duration</t>
  </si>
  <si>
    <t>fossil</t>
  </si>
  <si>
    <t>renewable</t>
  </si>
  <si>
    <t>Fossil scenario</t>
  </si>
  <si>
    <t>Renewable scenario</t>
  </si>
  <si>
    <t>resulting in</t>
  </si>
  <si>
    <t>1 tonne plastic</t>
  </si>
  <si>
    <t>Heat, district or industrial, natural gas {Europe without Switzerland}| heat production, natural gas, at industrial furnace low-NOx &gt;100kW | Cut-off, U</t>
  </si>
  <si>
    <t>climate change impact (IPCC 2021 GWP100) [kg CO2-eq / MJ]</t>
  </si>
  <si>
    <t>climate change impact (IPCC 2021 GWP100) [kg CO2-eq / kWh]</t>
  </si>
  <si>
    <t>amount of natural gas used for process [m3]</t>
  </si>
  <si>
    <t>heating value of used natural gas [MJ/m3]</t>
  </si>
  <si>
    <t>energy content of used natural gas [MJ]</t>
  </si>
  <si>
    <t>process energy output [MJ]</t>
  </si>
  <si>
    <t>process efficiency</t>
  </si>
  <si>
    <t>share energy source</t>
  </si>
  <si>
    <t>Electricity, high voltage {DE}| electricity production, wind, 1-3MW turbine, offshore | Cut-off, U</t>
  </si>
  <si>
    <t>share for which intermediat storage is required</t>
  </si>
  <si>
    <t>DATASET</t>
  </si>
  <si>
    <t>ELECTRICITY_DEMAND_MJ</t>
  </si>
  <si>
    <t>HEAT_DEMAND_MJ</t>
  </si>
  <si>
    <t>GWP_ELECTRICITY_KG_CO2E</t>
  </si>
  <si>
    <t>GWP_HEAT_KG_CO2E</t>
  </si>
  <si>
    <t>GWP_OTHER_KG_CO2E</t>
  </si>
  <si>
    <t>FUNCTIONAL_UNIT</t>
  </si>
  <si>
    <t>DATA_SOURCE</t>
  </si>
  <si>
    <t>carbon dioxide gas, ammonia byproduct {JP} | 172314000 | U</t>
  </si>
  <si>
    <t>1 kg</t>
  </si>
  <si>
    <t>IDEA v2.3</t>
  </si>
  <si>
    <t>carbon dioxide gas, hydrogen byproduct {JP} | 172314101 | U</t>
  </si>
  <si>
    <t>carbon monoxide {JP} | 172319101 | U</t>
  </si>
  <si>
    <t>1 m3 (ca. 1.123 kg/m3)</t>
  </si>
  <si>
    <t>1-butene {JP} | 173113103 | U</t>
  </si>
  <si>
    <t>butadiene {JP} | 173228000 | U</t>
  </si>
  <si>
    <t>C6 paraffin, petroleum chemical BTX separation byproduct {JP} | 173929108 | U</t>
  </si>
  <si>
    <t>C6 paraffin, petroleum refinery BTX separation byproduct {JP} | 173929109 | U</t>
  </si>
  <si>
    <t>C7 paraffin, petroleum chemical BTX separation byproduct {JP} | 173929113 | U</t>
  </si>
  <si>
    <t>C7 paraffin, petroleum refinery BTX separation byproduct {JP} | 173929114 | U</t>
  </si>
  <si>
    <t>C8 paraffin, petroleum chemical BTX separation byproduct {JP} | 173929117 | U</t>
  </si>
  <si>
    <t>C8 paraffin, petroleum refinery BTX separation byproduct {JP} | 173929118 | U</t>
  </si>
  <si>
    <t>cumene {JP} | 173429112 | U</t>
  </si>
  <si>
    <t>ethylbenzene {JP} | 173429109 | U</t>
  </si>
  <si>
    <t>ethylene, naphtha cracking {JP} | 173111000 | U</t>
  </si>
  <si>
    <t>ethylene (ethene)</t>
  </si>
  <si>
    <t>methane rich gas, naphtha cracking {JP} | 173919111 | U</t>
  </si>
  <si>
    <t>miscellaneous coal-tar products {JP} | 173929000 | U</t>
  </si>
  <si>
    <t>naphthalene, indene</t>
  </si>
  <si>
    <t>propylene, naphtha cracking {JP} | 173112000 | U</t>
  </si>
  <si>
    <t>propylene (propene)</t>
  </si>
  <si>
    <t>pure benzene, petroleum system {JP} | 173114000 | U</t>
  </si>
  <si>
    <t>pure toluene, petroleum system {JP} | 173115000 | U</t>
  </si>
  <si>
    <t>pure xylene, petroleum system {JP} | 173116000 | U</t>
  </si>
  <si>
    <t>xylenes</t>
  </si>
  <si>
    <t>styrene monomer {JP} | 173412000 | U</t>
  </si>
  <si>
    <t>synthetic carbolic acid {JP} | 173416000 | U</t>
  </si>
  <si>
    <t>phenol, alpha-methylstyrene</t>
  </si>
  <si>
    <t>liquefied petroleum gas (LPG) {JP} | 181124000 | U</t>
  </si>
  <si>
    <t>naphtha {JP} | 181112000 | U</t>
  </si>
  <si>
    <t>1 m3 (ca. 700 kg/m3)</t>
  </si>
  <si>
    <t>paraffin {JP} | 181122000 | U</t>
  </si>
  <si>
    <t>natural gas {JP} | 052112000 | U</t>
  </si>
  <si>
    <t>hydrogen gas {JP} | 172312000 | U</t>
  </si>
  <si>
    <t>1 m3 (ca. 0.08077 kg/m3)</t>
  </si>
  <si>
    <t>cyclohexane {JP} | 173415000 | U</t>
  </si>
  <si>
    <t>Heat for recycling processes</t>
  </si>
  <si>
    <t>Heat for chemicals production</t>
  </si>
  <si>
    <t>Electricity for chemicals production</t>
  </si>
  <si>
    <t>efficiency power to heat</t>
  </si>
  <si>
    <t>Electricity, high voltage {DE}| heat and power co-generation, natural gas, combined cycle power plant, 400MW electrical | Cut-off, U</t>
  </si>
  <si>
    <t>Heat, district or industrial, natural gas {DE}| heat and power co-generation, natural gas, combined cycle power plant, 400MW electrical | Cut-off, U</t>
  </si>
  <si>
    <t>climate change impact electricity</t>
  </si>
  <si>
    <t>climate change impact heat</t>
  </si>
  <si>
    <t>for comparison</t>
  </si>
  <si>
    <t>density [kg/m3]</t>
  </si>
  <si>
    <t>NAME</t>
  </si>
  <si>
    <t>ethane, propane, butane, pentane, C5</t>
  </si>
  <si>
    <t>other C6, paraffins</t>
  </si>
  <si>
    <t>landfill</t>
  </si>
  <si>
    <t>impacts</t>
  </si>
  <si>
    <t>Molar ratio (Catalyst per kg of input)</t>
  </si>
  <si>
    <t>Process time [h]</t>
  </si>
  <si>
    <t>Degradation agent</t>
  </si>
  <si>
    <t>Ratio (Degradation agent per input)</t>
  </si>
  <si>
    <t>conversion of input [%]</t>
  </si>
  <si>
    <t>Yield of product [%]</t>
  </si>
  <si>
    <t>Chen (2003)</t>
  </si>
  <si>
    <t>Glycolysis</t>
  </si>
  <si>
    <t>four-necked, flat bottom reactor</t>
  </si>
  <si>
    <t>manganese acetate</t>
  </si>
  <si>
    <t>0.025 moles</t>
  </si>
  <si>
    <t>ethylene glycol</t>
  </si>
  <si>
    <t>2:1 (EG/PET)</t>
  </si>
  <si>
    <t>particle size: 0.4x0.4 cm</t>
  </si>
  <si>
    <t>Pingale et al. (2010)</t>
  </si>
  <si>
    <t>zinc chloride</t>
  </si>
  <si>
    <t>0.5 % (w/w)</t>
  </si>
  <si>
    <t>10:1 (EG/PET)</t>
  </si>
  <si>
    <t>cutting, cleaning, washing, drying</t>
  </si>
  <si>
    <t>particle size: 1cmx1cm</t>
  </si>
  <si>
    <t>Lopez-Fonseca et al. (2010)</t>
  </si>
  <si>
    <t>three-necked, flat bottom reactor</t>
  </si>
  <si>
    <t>381:1 (PET/catalyst)</t>
  </si>
  <si>
    <t>7.6:1 (EG/PET)</t>
  </si>
  <si>
    <t>partcile size: 0.25mm</t>
  </si>
  <si>
    <t>sodium carbonate</t>
  </si>
  <si>
    <t>245:1 (PET/catalyst)</t>
  </si>
  <si>
    <t>Chen et al. (2014)</t>
  </si>
  <si>
    <t>Zn/Al mixed oxide</t>
  </si>
  <si>
    <t>100:1 (PET/catalyst)</t>
  </si>
  <si>
    <t>5:1 (EG/PET)</t>
  </si>
  <si>
    <t>washing, removing other particles, cutting, dissolving</t>
  </si>
  <si>
    <t>particle size: 2x2 mm</t>
  </si>
  <si>
    <t>Imran et al.(2010)</t>
  </si>
  <si>
    <t>batch-type autoclave reactor</t>
  </si>
  <si>
    <t>without; supercritical</t>
  </si>
  <si>
    <t>0.06 (PET/EG)</t>
  </si>
  <si>
    <t>washing, cleaning, cutting</t>
  </si>
  <si>
    <t>particle size: 3x3 mm</t>
  </si>
  <si>
    <t>without; subcritical</t>
  </si>
  <si>
    <t>Imran et al. (2013)</t>
  </si>
  <si>
    <t>ZnMn2O4</t>
  </si>
  <si>
    <t>1% (w/w)</t>
  </si>
  <si>
    <t>5 atm</t>
  </si>
  <si>
    <t>17.2 (EG/PET)</t>
  </si>
  <si>
    <t>washing, drying, cutting</t>
  </si>
  <si>
    <t>Al-Sabagh et al. (2014)</t>
  </si>
  <si>
    <t>three-necked, round bottom reactor</t>
  </si>
  <si>
    <t>acetate based ionic liquid</t>
  </si>
  <si>
    <t>2:1 (PET/catalyst)</t>
  </si>
  <si>
    <t>1 atm</t>
  </si>
  <si>
    <t>Guo et al. (2021)</t>
  </si>
  <si>
    <t>100% PET fibres</t>
  </si>
  <si>
    <t>micro catalyst</t>
  </si>
  <si>
    <t>Laldinpuii et al.(2021)</t>
  </si>
  <si>
    <t>two-necked, round bottom reactor</t>
  </si>
  <si>
    <t>Bamboo Leaf Ash</t>
  </si>
  <si>
    <t>20% (w/w)</t>
  </si>
  <si>
    <t>16:1 (EG/PET)</t>
  </si>
  <si>
    <t>particle size: 1x1 mm</t>
  </si>
  <si>
    <t>Geng et al. (2015)</t>
  </si>
  <si>
    <t>SiW11Zn</t>
  </si>
  <si>
    <t>2% (w/w)</t>
  </si>
  <si>
    <t>4:1 (EG/PET)</t>
  </si>
  <si>
    <t>cutting, drying</t>
  </si>
  <si>
    <t>Fang et al. (2018)</t>
  </si>
  <si>
    <t>Na12[WZn3(H2O)2(ZnW9O34)2]</t>
  </si>
  <si>
    <t>0.5% (w/w)</t>
  </si>
  <si>
    <t>cutting</t>
  </si>
  <si>
    <t>Imran et al. (2011)</t>
  </si>
  <si>
    <t>batch-type reactor</t>
  </si>
  <si>
    <t>Mn3O4/SNPs</t>
  </si>
  <si>
    <t>3.7:1 (EG/PET)</t>
  </si>
  <si>
    <t>Al-Sabagh et al. (2016)</t>
  </si>
  <si>
    <t>Fe3O4-boosted MWCNT</t>
  </si>
  <si>
    <t>5% (w/w)</t>
  </si>
  <si>
    <t>1,2-ethanediol</t>
  </si>
  <si>
    <t>10:1 (agent/PET)</t>
  </si>
  <si>
    <t>Yue et al. (2011)</t>
  </si>
  <si>
    <t>[Bmin]OH</t>
  </si>
  <si>
    <t>cleaning, drying, cutting</t>
  </si>
  <si>
    <t>Liu et al. (2020)</t>
  </si>
  <si>
    <t>[Ch][OAc]</t>
  </si>
  <si>
    <t>[Ch][For]</t>
  </si>
  <si>
    <t>Wang et al. (2015)</t>
  </si>
  <si>
    <t>Urea/ZnCl2 DES</t>
  </si>
  <si>
    <t>Liu et al. (2019)</t>
  </si>
  <si>
    <t>1,3-DMU/Zn(Oac)2</t>
  </si>
  <si>
    <t>Wu et al. (2003)</t>
  </si>
  <si>
    <t>Pyrex flask reactor</t>
  </si>
  <si>
    <t>PU</t>
  </si>
  <si>
    <t>100% PU</t>
  </si>
  <si>
    <t>potassium acetate</t>
  </si>
  <si>
    <t>diethylene glycol</t>
  </si>
  <si>
    <t>1.5 (DEG/PU)</t>
  </si>
  <si>
    <t>drying, cutting</t>
  </si>
  <si>
    <t>polyol containing liquids</t>
  </si>
  <si>
    <t>Gu et al. (2021)</t>
  </si>
  <si>
    <t>titanium glycol</t>
  </si>
  <si>
    <t>0.05% (w/w)</t>
  </si>
  <si>
    <t>ethylene glycol, diethylene glycol</t>
  </si>
  <si>
    <t>1:1 (agent/PU)</t>
  </si>
  <si>
    <t>polyol</t>
  </si>
  <si>
    <t>Molero et al. (2009)</t>
  </si>
  <si>
    <t>jacketed reactor</t>
  </si>
  <si>
    <t>stannous octoate</t>
  </si>
  <si>
    <t>diethyleneglycol</t>
  </si>
  <si>
    <t>1.5:1 (DEG/PU)</t>
  </si>
  <si>
    <t>Morcillo-Bolanos et al. (2018)</t>
  </si>
  <si>
    <t>Zn/Sn/Al hydrotalcite</t>
  </si>
  <si>
    <t>0.07% (w/w)</t>
  </si>
  <si>
    <t>2:3 (DEG/PU)</t>
  </si>
  <si>
    <t>Zhu et al. (2014)</t>
  </si>
  <si>
    <t>NaOH</t>
  </si>
  <si>
    <t>particle size: 5x5 mm</t>
  </si>
  <si>
    <t>Murai et al. (2003)</t>
  </si>
  <si>
    <t>potassium hydroxide</t>
  </si>
  <si>
    <t>0.2 (w/w)</t>
  </si>
  <si>
    <t>dipropylene glycol</t>
  </si>
  <si>
    <t>2:1 (agent/PU)</t>
  </si>
  <si>
    <t>particle size: 5-10 mm</t>
  </si>
  <si>
    <t>DelAmo et al. (2021)</t>
  </si>
  <si>
    <t>3.4% (w/w)</t>
  </si>
  <si>
    <t>crude glycerol</t>
  </si>
  <si>
    <t>1.5:1 (agent/PU)</t>
  </si>
  <si>
    <t>split phase product: upper phase (76.5% polyol, 23.5% agent), bottom phase (8.5% polyol, 19.4% byproducts, 72.1% agent)</t>
  </si>
  <si>
    <t>Trzebiatowska et al. (2019)</t>
  </si>
  <si>
    <t>dibutyltin dilaurate</t>
  </si>
  <si>
    <t>crude glyercine</t>
  </si>
  <si>
    <t>1:3 (agent/PU)</t>
  </si>
  <si>
    <t>15.5% byproducts and 2.1% glycerine</t>
  </si>
  <si>
    <t>Molero et al. (2006)</t>
  </si>
  <si>
    <t>potassium octoate</t>
  </si>
  <si>
    <t>2.2% (w/w)</t>
  </si>
  <si>
    <t>nitrogen atm</t>
  </si>
  <si>
    <t>Kamimura et al. (2007)</t>
  </si>
  <si>
    <t>PA6</t>
  </si>
  <si>
    <t>100% PA6</t>
  </si>
  <si>
    <t>N,N-Dimethylaminopyridine</t>
  </si>
  <si>
    <t>PP13 TFSI</t>
  </si>
  <si>
    <t>caprolactam</t>
  </si>
  <si>
    <t>Kim et al. (2009)</t>
  </si>
  <si>
    <t>100% PC</t>
  </si>
  <si>
    <t>4:1 (EG/PC)</t>
  </si>
  <si>
    <t>bisphenol-A</t>
  </si>
  <si>
    <t>Credits</t>
  </si>
  <si>
    <t>Product amount</t>
  </si>
  <si>
    <t>Target product yield</t>
  </si>
  <si>
    <t>liquid residue</t>
  </si>
  <si>
    <t>solid residue</t>
  </si>
  <si>
    <t>Target product composition</t>
  </si>
  <si>
    <t>terephthalic acid (TPA)</t>
  </si>
  <si>
    <t>monoethylene glycol (MEG)</t>
  </si>
  <si>
    <t>bisphenol A</t>
  </si>
  <si>
    <t>Residues utilization</t>
  </si>
  <si>
    <t>yield variation</t>
  </si>
  <si>
    <t>yield</t>
  </si>
  <si>
    <t>liquid residues utilization</t>
  </si>
  <si>
    <t>solid residues utilization</t>
  </si>
  <si>
    <t>energetic utilization, intermediate C content and heating value</t>
  </si>
  <si>
    <t>heat capacity EG</t>
  </si>
  <si>
    <t>process duration [h]</t>
  </si>
  <si>
    <t>ambient temperature [°C]</t>
  </si>
  <si>
    <t>example glycolysis of PET, PUR, PA, PC</t>
  </si>
  <si>
    <t>heat capacity PET [kJ / (kg * K)]</t>
  </si>
  <si>
    <t>temperature PET [°C]</t>
  </si>
  <si>
    <t>temperature PA [°C]</t>
  </si>
  <si>
    <t>temperature PC [°C]</t>
  </si>
  <si>
    <t>temperature PUR [°C]</t>
  </si>
  <si>
    <t>heat capacity PA [kJ / (kg * K)]</t>
  </si>
  <si>
    <t>heat capacity PC [kJ / (kg * K)]</t>
  </si>
  <si>
    <t>heat capacity PUR [kJ / (kg * K)]</t>
  </si>
  <si>
    <t>energy for heating PET [kJ/kg]</t>
  </si>
  <si>
    <t>energy for heating PA [kJ/kg]</t>
  </si>
  <si>
    <t>energy for heating PC [kJ/kg]</t>
  </si>
  <si>
    <t>energy for heating PUR [kJ/kg]</t>
  </si>
  <si>
    <t>added EG per kg PET</t>
  </si>
  <si>
    <t>process duration PET [h]</t>
  </si>
  <si>
    <t>process duration PA [h]</t>
  </si>
  <si>
    <t>process duration PC [h]</t>
  </si>
  <si>
    <t>process duration PUR [h]</t>
  </si>
  <si>
    <t>molar mass</t>
  </si>
  <si>
    <t>alpha_i [W/m2/K]</t>
  </si>
  <si>
    <t>alpha_a [W/m2/K]</t>
  </si>
  <si>
    <t>r_i [m]</t>
  </si>
  <si>
    <t>r_a [m]</t>
  </si>
  <si>
    <t>assumption</t>
  </si>
  <si>
    <t>lambda [W/m/K]</t>
  </si>
  <si>
    <t>tonnage per year [t/a]</t>
  </si>
  <si>
    <t>assuming one reactor, whereby may be several</t>
  </si>
  <si>
    <t>reactor height [m]</t>
  </si>
  <si>
    <t>density EG [t/m3]</t>
  </si>
  <si>
    <t>density PET [t/m3]</t>
  </si>
  <si>
    <t>density PA [t/m3]</t>
  </si>
  <si>
    <t>density PC [t/m3]</t>
  </si>
  <si>
    <t>density PUR [t/m3]</t>
  </si>
  <si>
    <t>volume per reactor for PA [m3]</t>
  </si>
  <si>
    <t>A_i [m2]</t>
  </si>
  <si>
    <t>A_a [m2]</t>
  </si>
  <si>
    <t>total heat losses during process [kJ]</t>
  </si>
  <si>
    <t>heat loss during process</t>
  </si>
  <si>
    <t>heat demand heating EG [kJ/kg PET]</t>
  </si>
  <si>
    <t>fossil energy</t>
  </si>
  <si>
    <t>average possible educts</t>
  </si>
  <si>
    <t>1 MJ of fuel results in useful outputs of</t>
  </si>
  <si>
    <t>MJ electricity and</t>
  </si>
  <si>
    <t>MJ steam</t>
  </si>
  <si>
    <t>with exergy contents of</t>
  </si>
  <si>
    <t>MJ for electricity and</t>
  </si>
  <si>
    <t>MJ for steam.</t>
  </si>
  <si>
    <t>For 1 kg of fuel at a lower heating value (LHV) of</t>
  </si>
  <si>
    <t>MJ/kg</t>
  </si>
  <si>
    <t xml:space="preserve">and an emission factor (EF) of </t>
  </si>
  <si>
    <t>kg CO2e/TJ,</t>
  </si>
  <si>
    <t>this results in emission intensities of</t>
  </si>
  <si>
    <t xml:space="preserve">kg CO2e/MJ steam or </t>
  </si>
  <si>
    <t>kg CO2e/kg fuel input.</t>
  </si>
  <si>
    <t>That means that 1 kg of fuel results in</t>
  </si>
  <si>
    <t>MJ of electricity and</t>
  </si>
  <si>
    <t>MJ of steam.</t>
  </si>
  <si>
    <t>Typical fuel values are:</t>
  </si>
  <si>
    <t>Fuel type</t>
  </si>
  <si>
    <t>LHV [MJ/kg]</t>
  </si>
  <si>
    <t>EF [kg CO2e/TJ]</t>
  </si>
  <si>
    <t>C-content [kg/kg]</t>
  </si>
  <si>
    <t>Crude oil</t>
  </si>
  <si>
    <t>Natural gas</t>
  </si>
  <si>
    <t>Refinery gas</t>
  </si>
  <si>
    <t>Bituminous coal</t>
  </si>
  <si>
    <t>Lignite</t>
  </si>
  <si>
    <t>Municipal waste</t>
  </si>
  <si>
    <t>Pyrolysis product 1</t>
  </si>
  <si>
    <t>Pyrolysis product 2</t>
  </si>
  <si>
    <t>Pyrolysis product 3</t>
  </si>
  <si>
    <t>For more LHV values, see</t>
  </si>
  <si>
    <t>LHV link</t>
  </si>
  <si>
    <t>and for more EFs</t>
  </si>
  <si>
    <t>EF link.</t>
  </si>
  <si>
    <t>production impact of substituted natural gas</t>
  </si>
  <si>
    <t>Ethylene glycol {RER}| production | Cut-off, U</t>
  </si>
  <si>
    <t>Ethylene glycol {RoW}| production | Cut-off, U</t>
  </si>
  <si>
    <t>overall / kWh</t>
  </si>
  <si>
    <t>total / kWh</t>
  </si>
  <si>
    <t>treated amount [kg]</t>
  </si>
  <si>
    <t>intermediate reactor efficiency</t>
  </si>
  <si>
    <t>low reactor efficiency</t>
  </si>
  <si>
    <t>high reactor efficiency</t>
  </si>
  <si>
    <t>consumption EG [kg / kg PET]</t>
  </si>
  <si>
    <t>net</t>
  </si>
  <si>
    <t>syngas</t>
  </si>
  <si>
    <t>1 m3</t>
  </si>
  <si>
    <t>synthesis gas {JP} | 172319100 | U</t>
  </si>
  <si>
    <t>polyols {JP} | 173949117 | U</t>
  </si>
  <si>
    <t>bisphenol A {JP} | 173429130 | U</t>
  </si>
  <si>
    <t>caprolactam {JP} | 173414000 | U</t>
  </si>
  <si>
    <t>DMT</t>
  </si>
  <si>
    <t>dimethyl terephthalate {JP} | 173411101 | U</t>
  </si>
  <si>
    <t>PTA</t>
  </si>
  <si>
    <t>terephthalic acid {JP} | 173411103 | U</t>
  </si>
  <si>
    <t>ethylene glycol {JP} | 173216000 | U</t>
  </si>
  <si>
    <t>tolylenediisocyanate (TDI) {JP} | 173413000 | U</t>
  </si>
  <si>
    <t>polycarbonate {JP} | 173532000 | U</t>
  </si>
  <si>
    <t>polyamide resin {JP} | 173524000 | U</t>
  </si>
  <si>
    <t>polystyrene, shock resistance {JP} | 173517103 | U</t>
  </si>
  <si>
    <t>acrylonitrile butadiene styrene resin {JP} | 173517106 | U</t>
  </si>
  <si>
    <t>vinyl chloride resin {JP} | 173521000 | U</t>
  </si>
  <si>
    <t>polystyrene, flame retardancy {JP} | 173517104 | U</t>
  </si>
  <si>
    <t>polystyrene, for general use {JP} | 173517102 | U</t>
  </si>
  <si>
    <t>polypropylene {JP} | 173518000 | U</t>
  </si>
  <si>
    <t>polyethylene terephthalate {JP} | 173526000 | U</t>
  </si>
  <si>
    <t>low density polyethylene {JP} | 173516102 | U</t>
  </si>
  <si>
    <t>polyethylene, high density (HDPE) {JP} | 173516100 | U</t>
  </si>
  <si>
    <t>total heat demand PET [kWh/kg]</t>
  </si>
  <si>
    <t>total heat demand PA [kWh/kg]</t>
  </si>
  <si>
    <t>total heat demand PC [kWh/kg]</t>
  </si>
  <si>
    <t>total heat demand PUR [kWh/kg]</t>
  </si>
  <si>
    <t>t/h</t>
  </si>
  <si>
    <t>convective resistance i [K/W]</t>
  </si>
  <si>
    <t>wärmeleitungswiderstand [K/W]</t>
  </si>
  <si>
    <t>convective resistance a [K/W]</t>
  </si>
  <si>
    <t>thermal resistance cylindric walls (Reihenschaltung) [K/W]</t>
  </si>
  <si>
    <t>heat loss rate walls [W]</t>
  </si>
  <si>
    <t>wall thickness (also top and bottom) [m]</t>
  </si>
  <si>
    <t>heat loss rate top and bottom [W]</t>
  </si>
  <si>
    <t>PET tonnage per reactor [t]</t>
  </si>
  <si>
    <t>total volume (PET+EG) per reactor for PET [m3]</t>
  </si>
  <si>
    <t>share EG (assumed mass share)</t>
  </si>
  <si>
    <t>share plastic (assumed mass share)</t>
  </si>
  <si>
    <t>intermediate insulation</t>
  </si>
  <si>
    <t>high insulation</t>
  </si>
  <si>
    <t>low insulation</t>
  </si>
  <si>
    <t>heat demand [kJ/kg]</t>
  </si>
  <si>
    <t>required energy supply</t>
  </si>
  <si>
    <t>production impact kg CO2-eq / kg PET - fossil</t>
  </si>
  <si>
    <t>production impact kg CO2-eq / kg PET - renewable</t>
  </si>
  <si>
    <t>production impact kg CO2-eq / kg EG - fossil</t>
  </si>
  <si>
    <t>production impact kg CO2-eq / kg EG - renewable</t>
  </si>
  <si>
    <t>impact heating &amp; reactant [kg CO2-eq / kg]</t>
  </si>
  <si>
    <t>impact heating [kg CO2-eq / kg]</t>
  </si>
  <si>
    <t>reactant consumption</t>
  </si>
  <si>
    <t>energy demand</t>
  </si>
  <si>
    <t>kWh/kg</t>
  </si>
  <si>
    <t>heat</t>
  </si>
  <si>
    <t>el</t>
  </si>
  <si>
    <t>heat - external</t>
  </si>
  <si>
    <t>natural gas</t>
  </si>
  <si>
    <t>for all approximated and varied</t>
  </si>
  <si>
    <t>kcal / mole monomer</t>
  </si>
  <si>
    <t>foss</t>
  </si>
  <si>
    <t>ren</t>
  </si>
  <si>
    <t>heating</t>
  </si>
  <si>
    <t>weight of 1 mole PA [g]</t>
  </si>
  <si>
    <t>weight of 1 mole PC [g]</t>
  </si>
  <si>
    <t>weight of 1 mole PUR [g]</t>
  </si>
  <si>
    <t>approximated with PET, calculated with average values</t>
  </si>
  <si>
    <t>required energy supply [kWh/kg]</t>
  </si>
  <si>
    <t>fuel</t>
  </si>
  <si>
    <t>without product separation</t>
  </si>
  <si>
    <t>crediting syngas (only separation of CO2 and H2O)</t>
  </si>
  <si>
    <t>crediting CO, H2, methane, syngas, H2O, CO2</t>
  </si>
  <si>
    <t>Average incineration residue {CH}| treatment of, residual material landfill | Cut-off, U</t>
  </si>
  <si>
    <t>Average incineration residue {RoW}| treatment of, residual material landfill | Cut-off, U</t>
  </si>
  <si>
    <t>1 kg pyrolysis solids provide</t>
  </si>
  <si>
    <t>MJ electricity</t>
  </si>
  <si>
    <t>and</t>
  </si>
  <si>
    <t>causing</t>
  </si>
  <si>
    <t>Providing the same amount of electricity from renewable sources causes</t>
  </si>
  <si>
    <t>Providing the same amount of steam from renewable sources causes</t>
  </si>
  <si>
    <t>Inert waste, for final disposal {CH}| treatment of inert waste, inert material landfill | Cut-off, U</t>
  </si>
  <si>
    <t>Inert waste, for final disposal {RoW}| treatment of inert waste, inert material landfill | Cut-off, U</t>
  </si>
  <si>
    <t>consumed amount of silica gel to be replaced</t>
  </si>
  <si>
    <t>we are aware of the fact that various system configurations exist; we tried to approximate separation efforts here with unit processes, but this is something which could be improved</t>
  </si>
  <si>
    <t>amount solvent (kg/kg plastic)</t>
  </si>
  <si>
    <t>amount cosolvent (kg/kg plastic)</t>
  </si>
  <si>
    <t>no catalyst</t>
  </si>
  <si>
    <t>kWh</t>
  </si>
  <si>
    <t xml:space="preserve">80-150 °C </t>
  </si>
  <si>
    <t>type - non-conservative: Ethyl acetate {RER}| production | Alloc Rec, U</t>
  </si>
  <si>
    <t>impact solvent max</t>
  </si>
  <si>
    <t>neglected</t>
  </si>
  <si>
    <t>from https://www.tandfonline.com/doi/pdf/10.1080/15583726908545929</t>
  </si>
  <si>
    <t>double of intermediate value</t>
  </si>
  <si>
    <t>max from https://www.tandfonline.com/doi/pdf/10.1080/15583726908545927 with opposite sign</t>
  </si>
  <si>
    <t>kWh / mole monomer</t>
  </si>
  <si>
    <t>weight of 1 mole PET monomer [g / mole]</t>
  </si>
  <si>
    <t>kWh / kg PET depolymerization</t>
  </si>
  <si>
    <t xml:space="preserve">product composition
</t>
  </si>
  <si>
    <t>molar share</t>
  </si>
  <si>
    <t>mass share</t>
  </si>
  <si>
    <t>utilization as syngas</t>
  </si>
  <si>
    <t>Heat for chemicals production / industry</t>
  </si>
  <si>
    <t>energetic utilization</t>
  </si>
  <si>
    <t>heating value</t>
  </si>
  <si>
    <t>emission factor</t>
  </si>
  <si>
    <t>el produced</t>
  </si>
  <si>
    <t>heat produced</t>
  </si>
  <si>
    <t>synthesis gas</t>
  </si>
  <si>
    <t>crude oil production impacts</t>
  </si>
  <si>
    <t>assumed same heating value and emission factor as naphtha</t>
  </si>
  <si>
    <t xml:space="preserve"> kg product from plastic (plastic+solvent) per kg plastic input</t>
  </si>
  <si>
    <t>target product yield</t>
  </si>
  <si>
    <t>Impacts</t>
  </si>
  <si>
    <t>Considered parameters</t>
  </si>
  <si>
    <t>Values</t>
  </si>
  <si>
    <t>Rationales</t>
  </si>
  <si>
    <t>Temperature level</t>
  </si>
  <si>
    <t>800°C</t>
  </si>
  <si>
    <t>900°C</t>
  </si>
  <si>
    <t>1000°C</t>
  </si>
  <si>
    <t>Plastic type</t>
  </si>
  <si>
    <t>Reactor efficiency</t>
  </si>
  <si>
    <t>Heat recovery</t>
  </si>
  <si>
    <t>Catalyst use</t>
  </si>
  <si>
    <t>Product separation</t>
  </si>
  <si>
    <t>Gasification agent</t>
  </si>
  <si>
    <t>Steam</t>
  </si>
  <si>
    <t>Product shares</t>
  </si>
  <si>
    <t>Gaseous product</t>
  </si>
  <si>
    <t>Liquid product</t>
  </si>
  <si>
    <t>Solid product</t>
  </si>
  <si>
    <t>Gaseous product composition</t>
  </si>
  <si>
    <t>Liquid product composition</t>
  </si>
  <si>
    <t>Solid product composition</t>
  </si>
  <si>
    <t>see pyrolysis</t>
  </si>
  <si>
    <t>Total product amount</t>
  </si>
  <si>
    <t>Energy demand</t>
  </si>
  <si>
    <t>lower heating value [MJ/kg]</t>
  </si>
  <si>
    <t>emission factor per lower heating value [kg CO2e/TJ]</t>
  </si>
  <si>
    <t>lower heating value natural gas [MJ/kg]</t>
  </si>
  <si>
    <t>emission factor per lower heating value natural gas [kg CO2e/TJ]</t>
  </si>
  <si>
    <t>electricity production efficiency</t>
  </si>
  <si>
    <t>heat production efficiency</t>
  </si>
  <si>
    <t>elemental composition</t>
  </si>
  <si>
    <t>reaction enthalpy</t>
  </si>
  <si>
    <t>0.04 kWh / kg</t>
  </si>
  <si>
    <t>0.19 kWh / kg</t>
  </si>
  <si>
    <t>0.39 kWh / kg</t>
  </si>
  <si>
    <t>temperature level</t>
  </si>
  <si>
    <t>190 °C</t>
  </si>
  <si>
    <t>300 °C</t>
  </si>
  <si>
    <t>220 °C</t>
  </si>
  <si>
    <t>189 °C</t>
  </si>
  <si>
    <t>process duration</t>
  </si>
  <si>
    <t>1 h</t>
  </si>
  <si>
    <t>2 h</t>
  </si>
  <si>
    <t>1.4 h</t>
  </si>
  <si>
    <t>2.5 h</t>
  </si>
  <si>
    <t>mass flow per reactor</t>
  </si>
  <si>
    <t>2.74 t/h</t>
  </si>
  <si>
    <t>none</t>
  </si>
  <si>
    <t>Alternative production impacts target product</t>
  </si>
  <si>
    <t>Liquid residue utilization</t>
  </si>
  <si>
    <t>Solid residue utilization</t>
  </si>
  <si>
    <t>Solvent type</t>
  </si>
  <si>
    <t>Solvent amount</t>
  </si>
  <si>
    <t>typical temperature levels for gasification chosen (see Table 3)</t>
  </si>
  <si>
    <t>plastic types of which the biggest amounts are chemically recycled in the model (see SI) apart from PUR, which was not directly available in Aspen</t>
  </si>
  <si>
    <t>Effect on energy requirement</t>
  </si>
  <si>
    <t>Type</t>
  </si>
  <si>
    <t>Amount</t>
  </si>
  <si>
    <t>lowering energy demand by 5%</t>
  </si>
  <si>
    <t>steam is a commonly used gasification agent, besides oxygen or air (Lopez et al., 2018; Ragaert et al., 2017)</t>
  </si>
  <si>
    <t>small hydrocarbons</t>
  </si>
  <si>
    <t>kg / kg input amount</t>
  </si>
  <si>
    <t>from Aspen simulation</t>
  </si>
  <si>
    <t>utilization as naphtha</t>
  </si>
  <si>
    <t>same utilization as for pyrolysis solids assuming similar composition</t>
  </si>
  <si>
    <t>gas share: upper quartile, median, and lower quartile of shares from literature review used for high, intermediate, and low gas yield, respectively;
liquid and char shares: remaining product amount equally divided between gas and char product based on literature review;</t>
  </si>
  <si>
    <t>liquid share: upper quartile, median, and lower quartile of shares from literature review used for high, intermediate, and low liquid yield, respectively;
gas and char shares: remaining product amount equally divided between gas and char product based on literature review</t>
  </si>
  <si>
    <t>constituents identification: liquid product constituents from literature review; products with wide utilization potential individually considered, rest assumed similar to naphtha;
constituents shares: material utilization - max high impact products: separation of individual fractions for material utilization assumed, product composed of substances with highest alternative production impacts, prioritization based on alternative production impact in fossil scenario, maximum share of each product based on literature review (maximum share mentioned in literature); material utilization - intermediate composition: separation of individual fractions for material utilization assumed, equal distribution between all distinguished liquid products; substitution of naphtha: utilization of whole product as naphtha assumed (which can be either as input into steam cracker or as a fuel), alternative production impacts of naphtha considered; energetic utilization: for fossil scenario, assuming same heating value and emission factor as for naphtha, avoiding naphtha production, therewith corresponding to naphtha substitution, for renewable scenario, assumed heating value and emission factor of crude oil, efficiency of energy generation of 70% for heat and 15% for electricity, substitution of alternative energy production mix;</t>
  </si>
  <si>
    <t>constituents identification: gaseous product constituents from literature review; main components individually considered, remaining mix consisting of small hydrocarbons according to literature review;
constituents shares: material utilization - max high impact products: composition of complete gaseous product of 50% H2 and 50% CO, which have the highest alternative production impacts, corresponding to realistic composition for high temperatures (Baerns et al., 2013), shares are below maximum possible shares based on literature review, assuming molar shares given; material utilization - intermediate composition: separation of individual fractions for material utilization assumed, shares based on simulation results for PE, PP, and PS; material utilization - low impact products: 50% target products (H2, CO), shares of constituents based on Baerns et al. (2013); utilization as syngas: separation of only H2O and CO2 assumed and utilization of remaining product as syngas, without considering any water gas shift reaction; energetic utilization: approximation of heating value and emission factor with refinery gas - for fossil scenario, substitution of natural gas based on heating values, calculation of emission difference via emission factors and consideration of production impacts of avoided natural gas, for renewable scenario, calculation of producible amount of electricity and heat via assumed efficiencies and substitution with alternative energy mix for this scenario; assuming product composition reflects possible degree of component separation (such as only 90% separation efficiency of CO from remaining product);</t>
  </si>
  <si>
    <t>constituents identification: gaseous product constituents from literature review; products with wide utilization potential individually considered, rest approximated with natural gas;
constituents shares: material utilization - max high impact products: separation of individual fractions for material utilization assumed, product composed of substances with highest alternative production impacts, prioritization based on alternative production impact, maximum share of each product based on literature review (maximum share mentioned in literature), assuming molar shares given; material utilization - intermediate composition: separation of individual fractions for material utilization assumed, equal distribution between all distinguished gaseous products, resulting in a share below maximum possible share according to literature review except for butane, which was neglected; utilization as syngas: utilization of whole product as syngas assumed, alternative production impacts of syngas considered; energetic utilization kann nicht transportiert werden =&gt; in Industrie verwendet - natural gas furnace Wärme ersetzt, vor allem Elektrizität; emission and heating values approximated with refinery gas; assumed can be also used as synthesis gas;  energetic utilization: approximation of heating value and emission factor with refinery gas - for fossil scenario, substitution of natural gas based on heating values, calculation of emission difference via emission factors and consideration of production impacts of avoided natural gas, for renewable scenario, calculation of producible amount of electricity and heat via assumed efficiencies and substitution with alternative energy mix for this scenario; assuming product composition reflects possible degree of component separation (such as only 90% separation efficiency of CO from remaining product);</t>
  </si>
  <si>
    <t>197 °C</t>
  </si>
  <si>
    <t>198 °C</t>
  </si>
  <si>
    <t>181 °C</t>
  </si>
  <si>
    <t>reactor shape</t>
  </si>
  <si>
    <t>cylindrical</t>
  </si>
  <si>
    <t>0.25 m</t>
  </si>
  <si>
    <t>typical values for free convection in gas outside and forced convection in liquid inside, as well as typical values for thermal insulation material for high temperature from VDI (2013)</t>
  </si>
  <si>
    <t>corresponding to mass flow rate of industrial methanolysis plant in Japan (Okuwaki 2004), assuming one reactor only</t>
  </si>
  <si>
    <t>calculating heat transfer through walls and assumed flat top and bottom according to VDI (2013), calculating reactor size based on density of PET and ratio of ethylene glycol based on literature review, resulting in reactor volume of 16-26.1 m^3 depending on process duration, assuming height similar to diameter</t>
  </si>
  <si>
    <t>kg product / kg plastic input</t>
  </si>
  <si>
    <t>polyols</t>
  </si>
  <si>
    <t>target product composition: based on literature review and plants overview</t>
  </si>
  <si>
    <t>approximated with incineration of solid product from pyrolysis with intermediate heating value</t>
  </si>
  <si>
    <t>energetic utilization - low carbon content and therewith heating value</t>
  </si>
  <si>
    <t>energetic utilization - intermediate carbon content and therewith heating value</t>
  </si>
  <si>
    <t>energetic utilization - high carbon content and therewith heating value</t>
  </si>
  <si>
    <t>process temperature</t>
  </si>
  <si>
    <t>short</t>
  </si>
  <si>
    <t>heat loss rate</t>
  </si>
  <si>
    <t>heat transfer efficiency</t>
  </si>
  <si>
    <t>long</t>
  </si>
  <si>
    <t>best</t>
  </si>
  <si>
    <t>worst</t>
  </si>
  <si>
    <t>lower quartile, median, and upper quartile used as low, intermediate, and high process temperature, respectively, where several studies were available; where not more than one study was available, same degree of variation as for PET assumed</t>
  </si>
  <si>
    <t>286 °C</t>
  </si>
  <si>
    <t>210 °C</t>
  </si>
  <si>
    <t>228 °C</t>
  </si>
  <si>
    <t>311 °C</t>
  </si>
  <si>
    <t>0.7 h</t>
  </si>
  <si>
    <t>1.5 h</t>
  </si>
  <si>
    <t>calculated with volume from PET because difference negligible</t>
  </si>
  <si>
    <t>lower quartile, median, and upper quartile used as low, intermediate, and high process duration, respectively, where several studies were available; where not more than one study was available, same degree of variation as for PET assumed; heat losses calculated for average low, intermediate, and high process duration for all plastic types, because similar to each other</t>
  </si>
  <si>
    <t>impact</t>
  </si>
  <si>
    <t>credit</t>
  </si>
  <si>
    <t>total credits [kg CO2-eq / kg input]</t>
  </si>
  <si>
    <t>yes</t>
  </si>
  <si>
    <t>no</t>
  </si>
  <si>
    <t>worst - syngas, no liquid separation</t>
  </si>
  <si>
    <t>worst - gaseous product separation, no liquid separation</t>
  </si>
  <si>
    <t>best - gaseous and liquid product separation</t>
  </si>
  <si>
    <t>average</t>
  </si>
  <si>
    <t>energetic product utilization</t>
  </si>
  <si>
    <t>energetic product utilization - intermediate impacts, assuming CO2 and H2O separation as heating value referring to gas without these</t>
  </si>
  <si>
    <t>all given as impacts</t>
  </si>
  <si>
    <t>with liquid product separation</t>
  </si>
  <si>
    <t>with liquid and gaseous product separation</t>
  </si>
  <si>
    <t>total max</t>
  </si>
  <si>
    <t>total min</t>
  </si>
  <si>
    <t>total average</t>
  </si>
  <si>
    <t>total heat</t>
  </si>
  <si>
    <t>assuming total heat demand given considering heat transfer losses</t>
  </si>
  <si>
    <t>energy recovery - intermediate impact, no product separation</t>
  </si>
  <si>
    <t>Schwarz et al. (2021)</t>
  </si>
  <si>
    <t>upper value</t>
  </si>
  <si>
    <t>lower value</t>
  </si>
  <si>
    <t>impact transportation from sorting or mechanical recycling plants to chemical recycling plants and sorting polymer where required [t CO2-eq / t plastic waste]</t>
  </si>
  <si>
    <t>sorting into plastic types</t>
  </si>
  <si>
    <t>separation of plastics from other materials</t>
  </si>
  <si>
    <t>approximated via electricity consumption for plastic sorting from Van Eygen (0.0647 kWh), electricity production via. Electricity, low voltage {RER}| market group for | Cut-off, U</t>
  </si>
  <si>
    <t>transportation to sorting</t>
  </si>
  <si>
    <t>based on Klotz et al. (2023), consisting of collection, transport to sorting, and transport to recycling, assuming that all chemical recycling plants can be installed in similar density as mechanical recycling plants, except for gasification, for which additional transport is added; for waste not separately collected for mechanical recycling or reuse, collection impact (0.02) plus transport to sorting and recycling (total 0.03) required; for sorting or recycling residues, half of transport to sorting and recycling from Klotz et al. (2023) (total 0.03) assumed to be required</t>
  </si>
  <si>
    <t>because bigger plants needed for gasification, lower density and therewith higher transport distance; assumed double transportation distance from sorting to recycling; approximated with half of transportation to sorting and recycling, which is, therefore, added another time</t>
  </si>
  <si>
    <t>collection</t>
  </si>
  <si>
    <t>transportation to chemical recycling</t>
  </si>
  <si>
    <t>Cardamone et al. (2022)</t>
  </si>
  <si>
    <t>comments</t>
  </si>
  <si>
    <t>including pre-treatment</t>
  </si>
  <si>
    <t>internal + external</t>
  </si>
  <si>
    <t>Khoo (2019)</t>
  </si>
  <si>
    <t>heat - internal</t>
  </si>
  <si>
    <t>energy demand per plastic input</t>
  </si>
  <si>
    <t>product amount assumed to be energetically used calculated as difference of input to diesel output and residues, heating value of pyrolysis output given</t>
  </si>
  <si>
    <t>Perugini et al. (2005)</t>
  </si>
  <si>
    <t>10-15% of product used as fuel for process, heating value from Khoo (2019)</t>
  </si>
  <si>
    <t>Somoza-Tornos et al. (2020)</t>
  </si>
  <si>
    <t>net electricity consumption, per polyethylene input</t>
  </si>
  <si>
    <t>low pressure steam, per polyethylene input</t>
  </si>
  <si>
    <t>estimated based on Somoza-Tornos et al. (2020)</t>
  </si>
  <si>
    <t>estimated based on model by Somoza-Tornos et al. (2020) for separation of methane, ethene, propene, and benzene from fuel for polyethylene pyrolysis product</t>
  </si>
  <si>
    <t>total heat apart from heat required for product separation</t>
  </si>
  <si>
    <t>separation of 4 product fractions from remaining product; assumed provided as heat</t>
  </si>
  <si>
    <t>separation of 13 fractions from remaining liquid product; assumed provided as heat</t>
  </si>
  <si>
    <t>for process</t>
  </si>
  <si>
    <t>for product separation</t>
  </si>
  <si>
    <t>catalyst demand</t>
  </si>
  <si>
    <t>amount per kg plastic input</t>
  </si>
  <si>
    <t>Cardamone et al. (2022), for pyrolysis</t>
  </si>
  <si>
    <t>Schwarz et al. (2021), for glycolysis</t>
  </si>
  <si>
    <t>average amount of catalyst consumed per kg plastic input</t>
  </si>
  <si>
    <t>zeolite used as a proxy, which is used as a catalyst for pyrolysis acc. to literature review; Ecoinvent process zeolite, powder {GLO}| market for | Cut-off, U</t>
  </si>
  <si>
    <t>impact [kg CO2-eq / kg]</t>
  </si>
  <si>
    <t>impact (assumed for both fossil and renewable scenario)</t>
  </si>
  <si>
    <t>gaseous product separation efforts</t>
  </si>
  <si>
    <t>liquid product separation efforts</t>
  </si>
  <si>
    <t xml:space="preserve">approximated based on Salah (2023), compression of syngas and CO2 as most relevant electricity consumers (Salah, 2023), assumed that pressure swing adsorption responsible for half of total electricity demand; assumed energy demand for water gas shift reaction not considerable, as pressure anyways needed for pressure swing adsorption, and we considered heat recovery here; 1 pressure swing adsorption in system </t>
  </si>
  <si>
    <t>assuming total heat demand given considering heat transfer losses; assuming heat for product separation provided via steam</t>
  </si>
  <si>
    <t>per kg process input</t>
  </si>
  <si>
    <t>kg CO2-eq / kg input</t>
  </si>
  <si>
    <t>approximated with impact per kg input for pyrolysis, being aware of that different catalysts are used in different ratios with different loss rates</t>
  </si>
  <si>
    <t>impact fossil</t>
  </si>
  <si>
    <t>impact renewable</t>
  </si>
  <si>
    <t>positive error sensitivity analysis</t>
  </si>
  <si>
    <t>negative error sensitivity analysis</t>
  </si>
  <si>
    <t>Waste stream</t>
  </si>
  <si>
    <t>Scenario</t>
  </si>
  <si>
    <t>Gasification scenario</t>
  </si>
  <si>
    <t>Pyrolysis scenario</t>
  </si>
  <si>
    <t>Depolymerization scenario</t>
  </si>
  <si>
    <t>Dissolution scenario</t>
  </si>
  <si>
    <t>Plastic waste not separable from other materials</t>
  </si>
  <si>
    <t>WTE</t>
  </si>
  <si>
    <t>Plastic waste (from use and separable from other plastic types, or sorting and recycling residues) not separable into plastic types restricted to pyrolysis or gasification</t>
  </si>
  <si>
    <t>half Gasification, half Pyrolysis</t>
  </si>
  <si>
    <t>Plastic waste (from use and separable from other plastic types, or sorting and recycling residues) separable into plastic types and suitable for all chemical recycling processes</t>
  </si>
  <si>
    <t>Depolymerization for PP, PA, and PUR</t>
  </si>
  <si>
    <t>Dissolution for other plastic types</t>
  </si>
  <si>
    <t>Dissolution for all plastic types except for PUR</t>
  </si>
  <si>
    <r>
      <t>Depolymerization for PUR</t>
    </r>
    <r>
      <rPr>
        <sz val="8"/>
        <color theme="1"/>
        <rFont val="Calibri"/>
        <family val="2"/>
        <scheme val="minor"/>
      </rPr>
      <t> </t>
    </r>
  </si>
  <si>
    <t>Table S1: Scenario configurations assessed</t>
  </si>
  <si>
    <t>energy demand for process without product separation, values from literature (Schwarz et al., 2021; Cardamone et al., 2022; Khoo, 2019; Perugini et al., 2005; Somoza-Tornos et al., 2020)</t>
  </si>
  <si>
    <t>heat [kWh / kg input]</t>
  </si>
  <si>
    <t>electricity [kWh / kg input]</t>
  </si>
  <si>
    <t>separation of 9 fractions from remaining gaseous product; assumed provided as heat</t>
  </si>
  <si>
    <t>approximated via separation efforts for H2 from gasification product scaled down to intermediate product shares of components concerned</t>
  </si>
  <si>
    <t>separation of H2, CO, and CO2 via adsorption, electricity</t>
  </si>
  <si>
    <t xml:space="preserve">for the cases in which main product constituents are individually credited, product separation efforts considered; separation effort for individual components within liquid product estimated based on Somoza-Tornos et al. (2020); gaseous product assumed to be separated into individual components via destillation and adsorption processes, efforts estimated based on Somoza-Tornos et al. (2020) as well as efforts for separation of gaseous product from gasification; </t>
  </si>
  <si>
    <t>zeolite</t>
  </si>
  <si>
    <t>0.03 kg / kg input</t>
  </si>
  <si>
    <t>effect of catalyst use on energy demand assumed to be covered by literature values; impact of catalyst production approximated with exemplary catalyst choice based on literature review, consumed amount estimated based on literature</t>
  </si>
  <si>
    <t>ethyl acetate</t>
  </si>
  <si>
    <t>based on literature (Wiprächtiger et al., 2020; Schwarz et al., 2021) or calculated based on depolymerization efforts</t>
  </si>
  <si>
    <t>Cardamone et al. (2022), required solvent + co-solvent make-up</t>
  </si>
  <si>
    <t>0.015 kg / kg input</t>
  </si>
  <si>
    <t>amount of plastic in product corresponds to plastic input amount, as no reaction takes place; total product amount is, however, slightly higher, as solvent cannot be fully recovered (product amount besides plastics corresponds to solvent make-up); as solvent make-up goes to large part into polymer (up to 90%; Cardamone et al., 2022), assumed that yield shares from literature apply to total product amount, i.e. refer to polymer with included solvent; the solvent within the plastic product might, however, be lost at product manufacturing, meaning that the given credits (assuming that the plastic product consists of 100% plastic) are slightly too high, but due to the minor extent this is negligible</t>
  </si>
  <si>
    <t>as product is polymer, respective production impacts credited, neglecting minor solvent share contained</t>
  </si>
  <si>
    <t>liquid residue assumed to be constituted by any undissolved plastic and solvent losses, therefore assumed to be able to substitute naphtha</t>
  </si>
  <si>
    <t>as catalysts can only lower activation energy, assumed that their effect on energy demand mainly affects economic performance for bulk processes, but is in an order of magnitude so to be only marginally relevant for LCA; type and consumed amount of catalyst approximated by using same values as for pyrolysis</t>
  </si>
  <si>
    <t>target product yield: intermediate efficiency from Schwarz et al. (2021), high efficiency from Cardamone et al. (2022), low efficiency assumed same distance to intermediate efficiency as high efficiency;
solid residue: assumed to be constituted by additives and undissolved plastic pieces, same value as for depolymerization assumed;
liquid residue: rest</t>
  </si>
  <si>
    <t>substituted chemical</t>
  </si>
  <si>
    <t>min
(with pyrolysis min)</t>
  </si>
  <si>
    <t>max
(with gasification max)</t>
  </si>
  <si>
    <t>mechanical recycling</t>
  </si>
  <si>
    <t>mechanical &amp; chemical recycling</t>
  </si>
  <si>
    <t>no mech rec + WTE</t>
  </si>
  <si>
    <t>max mech rec + WTE</t>
  </si>
  <si>
    <t>max mech rec + max cem + WTE</t>
  </si>
  <si>
    <t>max mech rec + WTE with CC</t>
  </si>
  <si>
    <t>max mech rec + best chem rec for each plastic type + WTE</t>
  </si>
  <si>
    <t>incineration in WTE plants</t>
  </si>
  <si>
    <t>incineration in cement kilns</t>
  </si>
  <si>
    <t>chemical recycling (net)</t>
  </si>
  <si>
    <t>primary production and mechanical recycling</t>
  </si>
  <si>
    <t>max mech rec + gasif + WTE</t>
  </si>
  <si>
    <t>max mech rec + pyro + WTE</t>
  </si>
  <si>
    <t>max mech rec + max depoly + dissol/pyro/gasif + WTE</t>
  </si>
  <si>
    <t>max mech rec + max dissol + depoly/pyro/gasif + WTE</t>
  </si>
  <si>
    <t>total amount conveyed to chemical recycling</t>
  </si>
  <si>
    <t>reactor insulation thickness</t>
  </si>
  <si>
    <t>cf. mechanical recycling from Klotz et al. (kg CO2-eq / kg secondary material)</t>
  </si>
  <si>
    <t>Chemical recycling</t>
  </si>
  <si>
    <t>intermediate (with average of gasification and pyrolysis intermediate)</t>
  </si>
  <si>
    <t>savings recycling CO2-eq - intermediate</t>
  </si>
  <si>
    <t>total intermediate</t>
  </si>
  <si>
    <t>total - high</t>
  </si>
  <si>
    <t>total - low</t>
  </si>
  <si>
    <t>savings recycling shares of no-recycling impact - intermediate</t>
  </si>
  <si>
    <t>savings recycling shares of no-recycling impact - high impact</t>
  </si>
  <si>
    <t>savings recycling shares of no-recycling impact - low impact</t>
  </si>
  <si>
    <t>savings recycling CO2-eq - high impact</t>
  </si>
  <si>
    <t>savings recycling CO2-eq - low impact</t>
  </si>
  <si>
    <t>total amount to chem rec</t>
  </si>
  <si>
    <t>share to chem rec</t>
  </si>
  <si>
    <t>separate collection for mechanical recycling or reuse</t>
  </si>
  <si>
    <t>no separate collection for mechanical recycling or reuse</t>
  </si>
  <si>
    <t>Overall</t>
  </si>
  <si>
    <r>
      <rPr>
        <i/>
        <u/>
        <sz val="22"/>
        <color theme="1"/>
        <rFont val="Arial"/>
        <family val="2"/>
      </rPr>
      <t>today's</t>
    </r>
    <r>
      <rPr>
        <i/>
        <sz val="22"/>
        <color theme="1"/>
        <rFont val="Arial"/>
        <family val="2"/>
      </rPr>
      <t xml:space="preserve"> energy and mobility situation + </t>
    </r>
    <r>
      <rPr>
        <i/>
        <u/>
        <sz val="22"/>
        <color theme="1"/>
        <rFont val="Arial"/>
        <family val="2"/>
      </rPr>
      <t>fossil</t>
    </r>
    <r>
      <rPr>
        <i/>
        <sz val="22"/>
        <color theme="1"/>
        <rFont val="Arial"/>
        <family val="2"/>
      </rPr>
      <t xml:space="preserve"> chemical recycling</t>
    </r>
  </si>
  <si>
    <r>
      <rPr>
        <i/>
        <u/>
        <sz val="22"/>
        <color theme="1"/>
        <rFont val="Arial"/>
        <family val="2"/>
      </rPr>
      <t>future</t>
    </r>
    <r>
      <rPr>
        <i/>
        <sz val="22"/>
        <color theme="1"/>
        <rFont val="Arial"/>
        <family val="2"/>
      </rPr>
      <t xml:space="preserve"> energy and mobility situation + </t>
    </r>
    <r>
      <rPr>
        <i/>
        <u/>
        <sz val="22"/>
        <color theme="1"/>
        <rFont val="Arial"/>
        <family val="2"/>
      </rPr>
      <t>fossil</t>
    </r>
    <r>
      <rPr>
        <i/>
        <sz val="22"/>
        <color theme="1"/>
        <rFont val="Arial"/>
        <family val="2"/>
      </rPr>
      <t xml:space="preserve"> chemical recycling</t>
    </r>
  </si>
  <si>
    <t>no rec + WTE</t>
  </si>
  <si>
    <t>no recyc-ling</t>
  </si>
  <si>
    <t>source: Klotz et al. (2023)</t>
  </si>
  <si>
    <t>assumed from river, small efforts neglected</t>
  </si>
  <si>
    <t>according to RWE/BASF/Linde (2017), CO2 capture requires net 2.5-2.8 MJ / (kg CO2); the lower value was used as heat demand for this study, as with the heat demand and recovery rates from Bisinella et al. (2021), the heat requirement is even much lower, whereby the uncertainty related to heat recovery is large (Bisinella et al. (2021))</t>
  </si>
  <si>
    <t>Bisinella et al. (2021): 15 kWh for capture and 65 kWh for compression needed per tonne of wet waste; assumed electricity required proportional to CO2 amount, therefore, value scaled with amount of CO2 per kg wet waste (968 kg CO2 / (tonne wet waste)) in relation to amount of CO2 per kg of each plastic type (from sheet 'S3.17 LCA_cement'); this reduces the electricity output by 11% to 19% (depending on the plastic type), which is very similar to the electricity output decrease determined by Du et al. (2021) for natural gas combined cycle plants for the case of 90% CO2 capture (as in this study) of 16%; according to Bisinella et al. (2021), carbon capture halves the electricity output for combined heat-and-power plants, which is likely because of the utilization of steam from the boiler for carbon capture in Bisinella et al. (2021), which causes a reduction in the electricity output (besides the heat output), while in the present study, the heat provided by the steam is exclusively deducted from the produced heat (it might also be explicable by the higher lower heating values of plastics (see sheet 'S3.17 LCA_cement') compared to the one of the waste considered in Bisinella et al. (2021) (9.9 GJ/(tonne wet waste)), via the different efficiencies of the Swiss plants and the plants considered in Bisinella et al. (2021), or via different electricity-to-heat ratios of the plants);</t>
  </si>
  <si>
    <t>approximated with activated carbon demand for waste incineration flue gas cleaning from Bisinella et al. (2021)</t>
  </si>
  <si>
    <t>Ecoinvent 3 - allocation, cut-off by classification - unit</t>
  </si>
  <si>
    <t>Bisinella et al. (2021)</t>
  </si>
  <si>
    <t>approximated with H2 separation; assumed similar as for H2 PSA - integration possible (only once compression needed); PSA is used based on ecoinvent documentation; cf. Ecoinvent total CO production impact: 1.17 kg CO2-eq / kg</t>
  </si>
  <si>
    <t>source: assumed same as for pyrolysis</t>
  </si>
  <si>
    <t>reactor heat-transfer efficiency</t>
  </si>
  <si>
    <t xml:space="preserve">energy demand lowered by catalyst </t>
  </si>
  <si>
    <t>remaining product</t>
  </si>
  <si>
    <t>make-up from Cardamone et al. (2022)</t>
  </si>
  <si>
    <t>based on Knappich et al. (2019)</t>
  </si>
  <si>
    <t>impact collection and sorting mixed waste and involved transport until recycling and sorting polymer where required [t CO2-eq / t plastic waste]</t>
  </si>
  <si>
    <t xml:space="preserve">glycolysis exemplary assessed, whereby also depolymerization can also be achieved via other processes such as hydrolysis or alcoholysis </t>
  </si>
  <si>
    <t>Knappich et al. (2019), but heat losses do not play a big role (see 'S2.3.2 Depoly_imp')</t>
  </si>
  <si>
    <t>approximated with calculated effort for depolymerization without chain breaking, as similar temperatures and process duration; worst case for heat required for depolymerization considered</t>
  </si>
  <si>
    <t>solution energy</t>
  </si>
  <si>
    <t>Cardamone et al. (2022); Ecoinvent</t>
  </si>
  <si>
    <t>assumed same as fossil, whereby it would actually be lower</t>
  </si>
  <si>
    <t>source:
same as for depolymerization assumed</t>
  </si>
  <si>
    <r>
      <rPr>
        <b/>
        <sz val="11"/>
        <color theme="1"/>
        <rFont val="Calibri"/>
        <family val="2"/>
        <scheme val="minor"/>
      </rPr>
      <t>Notes:</t>
    </r>
    <r>
      <rPr>
        <sz val="11"/>
        <color theme="1"/>
        <rFont val="Calibri"/>
        <family val="2"/>
        <scheme val="minor"/>
      </rPr>
      <t xml:space="preserve">
Schwarz et al. only provide combined production and recycling impacts. The recycling impacts were calculated by subtracting the production impacts from Ecoinvent as used by Schwarz et al.
Schwarz et al. provide net impact data, i.e. credits for avoided products (polymers, monomers, feedstock, energy) included</t>
    </r>
  </si>
  <si>
    <t>min and max values from VDI Wärmeatlas, values for 'erzwungene Konvektion in Flüssigkeiten' (S.22), as for continuous processes there is a relative movement of plastic and reactant to reactor, or else assumed stirring for better mixing</t>
  </si>
  <si>
    <t>min and max values from VDI Wärmeatlas, values for 'freie Konvektion in Gasen' (S.22), assuming air outside</t>
  </si>
  <si>
    <t>values from VDI Wärmeatlas ('Wärmedämmstoffe für betriebstechnische Anlagen', Mineralwolle (Obere Anwendungstemperatur 600°C))</t>
  </si>
  <si>
    <t>value from methanolysis plant (Okuwaki, 2004)</t>
  </si>
  <si>
    <t>Wolfram Alpha (https://www.wolframalpha.com/)</t>
  </si>
  <si>
    <t>based on literature review (S2.3.1 Depoly_lit)</t>
  </si>
  <si>
    <t xml:space="preserve">calculation method for heat losses from VDI Wärmeatlas </t>
  </si>
  <si>
    <t>calculated based on heat capacity and temperature difference</t>
  </si>
  <si>
    <t>energy for solution and product separation neglected</t>
  </si>
  <si>
    <t>Pyrolysis (Liquefaction)</t>
  </si>
  <si>
    <t xml:space="preserve">separation efforts for gaseous products into individual compounds were estimated based on Bisinella et al. (2021), RWE/BASF/Linde (2017), Salah et al. (2023), Malek and Farooq (1998), and Somoza-Tornos et al. (2020), assuming water separation by cooling, flushing, and molecular sieving, CO2, H2, and CO separation via adsorption processes, and methane separation via distillation; separation efforts for liquid products into individual compounds were estimated based on Somoza-Tornos et al. (2020); </t>
  </si>
  <si>
    <t>thermal conductivity and convective heat transfer coefficients</t>
  </si>
  <si>
    <t>assuming catalyst mainly used for increasing monomer yield, but not for lowering energy demand</t>
  </si>
  <si>
    <t>Bisinella, V., Hulgaard, T., Riber, C., Damgaard, A., Christensen, T.H., 2021. Environmental assessment of carbon capture and storage (CCS) as a post-treatment technology in waste incineration. Waste Manag. 128, 99–113. https://doi.org/10.1016/j.wasman.2021.04.046</t>
  </si>
  <si>
    <t>Cardamone, G.F., Ardolino, F., Arena, U., 2022. Can plastics from end-of-life vehicles be managed in a sustainable way? Sustain. Prod. Consum. 29, 115–127. https://doi.org/10.1016/j.spc.2021.09.025</t>
  </si>
  <si>
    <t>Khoo, H.H., 2019. LCA of plastic waste recovery into recycled materials, energy and fuels in Singapore. Resour. Conserv. Recycl. 145, 67–77. https://doi.org/10.1016/j.resconrec.2019.02.010</t>
  </si>
  <si>
    <t>Knappich, F., Klotz, M., Schlummer, M., Wölling, J., Mäurer, A., 2019. Recycling process for carbon fiber reinforced plastics with polyamide 6, polyurethane and epoxy matrix by gentle solvent treatment. Waste Manag. 85, 73–81. https://doi.org/10.1016/j.wasman.2018.12.016</t>
  </si>
  <si>
    <t>Malek, A., Farooq, S., 1998. Hydrogen purification from refinery fuel gas by pressure swing adsorption. AIChE J. 44, 1985–1992. https://doi.org/10.1002/aic.690440906</t>
  </si>
  <si>
    <t>Perugini, F., Mastellone, M.L., Arena, U., 2005. A life cycle assessment of mechanical and feedstock recycling options for management of plastic packaging wastes. Environ. Prog. 24, 137–154. https://doi.org/10.1002/ep.10078</t>
  </si>
  <si>
    <t>Somoza-Tornos, A., Gonzalez-Garay, A., Pozo, C., Graells, M., Espuña, A., Guillén-Gosálbez, G., 2020. Realizing the Potential High Benefits of Circular Economy in the Chemical Industry: Ethylene Monomer Recovery via Polyethylene Pyrolysis. ACS Sustain. Chem. Eng. 8, 3561–3572. https://doi.org/10.1021/acssuschemeng.9b04835</t>
  </si>
  <si>
    <t>VDI-Gesellschaft Verfahrenstechnik und Chemieingenieurwesen (Hrsg.), 2006. VDI-Wärmeatlas. Springer.</t>
  </si>
  <si>
    <t>Wiprächtiger, M., Haupt, M., Heeren, N., Waser, E., Hellweg, S., 2020. A framework for sustainable and circular system design: Development and application on thermal insulation materials. Resour. Conserv. Recycl. 154, 104631. https://doi.org/10.1016/j.resconrec.2019.104631</t>
  </si>
  <si>
    <t>imp</t>
  </si>
  <si>
    <t>product separation efforts</t>
  </si>
  <si>
    <t>heating + EG + catalyst + shredding + product separation</t>
  </si>
  <si>
    <t>immediate reactor efficiency</t>
  </si>
  <si>
    <t>for all plastic types approximated with data from Raheem et al. (2018), glycolysis, two-stage evaporation for BHET separation (intermediate power: 920 kW and 70 kW), 6000 kg PET/h</t>
  </si>
  <si>
    <t>evaporation energy demand [kWh/kg PET]</t>
  </si>
  <si>
    <t>products may be separated via crystallization or rectification (based on Section S5, Cao et al., 2022), approximated with distillation</t>
  </si>
  <si>
    <t>&gt;18 years</t>
  </si>
  <si>
    <t>catalyst impact [kg CO2-eq / kg plastic input]</t>
  </si>
  <si>
    <t>assumed same as for fossil, but would be lower</t>
  </si>
  <si>
    <t>assuming EG as reactant for all relevant plastic types (based on Section S2.3.1)</t>
  </si>
  <si>
    <t>high insulation, low duration, low temperature</t>
  </si>
  <si>
    <t>intermediate insulation, intermediate duration, intermediate temperature</t>
  </si>
  <si>
    <t>low insulation, high duration, high temperature</t>
  </si>
  <si>
    <t>based on Pau et al. (2014)</t>
  </si>
  <si>
    <t>based on Pau et al. (2014) (melt density)</t>
  </si>
  <si>
    <t>cf. Scheirs (2016): plant example from Zabrze (Poland), 6 reactors with each 20 m^3</t>
  </si>
  <si>
    <t>target product yield referring to monomers and oligomers utilizable for polymer production, lower quartile, median, and upper quartile from literature review chosen as values where several studies were available, assuming shares refer to total product amount; where not more than one study was available, same degree of variation as for PET assumed;
solid residue: share attributable to additives assumed, also unreacted plastic pieces may partly constitute solid residue;
liquid residue: rest (non-utilizable oligomers and by-products)</t>
  </si>
  <si>
    <t>bis(hydroxyethyl)terephthalat (BHET)</t>
  </si>
  <si>
    <t>dimethyl terephthalate (DMT)</t>
  </si>
  <si>
    <t>calculated based on molecular formulas and reaction equations (Datta and Kopczyńska, 2016; Al-Sabagh et al., 2016; Sinha et al., 2010; Goto, 2009; Kim et al, 2009; considering PUR made from diisocyanate and diol)</t>
  </si>
  <si>
    <t>impact solvent intermediate</t>
  </si>
  <si>
    <t>Ecoinvent</t>
  </si>
  <si>
    <t>Deviation of Ecoinvent data from fossil scenario of this study</t>
  </si>
  <si>
    <t>climate change impact electricity + heat + other CO2 emissions</t>
  </si>
  <si>
    <t>methylene diphenyl diisocyanate (MDI) {JP} | 173421000 | U</t>
  </si>
  <si>
    <t>PET, (BHET)</t>
  </si>
  <si>
    <t>ethylene glycol (EG), (BHET)</t>
  </si>
  <si>
    <t>(BHET)</t>
  </si>
  <si>
    <t>constituents identification: liquid product constituents from literature review; products with wide utilization potential individually considered, rest assumed similar to naphtha;
constituents shares: material utilization - max high impact products: separation of individual fractions for material utilization assumed (assumed this is feasible e.g. at larger chemical parks where liquid gasification product can be fed into separation unit along with other feedstock), product composed of substances with highest alternative production impacts, prioritization based on alternative production impact in fossil scenario, maximum share of each product based on literature review (maximum share mentioned in literature); material utilization - intermediate composition: separation of individual fractions for material utilization assumed, however only separation of 50% overall and rest utilized as naphtha, product shares scaled down from 'max high impact products' scenario; substitution of naphtha: utilization of whole product as naphtha assumed (which can be either as input into steam cracker or as a fuel), alternative production impacts of naphtha considered; energetic utilization: for fossil scenario, assuming same heating value and emission factor as for naphtha, avoiding naphtha production, therewith corresponding to naphtha substitution, for renewable scenario, assumed heating value and emission factor of crude oil, efficiency of energy generation of 70% for heat and 15% for electricity, substitution of alternative energy production mix;</t>
  </si>
  <si>
    <t>storage losses (based on pumped-storage hydroelectricity inventory from Ecoinvent (Wernet et al., (2016))</t>
  </si>
  <si>
    <t>maximum possible shares according to literature review of elements contributing most to heating value chosen</t>
  </si>
  <si>
    <t>median values of literature review, ash content adjusted so that total sum results in 100% (adjustment of only 10% of mean value for ash share needed)</t>
  </si>
  <si>
    <t>lower ash share assumed, for remaining elements shares, median values from literature review scaled up so that total amount corresponds to 100%</t>
  </si>
  <si>
    <t>landfill: Ecoinvent process;
energetic utilization: high heating value: for elements contributing most to heating value, maximum shares from literature review chosen; low heating value: median shares from literature review chosen, ash share calculated as difference, resulting in a very similar share as median ash share; intermediate heating value: lower ash share than for low heating value (10%), shares of remaining elements calculated by scaling median values so that sum amounts to 90%; heating value calculation with approximation formula based on elemental composition; emission factors calculated stoichiometrically from C content; substituted energy: fossil scenario: substitution of natural gas based on heating values, consideration of emission difference via emission factors and impacts of alternative natural gas production; renewable scenario: heat and electricity production calculated via heating value as well as heat and electricity efficiencies, emissions calculated via emission factor; substitution of renewable energy mix</t>
  </si>
  <si>
    <t>waste-to-energy</t>
  </si>
  <si>
    <t>post-consumer waste to WTE in Klotz et al. (2023)</t>
  </si>
  <si>
    <t>separable plastic amount from post-consumer waste to WTE in Klotz et al. (2023)</t>
  </si>
  <si>
    <t>separable plastic types of separable plastic amount from post-consumer waste to WTE in Klotz et al. (2023)</t>
  </si>
  <si>
    <t>non-separable plastic types of separable plastic amount from post-consumer waste to WTE in Klotz et al. (2023)</t>
  </si>
  <si>
    <t>non-separable plastic amount from post-consumer waste to WTE in Klotz et al. (2023)</t>
  </si>
  <si>
    <t>direct reuse of post-consumer plastic waste</t>
  </si>
  <si>
    <t>uptaken secondary material from mechanical recycling</t>
  </si>
  <si>
    <t>chem rec</t>
  </si>
  <si>
    <t>chemical recycling</t>
  </si>
  <si>
    <t>mech rec</t>
  </si>
  <si>
    <t>share of post-consumer waste to WTE in Klotz et al. (2023) separable from other materials</t>
  </si>
  <si>
    <t>share of separable plastic amount from post-consumer waste to WTE in Klotz et al. (2023) separable into plastic types</t>
  </si>
  <si>
    <t>energetically utilized residues of waste separately collected for reuse or recycling in Klotz et al. (2023)</t>
  </si>
  <si>
    <t>share of energetically utilized residues of waste separately collected for reuse or recycling in Klotz et al. (2023) separable into plastic types</t>
  </si>
  <si>
    <t>total fossil [kg CO2-eq / kg plastic input]</t>
  </si>
  <si>
    <t>total renewable [kg CO2-eq / kg plastic input]</t>
  </si>
  <si>
    <t>impact el fossil [kg CO2-eq / kg plastic input]</t>
  </si>
  <si>
    <t>impact el renewable [kg CO2-eq / kg plastic input]</t>
  </si>
  <si>
    <t>impact activated carbon [kg CO2-eq / kg plastic input]</t>
  </si>
  <si>
    <t>impact silica gel [kg CO2-eq / kg plastic input]</t>
  </si>
  <si>
    <t>fossil [kg CO2-eq / kg plastic input]</t>
  </si>
  <si>
    <t>renewable [kg CO2-eq / kg plastic input]</t>
  </si>
  <si>
    <t>total substitution credits (kg CO2-eq / kg waste input)</t>
  </si>
  <si>
    <t>fossil
(kg CO2-eq / kg waste input)</t>
  </si>
  <si>
    <t>renewable
(kg CO2-eq / kg waste input)</t>
  </si>
  <si>
    <t>without product separation (kg CO2-eq / kg waste input)</t>
  </si>
  <si>
    <t>only CO2 and H2O separation (kg CO2-eq / kg waste input)</t>
  </si>
  <si>
    <t>product separation gaseous (kg CO2-eq / kg waste input)</t>
  </si>
  <si>
    <t>product separation gaseous + liquid (kg CO2-eq / kg waste input)</t>
  </si>
  <si>
    <t>tar (share of total solids)</t>
  </si>
  <si>
    <t>C (share of total solids)</t>
  </si>
  <si>
    <t>H (share of total solids)</t>
  </si>
  <si>
    <t>O (share of total solids)</t>
  </si>
  <si>
    <t>N (share of total solids)</t>
  </si>
  <si>
    <t>Cl (share of total solids)</t>
  </si>
  <si>
    <t>F (share of total solids)</t>
  </si>
  <si>
    <t>Br (share of total solids)</t>
  </si>
  <si>
    <t>S (share of total solids)</t>
  </si>
  <si>
    <t>ash (share of total solids)</t>
  </si>
  <si>
    <t>lit</t>
  </si>
  <si>
    <t>cred</t>
  </si>
  <si>
    <t>sim</t>
  </si>
  <si>
    <t>literature review</t>
  </si>
  <si>
    <t>simulation results</t>
  </si>
  <si>
    <t>res</t>
  </si>
  <si>
    <t>overall results for process</t>
  </si>
  <si>
    <t>Abbreviations used in sheet names and sheets</t>
  </si>
  <si>
    <t>temperature [°C]</t>
  </si>
  <si>
    <t>cooling water [kg]</t>
  </si>
  <si>
    <t>heat recovery T req min = 200°C [kWh]</t>
  </si>
  <si>
    <t>heat recovery T req min = 100°C [kWh]</t>
  </si>
  <si>
    <t>net heat req 200°C [kWh]</t>
  </si>
  <si>
    <t>net heat req 100°C [kWh]</t>
  </si>
  <si>
    <t>eff</t>
  </si>
  <si>
    <t>efficiency</t>
  </si>
  <si>
    <t>energy demand [kWh]</t>
  </si>
  <si>
    <t>considering reactor heat transfer losses</t>
  </si>
  <si>
    <t>considering reactor heat transfer losses
- energy demand reduction by catalyst</t>
  </si>
  <si>
    <t>impact [kg CO2-eq / kg plastic input]</t>
  </si>
  <si>
    <t>24 kWh / t for shredding acc. to Schwarz (2021) neglected, as small compared to remaining energy demand</t>
  </si>
  <si>
    <t>shredding of input material</t>
  </si>
  <si>
    <t>heat as steam (net, i.e. considering heat recovery) [MJ / kg CO2]</t>
  </si>
  <si>
    <t>electrictiy [MJ / kg CO2]</t>
  </si>
  <si>
    <t>MEA consumption [kg / kg CO2]</t>
  </si>
  <si>
    <t>impact MEA fossil [kg CO2-eq / kg CO2]</t>
  </si>
  <si>
    <t>impact heat fossil [kg CO2-eq / kg CO2]</t>
  </si>
  <si>
    <t>impact heat renewable [kg CO2-eq / kg CO2]</t>
  </si>
  <si>
    <t>impact el fossil [kg CO2-eq / kg CO2]</t>
  </si>
  <si>
    <t>impact el renewable [kg CO2-eq / kg CO2]</t>
  </si>
  <si>
    <t>production impact for 1 kg Monoethanolamine {GLO}| market for | Cut-off, U [kg CO2-eq / kg MEA]</t>
  </si>
  <si>
    <t>NaOH [kg / kg CO2] (neglected, assuming that due to even smaller amount than MEA impact would be negligible)</t>
  </si>
  <si>
    <t>for CO2 share of intermediate product composition</t>
  </si>
  <si>
    <t>electricity consumption pressure swing adsorption [kWh / kg plastic input]</t>
  </si>
  <si>
    <t>activated carbon as consumed adsorbent [kg / kg plastic input]</t>
  </si>
  <si>
    <t>assumed same amount of AC is consumed per kg H2 as MEA per kg CO2, the value for the latter is taken from Bisinella (2021); AC utilization based on Malek and Farooq (1998); H2 share in product for intermediate product composition</t>
  </si>
  <si>
    <t>impact of activated carbon production [kg CO2-eq/ 1 kg Activated carbon, granular {GLO}| market for activated carbon, granular | Cut-off, U]</t>
  </si>
  <si>
    <t>Ecoinvent 3 - allocation, cut-off by classification - unit; same impact assumed for renewable as for fossil, because small compared to energy impact</t>
  </si>
  <si>
    <t>silica gel as consumed adsorbent [kg CO2-eq/ 1 kg Activated silica {GLO}| market for | Cut-off, U]</t>
  </si>
  <si>
    <t>Ecoinvent 3 - allocation, cut-off by classification - unit; same impact assumed for renewable as for fossil, because small compared to energy impact; silica gel utilization based on Malek and Farooq (1998);</t>
  </si>
  <si>
    <t>assumed same amount as AC</t>
  </si>
  <si>
    <t>kWh/kg plastic input</t>
  </si>
  <si>
    <t>separation of 6 fractions from remaining liquid product; assumed provided as heat  [kWh / kg plastic input]</t>
  </si>
  <si>
    <t>separation of 1 fractions from remaining liquid product; assumed provided as heat [kWh / kg plastic input]</t>
  </si>
  <si>
    <t>alternative production impacts [kg CO2-eq / kg]</t>
  </si>
  <si>
    <t>credits [kg CO2-eq / kg]</t>
  </si>
  <si>
    <t>credits [kg CO2-eq / kg solid product]</t>
  </si>
  <si>
    <t>net impact (kg CO2-eq / kg waste input)</t>
  </si>
  <si>
    <t>heat [MJ / kg crude oil]</t>
  </si>
  <si>
    <t>el [MJ / kg crude oil]</t>
  </si>
  <si>
    <t>CO2 [kg CO2-eq / kg crude oil]</t>
  </si>
  <si>
    <t>impact alternative renewable heat production [kg CO2-eq / kg liquid product]</t>
  </si>
  <si>
    <t>impact alternative renewable electricity production [kg CO2-eq / kg liquid product]</t>
  </si>
  <si>
    <t>alternative production impact - fossil [kg CO2-eq / kg product]</t>
  </si>
  <si>
    <t>alternative production impact - renewable [kg CO2-eq / kg product]</t>
  </si>
  <si>
    <t>fossil
 [kg CO2-eq / kg input]</t>
  </si>
  <si>
    <t>renewable
 [kg CO2-eq / kg input]</t>
  </si>
  <si>
    <t>PET [kg CO2-eq / kg input]</t>
  </si>
  <si>
    <t>PA [kg CO2-eq / kg input]</t>
  </si>
  <si>
    <t>PC [kg CO2-eq / kg input]</t>
  </si>
  <si>
    <t>PUR [kg CO2-eq / kg input]</t>
  </si>
  <si>
    <t>fossil [kg CO2-eq / kg input]</t>
  </si>
  <si>
    <t>renewable [kg CO2-eq / kg input]</t>
  </si>
  <si>
    <t>2-3 h</t>
  </si>
  <si>
    <t>energy demand [kWh / kg input]</t>
  </si>
  <si>
    <t>total fossil [kg CO2-eq / kg input]</t>
  </si>
  <si>
    <t>total renewable [kg CO2-eq / kg input]</t>
  </si>
  <si>
    <t>electricity required [kWh / kg]</t>
  </si>
  <si>
    <t>heat fossil [kg CO2-eq / kg input]</t>
  </si>
  <si>
    <t>heat renewable [kg CO2-eq / kg input]</t>
  </si>
  <si>
    <t>electricity  [kWh / kg input]</t>
  </si>
  <si>
    <t>Wiprächtiger et al. (2020)</t>
  </si>
  <si>
    <t>Wiprächtiger et al. (2020), Ecoinvent</t>
  </si>
  <si>
    <t>energy content of Steam, in chemical industry {RER}| production [MJ / kg input]</t>
  </si>
  <si>
    <t>el fossil [kg CO2-eq / kg input]</t>
  </si>
  <si>
    <t>el renewable [kg CO2-eq / kg input]</t>
  </si>
  <si>
    <t>solvent consumption (kg/kg plastic)</t>
  </si>
  <si>
    <t>type - conservative: kg CO2-eq / 1 kg Tetrahydrofuran {GLO}| market for | Cut-off, U</t>
  </si>
  <si>
    <t>shredding - fossil [kg CO2-eq / kg input]</t>
  </si>
  <si>
    <t>shredding - renewable [kg CO2-eq / kg input]</t>
  </si>
  <si>
    <t>process energy demand</t>
  </si>
  <si>
    <t>drying additive [kg/kg]</t>
  </si>
  <si>
    <t>Impact calculations for energetic utilization of chemical recycling products</t>
  </si>
  <si>
    <t>papers considered in literature review (Sections S2.1.1, S2.2.1, and S2.3.1) cover time from 1995 till beginning of 2021</t>
  </si>
  <si>
    <t>only papers were included that contained data relevant for performing an LCA, including temperatur level, process duration, suitable waste input, composition output, auxiliary input materials, degradation agent, ratio (degradation agent to input), product yield</t>
  </si>
  <si>
    <t>in tonnes</t>
  </si>
  <si>
    <t>IPCC 2021 GWP100 (kg CO2-eq / kg plastic)</t>
  </si>
  <si>
    <t>impacts based on uncertainty assessment [t CO2-eq]</t>
  </si>
  <si>
    <t>total impact (kg CO2-eq / kg plastic)</t>
  </si>
  <si>
    <t>References Supporting Information</t>
  </si>
  <si>
    <t>Cao, F., Wang, L., Zheng, R., Guo, L., Chen, Y., Qian, X., 2022. Research and progress of chemical depolymerization of waste PET and high-value application of its depolymerization products. RSC Adv. 12, 31564–31576. https://doi.org/10.1039/D2RA06499E</t>
  </si>
  <si>
    <t>Kim, D., Kim, B., Cho, Y., Han, M., Kim, B.-S., 2009. Kinetics of Polycarbonate Glycolysis in Ethylene Glycol. Ind. Eng. Chem. Res. 48, 685–691. https://doi.org/10.1021/ie8010947</t>
  </si>
  <si>
    <t>Pau, D.S.W., Fleischmann, C.M., Spearpoint, M.J., Li, K.Y., 2014. Thermophysical properties of polyurethane foams and their melts. Fire Mater. 38, 433–450. https://doi.org/10.1002/fam.2188</t>
  </si>
  <si>
    <t>Sinha, V., Patel, M.R., Patel, J. V., 2010. Pet waste management by chemical recycling: A review. J. Polym. Environ. 18, 8–25. https://doi.org/10.1007/s10924-008-0106-7</t>
  </si>
  <si>
    <t>Wernet, G., Bauer, C., Steubing, B., Reinhard, J., Moreno-Ruiz, E., Weidema, B., 2016. The ecoinvent database version 3 (part I): overview and methodology. Int. J. Life Cycle Assess. 21, 1218–1230.</t>
  </si>
  <si>
    <t>waste input [kg]</t>
  </si>
  <si>
    <t>heat gasification (direct heating and steam generation) [kWh]</t>
  </si>
  <si>
    <t>Syngas composition - molar fraction (x_: share)</t>
  </si>
  <si>
    <t>assumption based on Chapter 4. Thermodynamics of Polycondensation (https://doi.org/10.1080/15583726908545929) and Chapter 2. Heat of Polymerization (https://doi.org/10.1080/15583726908545927) from Journal of Macromolecular Science, Part C: Polymer Reviews (1969; published online 2008), aiming to depict the relevant value range for all plastic types</t>
  </si>
  <si>
    <t>thousands of tonnes</t>
  </si>
  <si>
    <t>notes:
- net does not always correspond to sum of impact and credit, as certain parameters affecting impact and credit were only jointly varied;
- intermediate values for impact are given in alignment with credits (if credits assume individual product component utilization, impacts include product separation efforts)
- energetic utilization of main product not considered (mainly relevant for gasification)</t>
  </si>
  <si>
    <t>(PUR)</t>
  </si>
  <si>
    <t>liquid residue assumed to be constituted by oligomers that were not fully depolymerized and other hydrocarbon reaction products, therefore assumed to be able to be utilizable for energy recovery with a similar impact as naphtha</t>
  </si>
  <si>
    <t xml:space="preserve">fossil  </t>
  </si>
  <si>
    <t>factors for heating value calculation
(heating value calculated with formula LHV = 25c + 94,3h + 10,4s +6,3n - 10,8o - 2,44w (in MJ/kg) from Wikipedia (2007), whereby c, h, s, n, o, w are the mass shares of the fuel summing up to 1; w: water)</t>
  </si>
  <si>
    <t>fossil: high value: efficiency from Ecoinvent process for generation of heat via natural gas industrial furnace (see SI); intermediate value: average of high and low value; low value: based on Zhang et al. (2021); renewable: efficiency varied based on Madeddu et al. (2020) to depict different suitable reactor types;</t>
  </si>
  <si>
    <t>Okuwaki, A., 2004. Feedstock recycling of plastics in Japan. Polym. Degrad. Stab. 85, 981–988. https://doi.org/10.1016/j.polymdegradstab.2004.01.023</t>
  </si>
  <si>
    <t>Zhang, Z., Delcroix, B., Rezazgui, O., Mangin, P., 2021. Simulation and techno-economic assessment of bio-methanol production from pine biomass, biochar and pyrolysis oil. Sustain. Energy Technol. Assessments 44, 101002. https://doi.org/10.1016/j.seta.2021.101002</t>
  </si>
  <si>
    <t>https://plast2bcleaned.eu/wp-content/uploads/2020/11/Brightlands-Symposium-Presentatie-Empack-Reconnect-TNO-Mark-Roelands-17-09-2020.pdf
https://enerkem.com/news-release/w2c-rotterdam-project-welcomes-shell-as-partner/
accessed on 22-12-12
Solis and Silveira (2020)</t>
  </si>
  <si>
    <t xml:space="preserve">https://plast2bcleaned.eu/wp-content/uploads/2020/11/Brightlands-Symposium-Presentatie-Empack-Reconnect-TNO-Mark-Roelands-17-09-2020.pdf
https://www.eep.ebara.com/en/business_technology/technology_3.html
https://www.sdk.co.jp/english/news/2022/41728.html
https://www.sdk.co.jp/english/news/2020/38930.html
accessed on 22-12-12
Okuwaki (2004)
</t>
  </si>
  <si>
    <t>https://www.sustainableplastics.com/news/shell-investing-pyrolysis-upgrader-unit-moerdijk
https://www.shell.com/business-customers/chemicals/media-releases/2022-media-releases/shell-chemicals-park-moerdijk-accelerates-transition-to-become-net-zero-emissions-and-more-sustainable-chemicals.html
https://www.youtube.com/watch?v=550kVJs_klo
https://www.bluealp.nl/
www.renasci.be
https://www.youtube.com/watch?v=wyF6lyyFEM4
https://www.petrogas.nl/ptc/
accessed on 22-12-12</t>
  </si>
  <si>
    <t>https://markets.businessinsider.com/news/stocks/shell-uses-plastic-waste-to-produce-chemicals-1028707467
https://www.shell.com/business-customers/chemicals/media-releases/2020-media-releases/nexus-and-shell-sign-strategic-supply-agreement-to-scale-up-commercial-production-of-chemicals-from-plastic-waste.html
https://nexuscircular.com
https://markets.businessinsider.com/news/stocks/shell-uses-plastic-waste-to-produce-chemicals-1028707467
https://www.youtube.com/watch?v=wXNaV51srbQ
https://www.chemengonline.com/nexus-circular-and-braskem-sign-mou-for-recycled-plastic-materials/
accessed on 22-12-12</t>
  </si>
  <si>
    <t>fuenix.com
https://corporate.dow.com/en-us/news/press-releases/dow-expands-global-capabilities-for-circular-plastics--with-init.html
accessed on 22-09-10</t>
  </si>
  <si>
    <t>https://www.basf.com/global/de/who-we-are/sustainability/whats-new/sustainability-news/2019/basf-invests-in-quantafuel.html
https://www.quantafuel.com/
https://www.basf.com/ch/de/who-we-are/sustainability/we-drive-sustainable-solutions/circular-economy/mass-balance-approach/chemcycling/FAQ_ChemCycling.html
accessed on 22-08-30</t>
  </si>
  <si>
    <t>https://greenco.in/casestudy/Plastic%20Waste%20to%20Fuel-2015.pdf
https://pdf.indiamart.com/impdf/7111829873/MY-6965358/2-5-ton-plastic-waste-pyrolysis-plant.pdf
accessed on 23-04-11
Vollmer et al. (2020)</t>
  </si>
  <si>
    <t>https://www.regenyxllc.com/
https://www.cbsnews.com/video/chemical-recycling-could-be-an-industry-game-changer/#x
https://www.businesswire.com/news/home/20190430005768/en/AmSty-Agilyx-Launch-Joint-Venture-Regenyx-LLC
https://www.agilyx.com/tigard/
https://amsty.com/news/agilyx-expands-polystyrene-foam-recycling-capabilities-with-amsty-funded-grant
accessed on 2022-08-29</t>
  </si>
  <si>
    <r>
      <t>syngas purification (scrubbing) resulting in ultra clean syngas (CO, H</t>
    </r>
    <r>
      <rPr>
        <vertAlign val="subscript"/>
        <sz val="11"/>
        <rFont val="Arial"/>
        <family val="2"/>
      </rPr>
      <t>2</t>
    </r>
    <r>
      <rPr>
        <sz val="11"/>
        <rFont val="Arial"/>
        <family val="2"/>
      </rPr>
      <t>), which is undergoing catalytic reactions</t>
    </r>
  </si>
  <si>
    <r>
      <t>demonstration plant (200 m</t>
    </r>
    <r>
      <rPr>
        <vertAlign val="superscript"/>
        <sz val="11"/>
        <rFont val="Arial"/>
        <family val="2"/>
      </rPr>
      <t>2</t>
    </r>
    <r>
      <rPr>
        <sz val="11"/>
        <rFont val="Arial"/>
        <family val="2"/>
      </rPr>
      <t>, 14 m high)</t>
    </r>
  </si>
  <si>
    <t>https://clariter.com
accessed on 22-08-30</t>
  </si>
  <si>
    <t>https://renewelp.co.uk
https://www.besustainablemagazine.com/cms2/wp-content/uploads/2019/12/Armstrong-Building-a-reliable-process_Mahon.pdf
https://www.licella.com/technology/facilities/
https://renewelp.co.uk/news/renew-elp-announces-plastic-feedstock-supplier-and-compliance-agreements/
https://www.recyclingproductnews.com/article/36158/renew-elp-to-begin-construction-on-worlds-first-commercial-scale-plastic-recycling-plant-to-use-hydrothermal-upgrading
https://www.nepic.co.uk/wp-content/uploads/2020/11/02.-ReNew-ELP-Recycling-the-Unrecyclable.pdf
accessed on 22-09-10</t>
  </si>
  <si>
    <t>https://obbotec.com/en/hydrocat-technologie/
https://www.industryandenergy.eu/proving-the-concept-the-power-of-pilots-plant-one-rotterdam/
accessed on 22-09-10</t>
  </si>
  <si>
    <t>https://www.ineos.com/businesses/ineos-styrolution/news/ineos-styrolution-breakthrough-in-chemical-recycling-of-polystyrene/
https://www.ineos.com/businesses/ineos-styrolution/news/ineos-styrolution-recycling-technologies-and-trinseo-progress-plans-for-the-first-polystyrene-recycling-plant-in-europe/
https://www.ineos.com/businesses/ineos-styrolution/news/ineos-styrolution-confirms-its-investment-decision-for-europes-first-polystyrene-advanced-recycling-pilot-plant-/
recyclingtechnologies.co.uk
https://styrolution-eco.com/content_media/content_downloads/INEOS-Styrolution-sustainability-report-2020.pdf
accessed on 22-08-30</t>
  </si>
  <si>
    <t>www.brightmark.com
https://plasticker.de/Kunststoff_News_39943_Brightmark_Neue_Kunststoffrecycling_Anlagen_in_Europa_in_Planung___Kooperation_mit_BP
https://www.plasticsnews.com/article/20180320/NEWS/180329988/bp-deal-will-help-res-polyflow-open-first-commercial-plastics-to-fuel-plant
accessed on 22-09-10</t>
  </si>
  <si>
    <t>https://renewelp.co.uk
https://www.besustainablemagazine.com/cms2/wp-content/uploads/2019/12/Armstrong-Building-a-reliable-process_Mahon.pdf
https://www.licella.com/technology/facilities/
https://renewelp.co.uk/news/renew-elp-announces-plastic-feedstock-supplier-and-compliance-agreements/
https://www.recyclingproductnews.com/article/36158/renew-elp-to-begin-construction-on-worlds-first-commercial-scale-plastic-recycling-plant-to-use-hydrothermal-upgrading
brochure 'A New Solution for recycling waste plastic', https://flowpaper.com/online-pdf-viewer/?theme=light&amp;pdf=https://renewelp.co.uk/wp-content/uploads/2020/02/ReNew-ELP-Brochure-.pdf&amp;wp-hosted=1&amp;title=&amp;header=Opening%20ReNew%20ELP%20Brochure...&amp;singlepage=auto&amp;thumbs=1&amp;modified=2002261005#page=2
accessed on 22-09-10</t>
  </si>
  <si>
    <t>https://www.neste.com/releases-and-news/circular-economy/neste-and-ravago-plan-set-joint-venture-focus-chemical-recycling-waste-plastic
https://www.neste.com/releases-and-news/circular-economy/chemical-recycling-plastic-neste-acquires-european-rights-alterra-energys-thermochemical
https://www.recyclingtoday.com/article/neste-ravago-construct-chemical-recycling-plant-alterra-netherlands/
accessed on 22-08-30</t>
  </si>
  <si>
    <t>pryme-cleantech.com
https://www.shell.com/business-customers/chemicals/media-releases/2021-media-releases/shell-and-pryme-sign-cooperation-agreement.html
accessed on 22-09-10</t>
  </si>
  <si>
    <t>https://www.icis.com/explore/resources/news/2020/04/22/10499265/ineos-plastic-energy-to-build-pyrolysis-based-chemical-recycling-plant/
accessed on 22-08-29</t>
  </si>
  <si>
    <t xml:space="preserve">https://www.chemengonline.com/nexus-circular-and-braskem-sign-mou-for-recycled-plastic-materials/
accessed on 22-09-10
</t>
  </si>
  <si>
    <t>https://packagingeurope.com/news/honeywell-announces-commercialisation-of-chemical-recycling-technology-for-waste-plastics/7576.article
accessed on 22-09-10</t>
  </si>
  <si>
    <t>https://www.youtube.com/watch?v=wXNaV51srbQ
https://www.icis.com/explore/resources/news/2022/07/21/10787341/nexus-announces-texas-chemical-recycling-plant-dow-to-partner-on-offtake/
https://corporate.dow.com/en-us/news/press-releases/dow-and-nexus-circular-announce-plans-to-build-new-advanced-recycling-facility-in-dallas-tx.html
accessed on 22-09-10</t>
  </si>
  <si>
    <t>sustainability report, https://plasticenergy.com/wp-content/uploads/2021/08/Plastic-Energy-Sustainability-report-2021.pdf
accessed on 2022-08-29</t>
  </si>
  <si>
    <t>sustainability report, https://plasticenergy.com/wp-content/uploads/2021/08/Plastic-Energy-Sustainability-report-2021.pdf
https://investinholland.com/news/plastic-energy-and-sabic-to-build-advanced-chemical-recycling-plant-for-plastics-in-the-netherlands/
accessed on 2022-08-29</t>
  </si>
  <si>
    <t>https://www.kunststoffweb.de/branchen-news/xycle_anlage_fuer_chemisches_kunststoffrecycling_in_den_niederlanden_t250406
https://www.chemicalrecycling.eu/news/xycle-will-start-construction-of-its-first-plastic-recycling-plant-at-the-end-of-2022/
accessed on 2022-08-30</t>
  </si>
  <si>
    <t>https://www.chemicalrecycling.eu/news/indaver-and-ineos-styrolution-sign-offtake-agreement-for-recycled-styrene-monomer/
https://www.ineos.com/businesses/ineos-styrolution/news/indaver-and-ineos-styrolution-sign-offtake-agreement-for-recycled-styrene-monomer/
https://styrolution-eco.com/content_media/content_downloads/INEOS-Styrolution-sustainability-report-2020.pdf
https://investor.trinseo.com/home/news/news-details/2022/Trinseo-Chemical-Recycling-Plant-on-Track/default.aspx
https://www.indaver.com/en/operational-excellence/installations/materials-recovery/plastics2chemicals/
https://www.youtube.com/watch?v=aSi_rR7-fOM&amp;list=PLjj5y8S6T4xpuF6zU1LWYNuMBzeck3hjY&amp;index=8
accessed on 2022-08-30</t>
  </si>
  <si>
    <t>https://investor.trinseo.com/home/news/news-details/2022/Trinseo-Chemical-Recycling-Plant-on-Track/default.aspx
synovatech.com
https://www.ineos.com/businesses/ineos-styrolution/news/ineos-styrolution-recycling-technologies-and-trinseo-progress-plans-for-the-first-polystyrene-recycling-plant-in-europe/
accessed on 2022-08-30</t>
  </si>
  <si>
    <t>https://investors.lamor.com/company-releases/lamor-has-decided-to-construct-a-chemical-recycling-plant-of-plastics-together-with-resiclo/
https://resiclo.com/
accessed on 2022-09-10</t>
  </si>
  <si>
    <t>https://www.recyclingtoday.com/article/nestle-enval-greenback-mexico-flexible-plastic-packaging-recycling/
www.enval.com
accessed on 2022-09-10</t>
  </si>
  <si>
    <t>www.arcus-greencycling.com/
https://www.kit-technology.de/de/blog/chemisches-kunststoffrecycling-salonfaehig-machen - 2021
https://www.lkz.de/lokales/stadt-ludwigsburg_artikel,-umweltschonend-ludwigsburger-start-up-arcus-macht-aus-abfall-kunststoff-_arid,672713.html - 2022
https://www.plasticfree-world.com/sponsor/arcus-greencycling/
accessed on 22-08-30</t>
  </si>
  <si>
    <t>www.promeco.it
tecnoedizioni: https://www.promeco.it/images/pdf/Impianti/ChemicalRecycling/TecnoPlast-4-ITA-maggio-22.pdf
https://www.laprovinciadicomo.it/stories/Homepage/358071_gasolio_dalla_plastica_fino_no_allimpianto/
accessed on 22-09-10</t>
  </si>
  <si>
    <t>https://www.jeplan.co.jp/en/technology/fashion/
https://www.jeplan.co.jp/en/2020/09/11/8794/
accessed on 22-12-12</t>
  </si>
  <si>
    <t>http://gr3n-recycling.com/, https://www.euronews.com/2018/11/01/swiss-company-s-approach-to-plastic-recycling-like-unmaking-pasta; https://www.demeto.eu/project
https://www.texintel.com/eco-news/nextchem-completes-italys-1st-pilot-plant-for-pet-and-polyester-chemical-recycling-from-textiles
https://www.youtube.com/watch?v=qjdgGrVM8y4
https://www.mairetecnimont.com/en/media/news/nextchem-completes-italys-first-demonstration-plant-chemical-recycling-pet-and-polyester-textiles
https://plast2bcleaned.eu/wp-content/uploads/2020/11/Brightlands-Symposium-Presentatie-Empack-Reconnect-TNO-Mark-Roelands-17-09-2020.pdf
accessed on 22-09-10</t>
  </si>
  <si>
    <t>https://garbo.it/chempet/
https://cordis.europa.eu/project/id/871386
https://app.ubuntoo.com/s/chempet
https://garbo.it/news/italia-apripista-del-riciclo-chimico-per-rivoluzionare-la-filiera-della-plastica/
accessed on 22-09-10</t>
  </si>
  <si>
    <t>https://curetechnology.com/
https://plast2bcleaned.eu/wp-content/uploads/2020/11/Brightlands-Symposium-Presentatie-Empack-Reconnect-TNO-Mark-Roelands-17-09-2020.pdf
accessed on 22-08-31</t>
  </si>
  <si>
    <t>https://www.swiss.tech/news/depoly-rethinks-recycling
https://www.depoly.co/
https://www.s-ge.com/en/article/news/20212-cleantech-future-pet-recycling-comes-canton-valais 221208
https://sofiesgroup.com/wp-content/uploads/2021/06/20210506_etude-eco_circulaire-2021-EN_FULL_WEB.pdf
https://www.pme.ch/business/2021/06/01/depoly-la-start-up-sedunoise-qui-revolutionne-le-recyclage-du-pet
accessed on 22-12-08</t>
  </si>
  <si>
    <t>https://www.loopindustries.com/en/ (past and now)
https://plast2bcleaned.eu/wp-content/uploads/2020/11/Brightlands-Symposium-Presentatie-Empack-Reconnect-TNO-Mark-Roelands-17-09-2020.pdf
accessed on 22-09-10</t>
  </si>
  <si>
    <t>https://www.recycling-magazine.com/2022/05/24/france-setting-the-pace-for-pet-chemical-recycling-in-europe/
accessed on 22-09-10</t>
  </si>
  <si>
    <t>https://www.recycling-magazine.com/2022/05/24/france-setting-the-pace-for-pet-chemical-recycling-in-europe/
https://plast2bcleaned.eu/wp-content/uploads/2020/11/Brightlands-Symposium-Presentatie-Empack-Reconnect-TNO-Mark-Roelands-17-09-2020.pdf
accessed on 22-09-10</t>
  </si>
  <si>
    <t>https://www.apk-ag.de/en/newcycling/
https://www.apk-ag.de/en/about-us/profile-and-facts/
https://www.youtube.com/watch?v=ghaP6n3IreA
https://www.youtube.com/watch?v=BSgdg9cLyA4
https://plasticker.de/docs/news/2021.04.15_CreaSolv_Positionspapier_DE.pdf
accessed on 22-08-29</t>
  </si>
  <si>
    <t>www.creacycle.de
accessed on 22-08-29</t>
  </si>
  <si>
    <t>http://multicycle-project.eu/2022/04/13/flexible-packaging-dissemination-event-highlights-7th-april-2022-ghent-belgium/
http://multicycle-project.eu/files/2022/04/4-SCHLUMMER-LOPEZ-MULTICYCLE-Gent-2022.pdf
http://multicycle-project.eu/files/2022/04/1-ANA-MARIA-LOPEZ-Multicycle-Project-overview.pdf
https://www.ivv.fraunhofer.de/content/dam/ivv/de/documents/info/Recycling-von-Verbundfolien-Kunststoffe-2022-01.pdf
https://www.ivv.fraunhofer.de/de/presseinformationen/circular-packaging.html
https://www.r-plus-impuls.de/rplus-wAssets/docs/steckbriefe/Steckbrief_CircularPackaging.pdf
accessed on 22-08-29</t>
  </si>
  <si>
    <t>https://plast2bcleaned.eu/wp-content/uploads/2020/11/Brightlands-Symposium-Presentatie-Empack-Reconnect-TNO-Mark-Roelands-17-09-2020.pdf
https://obbotec.com/en/spex-technologie/ 221212
https://www.industryandenergy.eu/proving-the-concept-the-power-of-pilots-plant-one-rotterdam/
accessed on 22-08-29</t>
  </si>
  <si>
    <t>https://www.usinenouvelle.com/article/polyloop-recycle-les-pvc-composites.N1220192
polyloop.fr/
https://www.sergeferrari.com/de-de/recycling-partnerschaft-zwischen-serge-ferrari-und-dem-start-polyloop
https://www.kunststoffweb.de/branchen-news/vinyloop_pvc-recyclingbetrieb_ist_eingestellt_t240095
https://de.wikipedia.org/wiki/Vinyloop
https://plasticker.de/docs/news/2021.04.15_CreaSolv_Positionspapier_DE.pdf
https://www.creacycle.de/en/creasolv-plants/circular-flooring-2019.html
accessed on 22-08-29</t>
  </si>
  <si>
    <t>https://plasticker.de/docs/news/2021.04.15_CreaSolv_Positionspapier_DE.pdf
https://www.kunststoffweb.de/branchen-news/purecycle_pp-recycler_errichtet_produktionsstaette_in_den_usa_t250027
https://www.purecycle.com/
accessed on 22-08-29</t>
  </si>
  <si>
    <t>https://www.ivv.fraunhofer.de/de/recycling-umwelt/optimierung-kunststoffrecyclinganlagen.html
www.creacycle.de
https://www.unilever.com/news/news-search/2018/our-solution-for-recycling-plastic-sachets-takes-another-step-forward/
https://www.ivv.fraunhofer.de/content/dam/ivv/de/documents/info/Recycling-von-Verbundfolien-Kunststoffe-2022-01.pdf
https://www.reuters.com/business/sustainable-business/exclusive-shell-unilever-plastics-polluters-back-recycling-tech-flops-2021-07-29/
https://www.packaginginsights.com/news/devil-in-the-detail-unilever-denies-pr-stunt-in-indonesia-after-halting-%E2%82%AC10m-recycling-project.html
accessed on 22-08-29</t>
  </si>
  <si>
    <t>www.creacycle.de
www.circular-flooring.eu
accessed on 22-12-06</t>
  </si>
  <si>
    <t>renew-able</t>
  </si>
  <si>
    <t xml:space="preserve">200°C </t>
  </si>
  <si>
    <t>Effect on energy require-ment</t>
  </si>
  <si>
    <t>Gase-ous product</t>
  </si>
  <si>
    <t>only separa-tion of CO2 and H2O from syngas</t>
  </si>
  <si>
    <t>separa-tion of CO2, H2O, H2, CO, and methane from rest</t>
  </si>
  <si>
    <t>separa-tion into individual constitu-ents</t>
  </si>
  <si>
    <t>no separa-tion</t>
  </si>
  <si>
    <t>inter-mediate</t>
  </si>
  <si>
    <t>alterna-tive pro-duction impact - fossil [kg CO2-eq / kg gaseous product]</t>
  </si>
  <si>
    <t>substitu-ted products</t>
  </si>
  <si>
    <t xml:space="preserve">renew-able  </t>
  </si>
  <si>
    <t>alterna-tive pro-duction impact - fossil [kg CO2-eq / kg liquid product]</t>
  </si>
  <si>
    <t>2.5/1
kg product /
kg plastic input</t>
  </si>
  <si>
    <t>electrici-ty [kWh / kg input]</t>
  </si>
  <si>
    <t>separa-tion of main constitu-ents</t>
  </si>
  <si>
    <t>no product separa-tion</t>
  </si>
  <si>
    <t>material utilization - inter-mediate composi-tion</t>
  </si>
  <si>
    <t>alterna-tive pro-duction impact - renew-able [kg CO2-eq / kg liquid product]</t>
  </si>
  <si>
    <t>alpha-methyl-styrene</t>
  </si>
  <si>
    <t>ethyl-benzene</t>
  </si>
  <si>
    <t>alterna-tive pro-duction impact - renew-able [kg CO2-eq / kg gaseous product]</t>
  </si>
  <si>
    <t>elemen-tal com-position</t>
  </si>
  <si>
    <t>energetic utilization - intermedi-ate car-bon content and therewith heating value</t>
  </si>
  <si>
    <t>conser-vative</t>
  </si>
  <si>
    <t>tetra-hydro-furan</t>
  </si>
  <si>
    <t>choice of conservative solvent based on Cardamone et al. (2022); as solvent with intermediate value, choice of Wiprächtiger et al. (2020) followed;</t>
  </si>
  <si>
    <t>emission factor per lower heating value natural gas [kg CO2e / TJ]</t>
  </si>
  <si>
    <t>https://www.basf.com/ch/de/who-we-are/sustainability/we-drive-sustainable-solutions/circular-economy/mass-balance-approach/chemcycling.html
https://www.chemicalrecycling.eu/news/recenso-is-basfs-partner-in-making-new-high-quality-products-on-the-basis-of-plastic-waste/
https://www.basf.com/global/de/media/news-releases/2018/12/p-18-385.html#WT.mc_id=P_385
https://www.carboliq.com/de/technologie.html
https://recenso.eu/de/chemisches-recycling.html
https://www.basf.com/ch/de/who-we-are/sustainability/we-drive-sustainable-solutions/circular-economy/mass-balance-approach/chemcycling/FAQ_ChemCycling.html
accessed on 22-09-10
Krüger (2020)
personal communication Stephan Aschauer, 2021-07-21</t>
  </si>
  <si>
    <t>www.pyrowave.com
https://www.youtube.com/watch?v=41_IzgAdIho
https://www.recyclingtoday.com/article/pyrowave-receives-quebec-grant/
https://www.ic.gc.ca/eic/site/cipointernet-internetopic.nsf/eng/wr04942.html 2021-04-27
accessed on 22-09-10
Laviolette et al. (2021)</t>
  </si>
  <si>
    <t>https://alterraenergy.com/?gclid=Cj0KCQjwjbyYBhCdARIsAArC6LJ-pJE4lfOhLbCc20kg1Ge_c6g3_R8-P2o8HUJPGrWR4vfUzXOL04saAozAEALw_wcB
https://alterraenergy.com/technip-energies-and-alterra-energy-to-jointly-develop-sustainable-plastics-project/
https://www.technipenergies.com/media/news/technip-energies-and-alterra-energy-jointly-develop-sustainable-plastics-projects
https://www.forbes.com/sites/jimvinoski/2022/05/16/alterra-energy-looks-to-blow-the-lid-off-plastics-recycling/?sh=7cac25c92a82
https://www.plasticsnews.com/news/alterra-energy-boosts-production
accessed on 22-11-23
patent US 2016/0017232 A1, 21 Jan 2016, ZONE-DELINEATED PYROLYSIS APPARATUS FOR CONVERSION OF POLYMER WASTE</t>
  </si>
  <si>
    <t>https://www.recyclingtoday.com/article/greenmantra-completes-new-manufacturing-plant/
https://greenmantra.com/
https://www.plasticsnews.com/article/20170814/NEWS/170819957/closed-loop-fund-backs-plastics-to-waxes-process
accessed on 22-09-10
patent US 2015/0361374 A1, 17 Dec 2015, CATALYTIC DEPOLYMERISATION OF POLYMERIC MATERALS</t>
  </si>
  <si>
    <t>https://www.cbc.ca/news/science/styrofoam-chemical-recycling-polystyrene-1.5067879
https://greenmantra.com/
accessed on 22-09-10
patent US 11,072,676 B2, 27 Jul 2021, REACTOR FOR TREATING POLYSTYRENE MATERIAL</t>
  </si>
  <si>
    <t>www.econyl.com
https://www.environmentalleader.com/2019/01/aquafil-american-carpet-recycling/
EPD (https://www.aquafil.com/assets/uploads/2020_EPD_BCF_ECONYL_reprocessed_yarns_USA.pdf)
https://nordesteconomia.gelocal.it/imprese/2021/04/26/news/aquafil-al-top-per-economia-circolare-tra-slovenia-e-croazia-il-polo-per-le-econyl-1.40200710
https://www.econyl.com/wp-content/uploads/RS_AQUAFIL_2012_EN.pdf
https://www.nationalgeographic.com/science/article/partner-content-prada-renylon-ljubljana-slovenia
https://plast2bcleaned.eu/wp-content/uploads/2020/11/Brightlands-Symposium-Presentatie-Empack-Reconnect-TNO-Mark-Roelands-17-09-2020.pdf
accessed on 22-08-31
Aquafil (2022)
patent WO 2014/072483 A1, 15 May 2014, METHOD AND DEVICE FOR TREATING POLYMERS</t>
  </si>
  <si>
    <t>http://www.ioniqa.com/
https://youtu.be/fkk5KrPNApk
https://patents.google.com/patent/WO2014209117A1/en
https://ioniqa.com/ioniqa-launching-first-pet-plastic-up-cycling-plant/
https://plast2bcleaned.eu/wp-content/uploads/2020/11/Brightlands-Symposium-Presentatie-Empack-Reconnect-TNO-Mark-Roelands-17-09-2020.pdf
accessed on 22-09-10
patent WO 2014/209117 A1, 31 Dec 2014, POLYMER DEGRADATION</t>
  </si>
  <si>
    <t>www.polystyvert.com/en
https://www.youtube.com/watch?v=tmfJvJg8hWI
https://plast2bcleaned.eu/wp-content/uploads/2020/11/Brightlands-Symposium-Presentatie-Empack-Reconnect-TNO-Mark-Roelands-17-09-2020.pdf
accessed on 22-08-29
sample data from ecoprog GmbH (2022)</t>
  </si>
  <si>
    <t>Aquafil, 2022. Aquafil - Investor Presentation Mid &amp; Small Virtual. 29th-30th June 2022.</t>
  </si>
  <si>
    <t>Krüger, C. (BASF), 2020. LCA ChemCyclingTM: CO2 emissions of pyrolyzed mixed plastic waste and the mass balance approach. Presentation in Ludwigshafen, October 2020.</t>
  </si>
  <si>
    <t>Laviolette, J.P., Leclerc, P., Kerenkan, A.E., Eslami, A., Doucet, J., 2021. Monomer Recycling of Addition Polymers. ACS Symp. Ser. 1391, 105–128. https://doi.org/10.1021/bk-2021-1391.ch006</t>
  </si>
  <si>
    <t>Solis, M., Silveira, S., 2020. Technologies for chemical recycling of household plastics – A technical review and TRL assessment. Waste Manag. 105, 128–138. https://doi.org/10.1016/j.wasman.2020.01.038</t>
  </si>
  <si>
    <t>Vollmer, I., Jenks, M.J.F., Roelands, M.C.P., White, R.J., Harmelen, T., Wild, P., Laan, G.P., Meirer, F., Keurentjes, J.T.F., Weckhuysen, B.M., 2020. Beyond Mechanical Recycling: Giving New Life to Plastic Waste. Angew. Chemie Int. Ed. 59, 15402–15423. https://doi.org/10.1002/anie.201915651</t>
  </si>
  <si>
    <t xml:space="preserve">125°C </t>
  </si>
  <si>
    <t>utilization of thermal energy of gasification products for steam generation, minimum temperature of utilizable steam of</t>
  </si>
  <si>
    <t>chemical recycling rate</t>
  </si>
  <si>
    <t>chemical recycling product for material utilization / waste amount</t>
  </si>
  <si>
    <t>share material utilization</t>
  </si>
  <si>
    <t>extent of possible energy utilization depends on temperature level of required heat, which is different for each chemical plant depending on processes requiring heat; two typical values chosen, applying to low- and medium-pressure steam; gasification products cooled down to 135°C and 210°C, respectively;</t>
  </si>
  <si>
    <t>Table S2.9.1: Parameters and respective values considered for climate change impact and substitution benefit quantification for the various chemical recycling processes assessed. The values for each parameter were varied independently except for product separation efforts related to crediting individual product components (Section 5.2.2.2 of the main paper; regarded value combinations are given in Sections S2.1.5, S2.2.4, S2.3.4, S2.4.3). This means that the table is to be read horizontally between thick lines with all values considered for a parameter given in the same row. The terms "fossil" and "renewable" refer to the respective energy supply scenarios.</t>
  </si>
  <si>
    <t>no reduction of energy demand by catalyst</t>
  </si>
  <si>
    <t xml:space="preserve">Supplementary Material </t>
  </si>
  <si>
    <t>to</t>
  </si>
  <si>
    <t>Magdalena Klotz, Christopher Oberschelp, Cecilia Salah, Luc Subal, and Stefanie Hellweg</t>
  </si>
  <si>
    <t>Waste-to-energy impacts and credits</t>
  </si>
  <si>
    <t>gross electric efficiency</t>
  </si>
  <si>
    <t>gross thermal efficiency</t>
  </si>
  <si>
    <t>future energy and mobility situation,
increased WTE efficiencies</t>
  </si>
  <si>
    <t>efficiencies of WTE plant in Basel (Rytec, 2021); calculation with Ecoinvent impacts (Klotz et al., 2023) and produced amounts of electricity and heat from Ecoinvent (Klotz et al., 2023) scaled based on gross efficiency ratios</t>
  </si>
  <si>
    <t>efficiencies of WTE plant Hagenholz in canton of Zurich, which achieves highest energetic net efficiency of all Swiss WTE plants (Rytec, 2021); calculation with Ecoinvent impacts (Klotz et al., 2023) and produced amounts of electricity and heat from Ecoinvent (Klotz et al., 2023) scaled based on gross efficiency ratios</t>
  </si>
  <si>
    <t>future energy and mobility situation,
high-benchmark WTE efficiency,
high heat production</t>
  </si>
  <si>
    <t>future energy and mobility situation,
high-benchmark WTE efficiency,
high electricity and heat production</t>
  </si>
  <si>
    <t>today's energy and mobility situation,
upper-limit WTE efficiency,
high heat production</t>
  </si>
  <si>
    <t xml:space="preserve">WTE climate change performance
[kg CO2-eq / kg input]
</t>
  </si>
  <si>
    <t>today's situation,
increased WTE efficiencies</t>
  </si>
  <si>
    <t>incineration for waste not going to chemical recycling - future energy and mobility situation</t>
  </si>
  <si>
    <t>incineration for waste not going to chemical recycling - today's energy and mobility situation</t>
  </si>
  <si>
    <t>today's energy and mobility situation,
upper-limit WTE efficiency,
high electricity and heat production</t>
  </si>
  <si>
    <t>Klotz et al. (2023); similar efficiencies as for Swiss WTE plant in Perlen in 2020 (Rytec, 2021)</t>
  </si>
  <si>
    <t>future energy and mobility situation,
high-benchmark WTE efficiencies</t>
  </si>
  <si>
    <t>today's situation,
high-benchmark WTE efficiencies</t>
  </si>
  <si>
    <t>incineration for waste not going to chemical recycling - today's energy and mobility situation, high-benchmark WTE</t>
  </si>
  <si>
    <r>
      <rPr>
        <i/>
        <u/>
        <sz val="22"/>
        <color theme="1"/>
        <rFont val="Arial"/>
        <family val="2"/>
      </rPr>
      <t>today's</t>
    </r>
    <r>
      <rPr>
        <i/>
        <sz val="22"/>
        <color theme="1"/>
        <rFont val="Arial"/>
        <family val="2"/>
      </rPr>
      <t xml:space="preserve"> energy and mobility situation + </t>
    </r>
    <r>
      <rPr>
        <i/>
        <u/>
        <sz val="22"/>
        <color theme="1"/>
        <rFont val="Arial"/>
        <family val="2"/>
      </rPr>
      <t>fossil</t>
    </r>
    <r>
      <rPr>
        <i/>
        <sz val="22"/>
        <color theme="1"/>
        <rFont val="Arial"/>
        <family val="2"/>
      </rPr>
      <t xml:space="preserve"> chemical recycling </t>
    </r>
    <r>
      <rPr>
        <b/>
        <i/>
        <sz val="22"/>
        <color theme="1"/>
        <rFont val="Arial"/>
        <family val="2"/>
      </rPr>
      <t>- high-benchmark WTE</t>
    </r>
  </si>
  <si>
    <t>Energy Recovery</t>
  </si>
  <si>
    <t>System impacts besides chemical recycling from Klotz et al. (2023)</t>
  </si>
  <si>
    <t>WTE impacts for high-benchmark WTE calculated with WTE impacts based on today's situation, high-benchmark WTE efficiencies (Section S3.2) and material flows from Klotz et al. (2023), whereby for WTE with CC the impact was left unchanged for the sake of convenience</t>
  </si>
  <si>
    <t>https://www.vivis.de/wp-content/uploads/RuR13/2020_RuR_286-295_Hofer.pdf
https://www.omv.com/en/blog/plastic2plastic-reoil-completes-the-circle-in-plastics-recycling
accessed on 22-08-30
personal communication Wolfgang Hofer, 2019-12-11 and 2023-09-18;</t>
  </si>
  <si>
    <t>plan to take plant with capacity of 16,000 t/a into operation end of 2023; target capacity 200,000 t/a</t>
  </si>
  <si>
    <t>23,000 cracking hours since start-up</t>
  </si>
  <si>
    <t>thermal anaerobic conversion, melting and decomposition; stirred-tank reactor</t>
  </si>
  <si>
    <t>www.plasticenergy.com;
sustainability report, https://plasticenergy.com/wp-content/uploads/2021/08/Plastic-Energy-Sustainability-report-2021.pdf;
https://www.icis.com/explore/resources/news/2020/04/22/10499265/ineos-plastic-energy-to-build-pyrolysis-based-chemical-recycling-plant/
accessed on 2022-08-29;
personal communication Wolfgang Hofer, 2023-09-18;</t>
  </si>
  <si>
    <t>Energy recovery</t>
  </si>
  <si>
    <t>hydrocarbons with 90% of the product having a boiling point below 400°C, utilized as an input in hydrocracking together with crude (higher share of short chains compared to crude oil); infrastructure for processing pyrolysis products available in refinery</t>
  </si>
  <si>
    <t>The role of chemical and solvent-based recycling within a sustainable circular economy for plastics</t>
  </si>
  <si>
    <t>Adrados, A., de Marco, I., Caballero, B.M., López, A., Laresgoiti, M.F., Torres, A., 2012. Pyrolysis of plastic packaging waste: A comparison of plastic residuals from material recovery facilities with simulated plastic waste. Waste Manag. 32, 826–832. https://doi.org/10.1016/j.wasman.2011.06.016</t>
  </si>
  <si>
    <t>Al-Sabagh, A.M., Yehia, F.Z., Eissa, A.-M.M.F., Moustafa, M.E., Eshaq, G., Rabie, A.-R.M., ElMetwally, A.E., 2014. Glycolysis of Poly(ethylene terephthalate) Catalyzed by the Lewis Base Ionic Liquid [Bmim][OAc]. Ind. Eng. Chem. Res. 53, 18443–18451. https://doi.org/10.1021/ie503677w</t>
  </si>
  <si>
    <t>Al-Sabagh, A.M., Yehia, F.Z., Eshaq, G., Rabie, A.M., ElMetwally, A.E., 2016a. Greener routes for recycling of polyethylene terephthalate. Egypt. J. Pet. 25, 53–64. https://doi.org/10.1016/j.ejpe.2015.03.001</t>
  </si>
  <si>
    <t>Al-Sabagh, A.M., Yehia, F.Z., Harding, D.R.K., Eshaq, G., ElMetwally, A.E., 2016b. Fe 3 O 4 -boosted MWCNT as an efficient sustainable catalyst for PET glycolysis. Green Chem. 18, 3997–4003. https://doi.org/10.1039/C6GC00534A</t>
  </si>
  <si>
    <t>Arena, U., Zaccariello, L., Mastellone, M.L., 2010. Fluidized bed gasification of waste-derived fuels. Waste Manag. 30, 1212–1219. https://doi.org/10.1016/j.wasman.2010.01.038</t>
  </si>
  <si>
    <t>Benedetti, M., Cafiero, L., De Angelis, D., Dell’Era, A., Pasquali, M., Stendardo, S., Tuffi, R., Ciprioti, S.V., 2017. Pyrolysis of WEEE plastics using catalysts produced from fly ash of coal gasification. Front. Environ. Sci. Eng. 11, 11. https://doi.org/10.1007/s11783-017-0998-3</t>
  </si>
  <si>
    <t>Brems, A., Dewil, R., Baeyens, J., Zhang, R., 2015. Gasification of Plastic Waste as Waste-to-Energy or Waste-to-Syngas Recovery Route. Solid Waste as a Renew. Resour. Methodol. 5, 241–264. https://doi.org/10.4236/ns.2013.56086</t>
  </si>
  <si>
    <t>Chen, C.-H., 2003. Study of glycolysis of poly(ethylene terephthalate) recycled from postconsumer soft-drink bottles. III. Further investigation. J. Appl. Polym. Sci. 87, 2004–2010. https://doi.org/10.1002/app.11694</t>
  </si>
  <si>
    <t>Chen, F., Yang, F., Wang, G., Li, W., 2014. Calcined Zn/Al hydrotalcites as solid base catalysts for glycolysis of poly(ethylene terephthalate). J. Appl. Polym. Sci. 131, n/a-n/a. https://doi.org/10.1002/app.41053</t>
  </si>
  <si>
    <t>Cheng, S.-Y., Ngoc Lan Thao, N.T., Chiang, K.-Y., 2020. Hydrogen gas yield and trace pollutant emission evaluation in automotive shredder residue (ASR) gasification using prepared oyster shell catalyst. Int. J. Hydrogen Energy 45, 22232–22245. https://doi.org/10.1016/j.ijhydene.2020.01.005</t>
  </si>
  <si>
    <t>Cho, M.-H., Mun, T.-Y., Choi, Y.-K., Kim, J.-S., 2014. Two-stage air gasification of mixed plastic waste: Olivine as the bed material and effects of various additives and a nickel-plated distributor on the tar removal. Energy 70, 128–134. https://doi.org/10.1016/j.energy.2014.03.097</t>
  </si>
  <si>
    <t>Cho, M.-H., Mun, T.-Y., Kim, J.-S., 2013. Air gasification of mixed plastic wastes using calcined dolomite and activated carbon in a two-stage gasifier to reduce tar. Energy 53, 299–305. https://doi.org/10.1016/j.energy.2013.02.041</t>
  </si>
  <si>
    <t>de Marco, I., Caballero, B.M., Cabrero, M.A., Laresgoiti, M.F., Torres, A., Chomón, M.J., 2007. Recycling of automobile shredder residues by means of pyrolysis. J. Anal. Appl. Pyrolysis 79, 403–408. https://doi.org/10.1016/j.jaap.2006.12.002</t>
  </si>
  <si>
    <t>de Marco, I., Caballero, B.M., Chomón, M.J., Laresgoiti, M.F., Torres, A., Fernández, G., Arnaiz, S., 2008. Pyrolysis of electrical and electronic wastes. J. Anal. Appl. Pyrolysis 82, 179–183. https://doi.org/10.1016/j.jaap.2008.03.011</t>
  </si>
  <si>
    <t>del Amo, J., Borreguero, A.M., Ramos, M.J., Rodríguez, J.F., 2021. Glycolysis of Polyurethanes Composites Containing Nanosilica. Polymers (Basel). 13, 1418. https://doi.org/10.3390/polym13091418</t>
  </si>
  <si>
    <t>Demirbas, A., 2004. Pyrolysis of municipal plastic wastes for recovery of gasoline-range hydrocarbons. J. Anal. Appl. Pyrolysis 72, 97–102. https://doi.org/10.1016/j.jaap.2004.03.001</t>
  </si>
  <si>
    <t>Esposito, L., Cafiero, L., De Angelis, D., Tuffi, R., Vecchio Ciprioti, S., 2020. Valorization of the plastic residue from a WEEE treatment plant by pyrolysis. Waste Manag. 112, 1–10. https://doi.org/10.1016/j.wasman.2020.05.022</t>
  </si>
  <si>
    <t>Fang, P., Liu, B., Xu, J., Zhou, Q., Zhang, S., Ma, J., Lu, X., 2018. High-efficiency glycolysis of poly(ethylene terephthalate) by sandwich-structure polyoxometalate catalyst with two active sites. Polym. Degrad. Stab. 156, 22–31. https://doi.org/10.1016/j.polymdegradstab.2018.07.004</t>
  </si>
  <si>
    <t>Geng, Y., Dong, T., Fang, P., Zhou, Q., Lu, X., Zhang, S., 2015. Fast and effective glycolysis of poly(ethylene terephthalate) catalyzed by polyoxometalate. Polym. Degrad. Stab. 117, 30–36. https://doi.org/10.1016/j.polymdegradstab.2015.03.019</t>
  </si>
  <si>
    <t>Gu, X., Luo, H., Lv, S., Chen, P., 2021. Glycolysis Recycling of Waste Polyurethane Rigid Foam Using Different Catalysts. J. Renew. Mater. 9, 1253–1266. https://doi.org/10.32604/jrm.2021.014876</t>
  </si>
  <si>
    <t>Guo, Z., Adolfsson, E., Tam, P.L., 2021. Nanostructured micro particles as a low-cost and sustainable catalyst in the recycling of PET fiber waste by the glycolysis method. Waste Manag. 126, 559–566. https://doi.org/10.1016/j.wasman.2021.03.049</t>
  </si>
  <si>
    <t>Hall, W.J., Williams, P.T., 2007. Analysis of products from the pyrolysis of plastics recovered from the commercial scale recycling of waste electrical and electronic equipment. J. Anal. Appl. Pyrolysis 79, 375–386. https://doi.org/10.1016/j.jaap.2006.10.006</t>
  </si>
  <si>
    <t>Haydary, J., Susa, D., Gelinger, V., Čacho, F., 2016. Pyrolysis of automobile shredder residue in a laboratory scale screw type reactor. J. Environ. Chem. Eng. 4, 965–972. https://doi.org/10.1016/j.jece.2015.12.038</t>
  </si>
  <si>
    <t>Imran, M., Kim, B.-K., Han, M., Cho, B.G., Kim, D.H., 2010. Sub- and supercritical glycolysis of polyethylene terephthalate (PET) into the monomer bis(2-hydroxyethyl) terephthalate (BHET). Polym. Degrad. Stab. 95, 1686–1693. https://doi.org/10.1016/j.polymdegradstab.2010.05.026</t>
  </si>
  <si>
    <t>Imran, M., Lee, K., Imtiaz, Q., Kim, B.-K., Han, M., Cho, B.G., Kim, D.H., 2011. Metal-Oxide-Doped Silica Nanoparticles for the Catalytic Glycolysis of Polyethylene Terephthalate. J. Nanosci. Nanotechnol. 11, 824–828. https://doi.org/10.1166/jnn.2011.3201</t>
  </si>
  <si>
    <t>Jutrzenka Trzebiatowska, P., Beneš, H., Datta, J., 2019. Evaluation of the glycerolysis process and valorisation of recovered polyol in polyurethane synthesis. React. Funct. Polym. 139, 25–33. https://doi.org/10.1016/j.reactfunctpolym.2019.03.012</t>
  </si>
  <si>
    <t>Kamimura, A., Shiramatsu, Y., Kawamoto, T., 2019. Depolymerization of polyamide 6 in hydrophilic ionic liquids. Green Energy Environ. 4, 166–170. https://doi.org/10.1016/j.gee.2019.01.002</t>
  </si>
  <si>
    <t>Kaminsky, W., Kim, J.-S., 1999. Pyrolysis of mixed plastics into aromatics. J. Anal. Appl. Pyrolysis 51, 127–134. https://doi.org/10.1016/S0165-2370(99)00012-1</t>
  </si>
  <si>
    <t>Kaminsky, W., Schlesselmann, B., Simon, C., 1995. Olefins from polyolefins and mixed plastics by pyrolysis. J. Anal. Appl. Pyrolysis 32, 19–27. https://doi.org/10.1016/0165-2370(94)00830-T</t>
  </si>
  <si>
    <t>Karaduman, A., Koçak, M.Ç., Bilgesü, A.Y., 2003. Flash Vacuum Pyrolysis of Low Density Polyethylene in a Free-Fall Reactor. Polym. Plast. Technol. Eng. 42, 181–191. https://doi.org/10.1081/PPT-120017921</t>
  </si>
  <si>
    <t>Kim, J.-W., Mun, T.-Y., Kim, J.-O., Kim, J.-S., 2011. Air gasification of mixed plastic wastes using a two-stage gasifier for the production of producer gas with low tar and a high caloric value. Fuel 90, 2266–2272. https://doi.org/10.1016/j.fuel.2011.02.021</t>
  </si>
  <si>
    <t>KIT, Conversio, 2018. Thermal Processes for Feedstock Recycling of Plastics Waste. Study Conduct. BKV Plast. Eur.</t>
  </si>
  <si>
    <t>Klotz, M., Haupt, M., Hellweg, S., 2023. Potentials and limits of mechanical plastic recycling. J. Ind. Ecol. 27, 1043–1059. https://doi.org/10.1111/jiec.13393</t>
  </si>
  <si>
    <t>Laldinpuii, Z., Lalhmangaihzuala, S., Pachuau, Z., Vanlaldinpuia, K., 2021. Depolymerization of poly(ethylene terephthalate) waste with biomass-waste derived recyclable heterogeneous catalyst. Waste Manag. 126, 1–10. https://doi.org/10.1016/j.wasman.2021.02.056</t>
  </si>
  <si>
    <t>Liu, B., Fu, W., Lu, X., Zhou, Q., Zhang, S., 2019. Lewis Acid–Base Synergistic Catalysis for Polyethylene Terephthalate Degradation by 1,3-Dimethylurea/Zn(OAc) 2 Deep Eutectic Solvent. ACS Sustain. Chem. Eng. 7, 3292–3300. https://doi.org/10.1021/acssuschemeng.8b05324</t>
  </si>
  <si>
    <t>Liu, Y., Yao, X., Yao, H., Zhou, Q., Xin, J., Lu, X., Zhang, S., 2020. Degradation of poly(ethylene terephthalate) catalyzed by metal-free choline-based ionic liquids. Green Chem. 22, 3122–3131. https://doi.org/10.1039/D0GC00327A</t>
  </si>
  <si>
    <t>López-Fonseca, R., Duque-Ingunza, I., de Rivas, B., Arnaiz, S., Gutiérrez-Ortiz, J.I., 2010. Chemical recycling of post-consumer PET wastes by glycolysis in the presence of metal salts. Polym. Degrad. Stab. 95, 1022–1028. https://doi.org/10.1016/j.polymdegradstab.2010.03.007</t>
  </si>
  <si>
    <t>López, A., de Marco, I., Caballero, B.M., Laresgoiti, M.F., Adrados, A., 2010. Pyrolysis of municipal plastic wastes: Influence of raw material composition. Waste Manag. 30, 620–627. https://doi.org/10.1016/j.wasman.2009.10.014</t>
  </si>
  <si>
    <t>Madeddu, S., Ueckerdt, F., Pehl, M., Peterseim, J., Lord, M., Kumar, K.A., Krüger, C., Luderer, G., 2020. The CO 2 reduction potential for the European industry via direct electrification of heat supply (power-to-heat). Environ. Res. Lett. 15, 124004. https://doi.org/10.1088/1748-9326/abbd02</t>
  </si>
  <si>
    <t>Maric, J., Berdugo Vilches, T., Thunman, H., Gyllenhammar, M., Seemann, M., 2018. Valorization of Automobile Shredder Residue Using Indirect Gasification. Energy &amp; Fuels 32, 12795–12804. https://doi.org/10.1021/acs.energyfuels.8b02526</t>
  </si>
  <si>
    <t>Miskolczi, N., Bartha, L., Deák, G., Jóver, B., 2004. Thermal degradation of municipal plastic waste for production of fuel-like hydrocarbons. Polym. Degrad. Stab. 86, 357–366. https://doi.org/10.1016/j.polymdegradstab.2004.04.025</t>
  </si>
  <si>
    <t>Molero, C., de Lucas, A., Rodríguez, J.F., 2006. Recovery of polyols from flexible polyurethane foam by “split-phase” glycolysis with new catalysts. Polym. Degrad. Stab. 91, 894–901. https://doi.org/10.1016/j.polymdegradstab.2005.06.023</t>
  </si>
  <si>
    <t>Molero, C., de Lucas, A., Romero, F., Rodríguez, J.F., 2009. Glycolysis of flexible polyurethane wastes using stannous octoate as the catalyst. J. Mater. Cycles Waste Manag. 11, 130–132. https://doi.org/10.1007/s10163-008-0224-2</t>
  </si>
  <si>
    <t>Morcillo-Bolaños, Y.D., Malule-Herrera, W.J., Ortiz-Arango, J.C., Villa-Holguín, A.L., 2018. Polyurethane flexible foam recycling via glycolysis using Zn/Sn/Al hydrotalcites as heterogeneous catalyst. Rev. Fac. Ing. Univ. Antioquia 77–85. https://doi.org/10.17533/udea.redin.n87a10</t>
  </si>
  <si>
    <t>Muhammad, C., Onwudili, J.A., Williams, P.T., 2015. Catalytic pyrolysis of waste plastic from electrical and electronic equipment. J. Anal. Appl. Pyrolysis 113, 332–339. https://doi.org/10.1016/j.jaap.2015.02.016</t>
  </si>
  <si>
    <t>Murai, M., Sanou, M., Fujimoto, T., Baba, F., 2003. Glycolysis of Rigid Polyurethane Foam under Various Reaction Conditions. J. Cell. Plast. 39, 15–27. https://doi.org/10.1177/002195503031021</t>
  </si>
  <si>
    <t>Notarnicola, M., Cornacchia, G., De Gisi, S., Di Canio, F., Freda, C., Garzone, P., Martino, M., Valerio, V., Villone, A., 2017. Pyrolysis of automotive shredder residue in a bench scale rotary kiln. Waste Manag. 65, 92–103. https://doi.org/10.1016/j.wasman.2017.04.002</t>
  </si>
  <si>
    <t>Onwudili, J.A., Williams, P.T., 2016. Catalytic conversion of bio-oil in supercritical water: Influence of RuO2/γ-Al2O3 catalysts on gasification efficiencies and bio-methane production. Appl. Catal. B Environ. 180, 559–568. https://doi.org/10.1016/j.apcatb.2015.06.058</t>
  </si>
  <si>
    <t>Pingale, N.D., Palekar, V.S., Shukla, S.R., 2010. Glycolysis of postconsumer polyethylene terephthalate waste. J. Appl. Polym. Sci. 115, 249–254. https://doi.org/10.1002/app.31092</t>
  </si>
  <si>
    <t>Pinto, F., Franco, C., André, R.N., Miranda, M., Gulyurtlu, I., Cabrita, I., 2002. Co-gasification study of biomass mixed with plastic wastes. Fuel 81, 291–297. https://doi.org/10.1016/S0016-2361(01)00164-8</t>
  </si>
  <si>
    <t>Roh, S.A., Kim, W.H., Yun, J.H., Min, T.J., Kwak, Y.H., Seo, Y.C., 2013. Pyrolysis and gasification-melting of automobile shredder residue. J. Air Waste Manage. Assoc. 63, 1137–1147. https://doi.org/10.1080/10962247.2013.801373</t>
  </si>
  <si>
    <t>Rytec, 2021. Einheitliche Heizwert- und Energiekennzahlenberechnung der Schweizer KVA nach europäischem Standardverfahren. Resultate 2020. [WWW Document].</t>
  </si>
  <si>
    <t>Salah, C., Cobo, S., Pérez-Ramírez, J., Guillén-Gosálbez, G., 2023. Environmental Sustainability Assessment of Hydrogen from Waste Polymers. ACS Sustain. Chem. Eng. 11, 3238–3247. https://doi.org/10.1021/acssuschemeng.2c05729</t>
  </si>
  <si>
    <t>Santella, C., Cafiero, L., De Angelis, D., La Marca, F., Tuffi, R., Vecchio Ciprioti, S., 2016. Thermal and catalytic pyrolysis of a mixture of plastics from small waste electrical and electronic equipment (WEEE). Waste Manag. 54, 143–152. https://doi.org/10.1016/j.wasman.2016.05.005</t>
  </si>
  <si>
    <t>Scheirs, J., 2006. Overview of Commercial Pyrolysis Processes for Waste Plastics. In: Feedstock Recycling and Pyrolys is of Waste Plastics: Converting Waste Plastics into Diesel and Other Fuels. John Wiley &amp; Sons, Hoboken. https://doi.org/10.1002/0470021543.ch15</t>
  </si>
  <si>
    <t>Schwarz, A.E., Ligthart, T.N., Bizarro, D.G., Wild, P. De, Vreugdenhil, B., Harmelen, T. Van, 2021. Plastic recycling in a circular economy; determining environmental performance through an LCA matrix model approach. Waste Manag. 121, 331–342. https://doi.org/10.1016/j.wasman.2020.12.020</t>
  </si>
  <si>
    <t>Slapak, M.J.., van Kasteren, J.M.., Drinkenburg, A.A.., 2000. Design of a process for steam gasification of PVC waste. Resour. Conserv. Recycl. 30, 81–93. https://doi.org/10.1016/S0921-3449(00)00047-1</t>
  </si>
  <si>
    <t>Tukker, A., Groot, H. De, Simons, I., Wiegersma, S., 1999. Chemical Recycling of Plastics Waste (PVC and other resins). TNO Inst. Strateg. Technol. Policy 1–132.</t>
  </si>
  <si>
    <t>Van Eygen, E., Laner, D., Fellner, J., 2018. Integrating High-Resolution Material Flow Data into the Environmental Assessment of Waste Management System Scenarios: The Case of Plastic Packaging in Austria. Environ. Sci. Technol. 52, 10934–10945. https://doi.org/10.1021/acs.est.8b04233</t>
  </si>
  <si>
    <t>Wang, Q., Yao, X., Geng, Y., Zhou, Q., Lu, X., Zhang, S., 2015. Deep eutectic solvents as highly active catalysts for the fast and mild glycolysis of poly(ethylene terephthalate)(PET). Green Chem. 17, 2473–2479. https://doi.org/10.1039/C4GC02401J</t>
  </si>
  <si>
    <t>Wikipedia, 2007. Heizöl.</t>
  </si>
  <si>
    <t>Wu, C.-H., Chang, C.-Y., Cheng, C.-M., Huang, H.-C., 2003. Glycolysis of waste flexible polyurethane foam. Polym. Degrad. Stab. 80, 103–111. https://doi.org/10.1016/S0141-3910(02)00390-7</t>
  </si>
  <si>
    <t>Yoshioka, T., Grause, G., Eger, C., Kaminsky, W., Okuwaki, A., 2004. Pyrolysis of poly(ethylene terephthalate) in a fluidised bed plant. Polym. Degrad. Stab. 86, 499–504. https://doi.org/10.1016/j.polymdegradstab.2004.06.001</t>
  </si>
  <si>
    <t>Yue, Q.F., Wang, C.X., Zhang, L.N., Ni, Y., Jin, Y.X., 2011. Glycolysis of poly(ethylene terephthalate) (PET) using basic ionic liquids as catalysts. Polym. Degrad. Stab. 96, 399–403. https://doi.org/10.1016/j.polymdegradstab.2010.12.020</t>
  </si>
  <si>
    <t>Zaccariello, L., Mastellone, M.L., 2015. Fluidized-bed gasification of plastic waste, wood, and their blends with coal. Energies 8, 8052–8068. https://doi.org/10.3390/en8088052</t>
  </si>
  <si>
    <t>Zhu, P., Cao, Z.B., Chen, Y., Zhang, X.J., Qian, G.R., Chu, Y.L., Zhou, M., 2014. Glycolysis recycling of rigid waste polyurethane foam from refrigerators. Environ. Technol. (United Kingdom) 35, 2676–2684. https://doi.org/10.1080/09593330.2014.918180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</si>
</sst>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 #,##0.00_ ;_ * \-#,##0.00_ ;_ * &quot;-&quot;??_ ;_ @_ "/>
    <numFmt numFmtId="164" formatCode="0.0"/>
    <numFmt numFmtId="165" formatCode="0.000"/>
    <numFmt numFmtId="166" formatCode="_ * #,##0_ ;_ * \-#,##0_ ;_ * &quot;-&quot;??_ ;_ @_ "/>
    <numFmt numFmtId="167" formatCode="_ * #,##0.0_ ;_ * \-#,##0.0_ ;_ * &quot;-&quot;??_ ;_ @_ "/>
    <numFmt numFmtId="168" formatCode="0.0%"/>
    <numFmt numFmtId="169" formatCode="0.00000"/>
    <numFmt numFmtId="170" formatCode="0.000000"/>
    <numFmt numFmtId="171" formatCode="_ * #,##0.000_ ;_ * \-#,##0.000_ ;_ * &quot;-&quot;??_ ;_ @_ "/>
    <numFmt numFmtId="172" formatCode="0.000000000000000%"/>
    <numFmt numFmtId="173" formatCode="0.0000"/>
  </numFmts>
  <fonts count="79"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
      <sz val="14"/>
      <name val="Calibri"/>
      <family val="2"/>
      <scheme val="minor"/>
    </font>
    <font>
      <i/>
      <sz val="14"/>
      <color theme="1"/>
      <name val="Calibri"/>
      <family val="2"/>
      <scheme val="minor"/>
    </font>
    <font>
      <sz val="11"/>
      <name val="Calibri"/>
      <family val="2"/>
      <scheme val="minor"/>
    </font>
    <font>
      <i/>
      <sz val="11"/>
      <color theme="1"/>
      <name val="Calibri"/>
      <family val="2"/>
      <scheme val="minor"/>
    </font>
    <font>
      <b/>
      <i/>
      <sz val="11"/>
      <color theme="1"/>
      <name val="Calibri"/>
      <family val="2"/>
      <scheme val="minor"/>
    </font>
    <font>
      <sz val="11"/>
      <color theme="4"/>
      <name val="Calibri"/>
      <family val="2"/>
      <scheme val="minor"/>
    </font>
    <font>
      <b/>
      <sz val="9"/>
      <color indexed="81"/>
      <name val="Tahoma"/>
      <family val="2"/>
    </font>
    <font>
      <sz val="9"/>
      <color indexed="81"/>
      <name val="Tahoma"/>
      <family val="2"/>
    </font>
    <font>
      <b/>
      <sz val="16"/>
      <color theme="1"/>
      <name val="Calibri"/>
      <family val="2"/>
      <scheme val="minor"/>
    </font>
    <font>
      <sz val="11"/>
      <color theme="1"/>
      <name val="Courier New"/>
      <family val="3"/>
    </font>
    <font>
      <b/>
      <sz val="11"/>
      <name val="Calibri"/>
      <family val="2"/>
      <scheme val="minor"/>
    </font>
    <font>
      <sz val="16"/>
      <color theme="1"/>
      <name val="Calibri"/>
      <family val="2"/>
      <scheme val="minor"/>
    </font>
    <font>
      <b/>
      <sz val="16"/>
      <name val="Calibri"/>
      <family val="2"/>
      <scheme val="minor"/>
    </font>
    <font>
      <b/>
      <sz val="22"/>
      <color theme="1"/>
      <name val="Calibri"/>
      <family val="2"/>
      <scheme val="minor"/>
    </font>
    <font>
      <b/>
      <sz val="18"/>
      <color theme="1"/>
      <name val="Arial"/>
      <family val="2"/>
    </font>
    <font>
      <b/>
      <sz val="22"/>
      <color theme="1"/>
      <name val="Arial"/>
      <family val="2"/>
    </font>
    <font>
      <sz val="11"/>
      <color theme="0" tint="-0.34998626667073579"/>
      <name val="Calibri"/>
      <family val="2"/>
      <scheme val="minor"/>
    </font>
    <font>
      <b/>
      <sz val="10"/>
      <color rgb="FF000000"/>
      <name val="Tahoma"/>
      <family val="2"/>
    </font>
    <font>
      <sz val="10"/>
      <color rgb="FF000000"/>
      <name val="Tahoma"/>
      <family val="2"/>
    </font>
    <font>
      <sz val="10"/>
      <color rgb="FF000000"/>
      <name val="Tahoma"/>
      <family val="34"/>
    </font>
    <font>
      <sz val="10"/>
      <color rgb="FF000000"/>
      <name val="Calibri"/>
      <family val="2"/>
    </font>
    <font>
      <sz val="10"/>
      <color rgb="FF000000"/>
      <name val="Calibri"/>
      <family val="2"/>
      <scheme val="minor"/>
    </font>
    <font>
      <u/>
      <sz val="14"/>
      <color theme="1"/>
      <name val="Arial"/>
      <family val="2"/>
    </font>
    <font>
      <u/>
      <sz val="11"/>
      <color theme="1"/>
      <name val="Arial"/>
      <family val="2"/>
    </font>
    <font>
      <sz val="11"/>
      <color theme="1"/>
      <name val="Arial"/>
      <family val="2"/>
    </font>
    <font>
      <b/>
      <sz val="11"/>
      <color theme="1"/>
      <name val="Arial"/>
      <family val="2"/>
    </font>
    <font>
      <b/>
      <i/>
      <sz val="11"/>
      <color theme="1"/>
      <name val="Arial"/>
      <family val="2"/>
    </font>
    <font>
      <i/>
      <sz val="11"/>
      <color theme="1"/>
      <name val="Arial"/>
      <family val="2"/>
    </font>
    <font>
      <sz val="11"/>
      <name val="Arial"/>
      <family val="2"/>
    </font>
    <font>
      <sz val="11"/>
      <color theme="0"/>
      <name val="Arial"/>
      <family val="2"/>
    </font>
    <font>
      <b/>
      <sz val="10"/>
      <color rgb="FF000000"/>
      <name val="Tahoma"/>
      <family val="34"/>
    </font>
    <font>
      <b/>
      <sz val="10"/>
      <color rgb="FF000000"/>
      <name val="Calibri"/>
      <family val="2"/>
    </font>
    <font>
      <b/>
      <sz val="10"/>
      <color rgb="FF000000"/>
      <name val="Calibri"/>
      <family val="2"/>
      <scheme val="minor"/>
    </font>
    <font>
      <u/>
      <sz val="11"/>
      <color theme="10"/>
      <name val="Calibri"/>
      <family val="2"/>
      <scheme val="minor"/>
    </font>
    <font>
      <sz val="11"/>
      <color rgb="FF000000"/>
      <name val="Arial"/>
      <family val="2"/>
    </font>
    <font>
      <sz val="12"/>
      <color theme="1"/>
      <name val="Calibri"/>
      <family val="2"/>
      <scheme val="minor"/>
    </font>
    <font>
      <b/>
      <sz val="18"/>
      <color theme="1"/>
      <name val="Calibri"/>
      <family val="2"/>
      <scheme val="minor"/>
    </font>
    <font>
      <b/>
      <i/>
      <sz val="18"/>
      <color theme="1"/>
      <name val="Calibri"/>
      <family val="2"/>
      <scheme val="minor"/>
    </font>
    <font>
      <u/>
      <sz val="14"/>
      <color theme="1"/>
      <name val="Calibri"/>
      <family val="2"/>
      <scheme val="minor"/>
    </font>
    <font>
      <sz val="9"/>
      <color theme="1"/>
      <name val="Calibri"/>
      <family val="2"/>
      <scheme val="minor"/>
    </font>
    <font>
      <b/>
      <i/>
      <sz val="14"/>
      <color theme="1"/>
      <name val="Calibri"/>
      <family val="2"/>
      <scheme val="minor"/>
    </font>
    <font>
      <b/>
      <sz val="11"/>
      <color rgb="FFFF0000"/>
      <name val="Calibri"/>
      <family val="2"/>
      <scheme val="minor"/>
    </font>
    <font>
      <b/>
      <sz val="9"/>
      <color theme="1"/>
      <name val="Calibri"/>
      <family val="2"/>
      <scheme val="minor"/>
    </font>
    <font>
      <b/>
      <sz val="12"/>
      <color theme="1"/>
      <name val="Calibri"/>
      <family val="2"/>
      <scheme val="minor"/>
    </font>
    <font>
      <sz val="12"/>
      <color rgb="FF000000"/>
      <name val="Calibri"/>
      <family val="2"/>
      <scheme val="minor"/>
    </font>
    <font>
      <sz val="11"/>
      <color rgb="FF000000"/>
      <name val="Calibri"/>
      <family val="2"/>
    </font>
    <font>
      <b/>
      <sz val="12"/>
      <color theme="1"/>
      <name val="Arial"/>
      <family val="2"/>
    </font>
    <font>
      <sz val="9"/>
      <color theme="1"/>
      <name val="Arial"/>
      <family val="2"/>
    </font>
    <font>
      <sz val="9"/>
      <name val="Arial"/>
      <family val="2"/>
    </font>
    <font>
      <b/>
      <sz val="11"/>
      <name val="Arial"/>
      <family val="2"/>
    </font>
    <font>
      <b/>
      <sz val="14"/>
      <color theme="1"/>
      <name val="Arial"/>
      <family val="2"/>
    </font>
    <font>
      <b/>
      <i/>
      <sz val="14"/>
      <color theme="1"/>
      <name val="Arial"/>
      <family val="2"/>
    </font>
    <font>
      <b/>
      <sz val="10"/>
      <color theme="1"/>
      <name val="Arial"/>
      <family val="2"/>
    </font>
    <font>
      <i/>
      <sz val="16"/>
      <color theme="1"/>
      <name val="Calibri"/>
      <family val="2"/>
      <scheme val="minor"/>
    </font>
    <font>
      <sz val="11"/>
      <color rgb="FFFF0000"/>
      <name val="Arial"/>
      <family val="2"/>
    </font>
    <font>
      <b/>
      <sz val="16"/>
      <color theme="1"/>
      <name val="Arial"/>
      <family val="2"/>
    </font>
    <font>
      <b/>
      <i/>
      <sz val="10"/>
      <color theme="1"/>
      <name val="Arial"/>
      <family val="2"/>
    </font>
    <font>
      <i/>
      <sz val="10"/>
      <color theme="1"/>
      <name val="Arial"/>
      <family val="2"/>
    </font>
    <font>
      <sz val="10"/>
      <color theme="1"/>
      <name val="Arial"/>
      <family val="2"/>
    </font>
    <font>
      <sz val="8"/>
      <color theme="1"/>
      <name val="Calibri"/>
      <family val="2"/>
      <scheme val="minor"/>
    </font>
    <font>
      <sz val="9"/>
      <name val="Calibri"/>
      <family val="2"/>
      <scheme val="minor"/>
    </font>
    <font>
      <b/>
      <i/>
      <sz val="22"/>
      <color theme="1"/>
      <name val="Arial"/>
      <family val="2"/>
    </font>
    <font>
      <i/>
      <sz val="22"/>
      <color theme="1"/>
      <name val="Arial"/>
      <family val="2"/>
    </font>
    <font>
      <i/>
      <u/>
      <sz val="22"/>
      <color theme="1"/>
      <name val="Arial"/>
      <family val="2"/>
    </font>
    <font>
      <i/>
      <sz val="11"/>
      <name val="Arial"/>
      <family val="2"/>
    </font>
    <font>
      <sz val="11"/>
      <color theme="1"/>
      <name val="Calibri Light"/>
      <family val="2"/>
      <scheme val="major"/>
    </font>
    <font>
      <vertAlign val="subscript"/>
      <sz val="11"/>
      <name val="Arial"/>
      <family val="2"/>
    </font>
    <font>
      <vertAlign val="superscript"/>
      <sz val="11"/>
      <name val="Arial"/>
      <family val="2"/>
    </font>
    <font>
      <sz val="16"/>
      <color theme="1"/>
      <name val="Arial"/>
      <family val="2"/>
    </font>
    <font>
      <sz val="12"/>
      <color theme="1"/>
      <name val="Arial"/>
      <family val="2"/>
    </font>
    <font>
      <b/>
      <i/>
      <sz val="11"/>
      <name val="Arial"/>
      <family val="2"/>
    </font>
    <font>
      <sz val="9"/>
      <color indexed="81"/>
      <name val="Tahoma"/>
      <charset val="1"/>
    </font>
    <font>
      <b/>
      <sz val="9"/>
      <color indexed="81"/>
      <name val="Tahoma"/>
      <charset val="1"/>
    </font>
  </fonts>
  <fills count="33">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rgb="FFB482DA"/>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7" tint="-0.249977111117893"/>
        <bgColor indexed="64"/>
      </patternFill>
    </fill>
    <fill>
      <patternFill patternType="solid">
        <fgColor theme="7" tint="0.39997558519241921"/>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rgb="FFFF33CC"/>
        <bgColor indexed="64"/>
      </patternFill>
    </fill>
    <fill>
      <patternFill patternType="solid">
        <fgColor rgb="FF8F45C7"/>
        <bgColor indexed="64"/>
      </patternFill>
    </fill>
    <fill>
      <patternFill patternType="solid">
        <fgColor rgb="FF7030A0"/>
        <bgColor indexed="64"/>
      </patternFill>
    </fill>
    <fill>
      <patternFill patternType="solid">
        <fgColor rgb="FFA568D2"/>
        <bgColor indexed="64"/>
      </patternFill>
    </fill>
    <fill>
      <patternFill patternType="solid">
        <fgColor rgb="FFD1B2E8"/>
        <bgColor indexed="64"/>
      </patternFill>
    </fill>
    <fill>
      <patternFill patternType="solid">
        <fgColor rgb="FFFF0000"/>
        <bgColor indexed="64"/>
      </patternFill>
    </fill>
    <fill>
      <patternFill patternType="solid">
        <fgColor rgb="FFFF66FF"/>
        <bgColor indexed="64"/>
      </patternFill>
    </fill>
    <fill>
      <patternFill patternType="solid">
        <fgColor theme="1" tint="0.34998626667073579"/>
        <bgColor indexed="64"/>
      </patternFill>
    </fill>
    <fill>
      <patternFill patternType="solid">
        <fgColor theme="3" tint="0.59999389629810485"/>
        <bgColor indexed="64"/>
      </patternFill>
    </fill>
    <fill>
      <patternFill patternType="solid">
        <fgColor theme="0"/>
        <bgColor indexed="64"/>
      </patternFill>
    </fill>
    <fill>
      <patternFill patternType="solid">
        <fgColor theme="4"/>
        <bgColor indexed="64"/>
      </patternFill>
    </fill>
    <fill>
      <patternFill patternType="solid">
        <fgColor rgb="FFFFF8E5"/>
        <bgColor indexed="64"/>
      </patternFill>
    </fill>
    <fill>
      <patternFill patternType="solid">
        <fgColor theme="0" tint="-0.34998626667073579"/>
        <bgColor indexed="64"/>
      </patternFill>
    </fill>
    <fill>
      <patternFill patternType="solid">
        <fgColor rgb="FFECF4FA"/>
        <bgColor indexed="64"/>
      </patternFill>
    </fill>
    <fill>
      <patternFill patternType="solid">
        <fgColor rgb="FFE8D8F4"/>
        <bgColor indexed="64"/>
      </patternFill>
    </fill>
    <fill>
      <patternFill patternType="solid">
        <fgColor rgb="FFEB6E19"/>
        <bgColor indexed="64"/>
      </patternFill>
    </fill>
  </fills>
  <borders count="73">
    <border>
      <left/>
      <right/>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thin">
        <color indexed="64"/>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medium">
        <color indexed="64"/>
      </right>
      <top/>
      <bottom/>
      <diagonal/>
    </border>
    <border>
      <left/>
      <right/>
      <top style="medium">
        <color indexed="64"/>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medium">
        <color indexed="64"/>
      </right>
      <top/>
      <bottom/>
      <diagonal/>
    </border>
    <border>
      <left style="medium">
        <color indexed="64"/>
      </left>
      <right style="thin">
        <color indexed="64"/>
      </right>
      <top style="thin">
        <color indexed="64"/>
      </top>
      <bottom/>
      <diagonal/>
    </border>
    <border>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top/>
      <bottom style="thin">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style="thin">
        <color indexed="64"/>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medium">
        <color indexed="64"/>
      </left>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medium">
        <color indexed="64"/>
      </right>
      <top style="thin">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s>
  <cellStyleXfs count="6">
    <xf numFmtId="0" fontId="0" fillId="0" borderId="0"/>
    <xf numFmtId="43" fontId="1" fillId="0" borderId="0" applyFont="0" applyFill="0" applyBorder="0" applyAlignment="0" applyProtection="0"/>
    <xf numFmtId="9" fontId="1" fillId="0" borderId="0" applyFont="0" applyFill="0" applyBorder="0" applyAlignment="0" applyProtection="0"/>
    <xf numFmtId="0" fontId="39" fillId="0" borderId="0" applyNumberFormat="0" applyFill="0" applyBorder="0" applyAlignment="0" applyProtection="0"/>
    <xf numFmtId="0" fontId="41" fillId="0" borderId="0"/>
    <xf numFmtId="0" fontId="1" fillId="0" borderId="0"/>
  </cellStyleXfs>
  <cellXfs count="1669">
    <xf numFmtId="0" fontId="0" fillId="0" borderId="0" xfId="0"/>
    <xf numFmtId="0" fontId="4" fillId="0" borderId="0" xfId="0" applyFont="1"/>
    <xf numFmtId="0" fontId="4" fillId="0" borderId="1" xfId="0" applyFont="1" applyBorder="1" applyAlignment="1">
      <alignment horizontal="left" vertical="top"/>
    </xf>
    <xf numFmtId="0" fontId="4" fillId="0" borderId="6" xfId="0" applyFont="1" applyBorder="1" applyAlignment="1">
      <alignment vertical="top" wrapText="1"/>
    </xf>
    <xf numFmtId="0" fontId="6" fillId="0" borderId="6" xfId="0" applyFont="1" applyFill="1" applyBorder="1" applyAlignment="1">
      <alignment vertical="top" wrapText="1"/>
    </xf>
    <xf numFmtId="0" fontId="4" fillId="0" borderId="7" xfId="0" applyFont="1" applyBorder="1" applyAlignment="1">
      <alignment vertical="top" wrapText="1"/>
    </xf>
    <xf numFmtId="0" fontId="4" fillId="0" borderId="5" xfId="0" applyFont="1" applyFill="1" applyBorder="1" applyAlignment="1">
      <alignment vertical="top" wrapText="1"/>
    </xf>
    <xf numFmtId="0" fontId="4" fillId="0" borderId="8" xfId="0" applyFont="1" applyBorder="1" applyAlignment="1">
      <alignment vertical="top" wrapText="1"/>
    </xf>
    <xf numFmtId="0" fontId="4" fillId="0" borderId="5" xfId="0" applyFont="1" applyBorder="1" applyAlignment="1">
      <alignment vertical="top" wrapText="1"/>
    </xf>
    <xf numFmtId="0" fontId="7" fillId="0" borderId="5" xfId="0" applyFont="1" applyBorder="1" applyAlignment="1">
      <alignment vertical="top" wrapText="1"/>
    </xf>
    <xf numFmtId="0" fontId="4" fillId="0" borderId="6" xfId="0" applyFont="1" applyFill="1" applyBorder="1" applyAlignment="1">
      <alignment vertical="top" wrapText="1"/>
    </xf>
    <xf numFmtId="0" fontId="7" fillId="0" borderId="7" xfId="0" applyFont="1" applyFill="1" applyBorder="1" applyAlignment="1">
      <alignment vertical="top" wrapText="1"/>
    </xf>
    <xf numFmtId="0" fontId="4" fillId="0" borderId="0" xfId="0" applyFont="1" applyAlignment="1">
      <alignment vertical="top" wrapText="1"/>
    </xf>
    <xf numFmtId="0" fontId="0" fillId="0" borderId="0" xfId="0" applyAlignment="1">
      <alignment wrapText="1"/>
    </xf>
    <xf numFmtId="0" fontId="0" fillId="0" borderId="0" xfId="0" applyAlignment="1">
      <alignment vertical="top" wrapText="1"/>
    </xf>
    <xf numFmtId="0" fontId="0" fillId="0" borderId="1" xfId="0" applyBorder="1"/>
    <xf numFmtId="164" fontId="8" fillId="0" borderId="1" xfId="0" applyNumberFormat="1" applyFont="1" applyFill="1" applyBorder="1"/>
    <xf numFmtId="164" fontId="0" fillId="0" borderId="1" xfId="0" applyNumberFormat="1" applyBorder="1"/>
    <xf numFmtId="164" fontId="0" fillId="0" borderId="9" xfId="0" applyNumberFormat="1" applyBorder="1"/>
    <xf numFmtId="0" fontId="0" fillId="0" borderId="0" xfId="0" applyBorder="1"/>
    <xf numFmtId="0" fontId="0" fillId="0" borderId="10" xfId="0" applyBorder="1"/>
    <xf numFmtId="2" fontId="0" fillId="0" borderId="0" xfId="0" applyNumberFormat="1" applyBorder="1"/>
    <xf numFmtId="164" fontId="9" fillId="0" borderId="0" xfId="0" applyNumberFormat="1" applyFont="1" applyBorder="1"/>
    <xf numFmtId="164" fontId="0" fillId="0" borderId="0" xfId="0" applyNumberFormat="1" applyBorder="1"/>
    <xf numFmtId="2" fontId="9" fillId="0" borderId="9" xfId="0" applyNumberFormat="1" applyFont="1" applyBorder="1"/>
    <xf numFmtId="164" fontId="0" fillId="0" borderId="10" xfId="0" applyNumberFormat="1" applyBorder="1"/>
    <xf numFmtId="2" fontId="0" fillId="0" borderId="0" xfId="0" applyNumberFormat="1"/>
    <xf numFmtId="0" fontId="0" fillId="0" borderId="9" xfId="0" applyBorder="1"/>
    <xf numFmtId="165" fontId="0" fillId="0" borderId="0" xfId="0" applyNumberFormat="1" applyBorder="1"/>
    <xf numFmtId="165" fontId="9" fillId="0" borderId="9" xfId="0" applyNumberFormat="1" applyFont="1" applyBorder="1"/>
    <xf numFmtId="164" fontId="0" fillId="0" borderId="0" xfId="0" applyNumberFormat="1"/>
    <xf numFmtId="0" fontId="0" fillId="0" borderId="10" xfId="0" applyFill="1" applyBorder="1"/>
    <xf numFmtId="164" fontId="0" fillId="3" borderId="0" xfId="0" applyNumberFormat="1" applyFill="1"/>
    <xf numFmtId="0" fontId="0" fillId="0" borderId="1" xfId="0" applyFill="1" applyBorder="1"/>
    <xf numFmtId="0" fontId="0" fillId="0" borderId="11" xfId="0" applyBorder="1"/>
    <xf numFmtId="164" fontId="8" fillId="0" borderId="11" xfId="0" applyNumberFormat="1" applyFont="1" applyFill="1" applyBorder="1"/>
    <xf numFmtId="0" fontId="0" fillId="0" borderId="12" xfId="0" applyBorder="1"/>
    <xf numFmtId="0" fontId="0" fillId="0" borderId="13" xfId="0" applyBorder="1"/>
    <xf numFmtId="0" fontId="0" fillId="0" borderId="14" xfId="0" applyBorder="1"/>
    <xf numFmtId="164" fontId="0" fillId="0" borderId="11" xfId="0" applyNumberFormat="1" applyBorder="1"/>
    <xf numFmtId="2" fontId="0" fillId="0" borderId="13" xfId="0" applyNumberFormat="1" applyBorder="1"/>
    <xf numFmtId="164" fontId="9" fillId="0" borderId="13" xfId="0" applyNumberFormat="1" applyFont="1" applyBorder="1"/>
    <xf numFmtId="164" fontId="0" fillId="0" borderId="13" xfId="0" applyNumberFormat="1" applyBorder="1"/>
    <xf numFmtId="2" fontId="9" fillId="0" borderId="12" xfId="0" applyNumberFormat="1" applyFont="1" applyBorder="1"/>
    <xf numFmtId="164" fontId="0" fillId="0" borderId="12" xfId="0" applyNumberFormat="1" applyBorder="1"/>
    <xf numFmtId="164" fontId="0" fillId="0" borderId="14" xfId="0" applyNumberFormat="1" applyBorder="1"/>
    <xf numFmtId="164" fontId="10" fillId="0" borderId="0" xfId="0" applyNumberFormat="1" applyFont="1"/>
    <xf numFmtId="0" fontId="9" fillId="0" borderId="0" xfId="0" applyFont="1"/>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8" xfId="0" applyBorder="1" applyAlignment="1">
      <alignment vertical="center"/>
    </xf>
    <xf numFmtId="0" fontId="11" fillId="0" borderId="0" xfId="0" applyFont="1"/>
    <xf numFmtId="0" fontId="2" fillId="0" borderId="0" xfId="0" applyFont="1" applyAlignment="1">
      <alignment vertical="center" wrapText="1"/>
    </xf>
    <xf numFmtId="0" fontId="2" fillId="0" borderId="0" xfId="0" applyFont="1"/>
    <xf numFmtId="0" fontId="0" fillId="0" borderId="0" xfId="0" applyAlignment="1">
      <alignment vertical="top"/>
    </xf>
    <xf numFmtId="1" fontId="0" fillId="0" borderId="0" xfId="0" applyNumberFormat="1" applyAlignment="1">
      <alignment vertical="center" wrapText="1"/>
    </xf>
    <xf numFmtId="1" fontId="0" fillId="0" borderId="0" xfId="0" applyNumberFormat="1" applyBorder="1"/>
    <xf numFmtId="1" fontId="0" fillId="0" borderId="9" xfId="0" applyNumberFormat="1" applyBorder="1"/>
    <xf numFmtId="166" fontId="3" fillId="0" borderId="0" xfId="1" applyNumberFormat="1" applyFont="1"/>
    <xf numFmtId="0" fontId="14" fillId="0" borderId="0" xfId="0" applyFont="1"/>
    <xf numFmtId="166" fontId="0" fillId="0" borderId="0" xfId="0" applyNumberFormat="1"/>
    <xf numFmtId="1" fontId="0" fillId="0" borderId="0" xfId="0" applyNumberFormat="1" applyAlignment="1">
      <alignment vertical="center"/>
    </xf>
    <xf numFmtId="43" fontId="0" fillId="0" borderId="0" xfId="0" applyNumberFormat="1"/>
    <xf numFmtId="0" fontId="10" fillId="0" borderId="0" xfId="0" applyFont="1" applyAlignment="1">
      <alignment horizontal="center" vertical="center" wrapText="1"/>
    </xf>
    <xf numFmtId="166" fontId="9" fillId="0" borderId="0" xfId="0" applyNumberFormat="1" applyFont="1"/>
    <xf numFmtId="1" fontId="0" fillId="0" borderId="0" xfId="0" applyNumberFormat="1"/>
    <xf numFmtId="165" fontId="0" fillId="0" borderId="0" xfId="0" applyNumberFormat="1"/>
    <xf numFmtId="0" fontId="3" fillId="0" borderId="0" xfId="0" applyFont="1"/>
    <xf numFmtId="0" fontId="15" fillId="0" borderId="0" xfId="0" applyFont="1" applyAlignment="1">
      <alignment horizontal="left" vertical="center" indent="15"/>
    </xf>
    <xf numFmtId="0" fontId="3" fillId="0" borderId="2" xfId="0" applyFont="1" applyFill="1" applyBorder="1" applyAlignment="1">
      <alignment vertical="top" wrapText="1"/>
    </xf>
    <xf numFmtId="0" fontId="3" fillId="0" borderId="3" xfId="0" applyFont="1" applyFill="1" applyBorder="1" applyAlignment="1">
      <alignment vertical="top" wrapText="1"/>
    </xf>
    <xf numFmtId="0" fontId="14" fillId="0" borderId="3" xfId="0" applyFont="1" applyBorder="1" applyAlignment="1">
      <alignment vertical="top" wrapText="1"/>
    </xf>
    <xf numFmtId="0" fontId="3" fillId="0" borderId="6" xfId="0" applyFont="1" applyFill="1" applyBorder="1" applyAlignment="1">
      <alignment vertical="top" wrapText="1"/>
    </xf>
    <xf numFmtId="0" fontId="3" fillId="0" borderId="5" xfId="0" applyFont="1" applyFill="1" applyBorder="1" applyAlignment="1">
      <alignment vertical="top" wrapText="1"/>
    </xf>
    <xf numFmtId="0" fontId="14" fillId="0" borderId="7" xfId="0" applyFont="1" applyBorder="1" applyAlignment="1">
      <alignment vertical="top" wrapText="1"/>
    </xf>
    <xf numFmtId="0" fontId="3" fillId="0" borderId="3" xfId="0" applyFont="1" applyBorder="1" applyAlignment="1">
      <alignment vertical="top" wrapText="1"/>
    </xf>
    <xf numFmtId="0" fontId="14" fillId="0" borderId="3" xfId="0" applyFont="1" applyFill="1" applyBorder="1" applyAlignment="1">
      <alignment vertical="top" wrapText="1"/>
    </xf>
    <xf numFmtId="0" fontId="3" fillId="0" borderId="2" xfId="0" applyFont="1" applyBorder="1" applyAlignment="1">
      <alignment vertical="top" wrapText="1"/>
    </xf>
    <xf numFmtId="0" fontId="14" fillId="0" borderId="4" xfId="0" applyFont="1" applyBorder="1" applyAlignment="1">
      <alignment vertical="top" wrapText="1"/>
    </xf>
    <xf numFmtId="0" fontId="0" fillId="0" borderId="8" xfId="0" applyBorder="1" applyAlignment="1">
      <alignment vertical="top" wrapText="1"/>
    </xf>
    <xf numFmtId="1" fontId="0" fillId="0" borderId="6" xfId="0" applyNumberFormat="1" applyFont="1" applyBorder="1"/>
    <xf numFmtId="1" fontId="0" fillId="0" borderId="5" xfId="0" applyNumberFormat="1" applyFont="1" applyBorder="1"/>
    <xf numFmtId="166" fontId="17" fillId="0" borderId="7" xfId="1" applyNumberFormat="1" applyFont="1" applyBorder="1" applyAlignment="1">
      <alignment vertical="top"/>
    </xf>
    <xf numFmtId="166" fontId="0" fillId="5" borderId="0" xfId="1" applyNumberFormat="1" applyFont="1" applyFill="1" applyBorder="1" applyAlignment="1">
      <alignment vertical="top"/>
    </xf>
    <xf numFmtId="166" fontId="0" fillId="0" borderId="6" xfId="1" applyNumberFormat="1" applyFont="1" applyBorder="1" applyAlignment="1">
      <alignment vertical="top"/>
    </xf>
    <xf numFmtId="166" fontId="0" fillId="0" borderId="5" xfId="1" applyNumberFormat="1" applyFont="1" applyBorder="1" applyAlignment="1">
      <alignment vertical="top"/>
    </xf>
    <xf numFmtId="166" fontId="0" fillId="0" borderId="7" xfId="1" applyNumberFormat="1" applyFont="1" applyBorder="1" applyAlignment="1">
      <alignment vertical="top"/>
    </xf>
    <xf numFmtId="166" fontId="17" fillId="0" borderId="9" xfId="0" applyNumberFormat="1" applyFont="1" applyBorder="1" applyAlignment="1">
      <alignment vertical="top"/>
    </xf>
    <xf numFmtId="1" fontId="0" fillId="0" borderId="8" xfId="0" applyNumberFormat="1" applyBorder="1" applyAlignment="1">
      <alignment vertical="top"/>
    </xf>
    <xf numFmtId="0" fontId="0" fillId="0" borderId="10" xfId="0" applyBorder="1" applyAlignment="1">
      <alignment vertical="center" wrapText="1"/>
    </xf>
    <xf numFmtId="1" fontId="0" fillId="0" borderId="1" xfId="0" applyNumberFormat="1" applyFont="1" applyBorder="1"/>
    <xf numFmtId="1" fontId="0" fillId="0" borderId="0" xfId="0" applyNumberFormat="1" applyFont="1" applyBorder="1"/>
    <xf numFmtId="166" fontId="17" fillId="0" borderId="9" xfId="1" applyNumberFormat="1" applyFont="1" applyBorder="1"/>
    <xf numFmtId="166" fontId="0" fillId="5" borderId="0" xfId="1" applyNumberFormat="1" applyFont="1" applyFill="1" applyBorder="1"/>
    <xf numFmtId="166" fontId="0" fillId="0" borderId="1" xfId="1" applyNumberFormat="1" applyFont="1" applyBorder="1"/>
    <xf numFmtId="166" fontId="0" fillId="0" borderId="0" xfId="1" applyNumberFormat="1" applyFont="1" applyBorder="1"/>
    <xf numFmtId="166" fontId="0" fillId="0" borderId="9" xfId="1" applyNumberFormat="1" applyFont="1" applyBorder="1"/>
    <xf numFmtId="1" fontId="0" fillId="0" borderId="10" xfId="0" applyNumberFormat="1" applyBorder="1" applyAlignment="1">
      <alignment vertical="top"/>
    </xf>
    <xf numFmtId="166" fontId="17" fillId="0" borderId="9" xfId="0" applyNumberFormat="1" applyFont="1" applyBorder="1"/>
    <xf numFmtId="0" fontId="0" fillId="0" borderId="14" xfId="0" applyBorder="1" applyAlignment="1">
      <alignment vertical="center" wrapText="1"/>
    </xf>
    <xf numFmtId="166" fontId="0" fillId="0" borderId="13" xfId="1" applyNumberFormat="1" applyFont="1" applyBorder="1"/>
    <xf numFmtId="166" fontId="0" fillId="5" borderId="11" xfId="1" applyNumberFormat="1" applyFont="1" applyFill="1" applyBorder="1"/>
    <xf numFmtId="166" fontId="0" fillId="5" borderId="13" xfId="1" applyNumberFormat="1" applyFont="1" applyFill="1" applyBorder="1"/>
    <xf numFmtId="166" fontId="0" fillId="5" borderId="12" xfId="1" applyNumberFormat="1" applyFont="1" applyFill="1" applyBorder="1"/>
    <xf numFmtId="166" fontId="17" fillId="0" borderId="12" xfId="0" applyNumberFormat="1" applyFont="1" applyBorder="1"/>
    <xf numFmtId="1" fontId="0" fillId="0" borderId="14" xfId="0" applyNumberFormat="1" applyBorder="1" applyAlignment="1">
      <alignment vertical="top"/>
    </xf>
    <xf numFmtId="0" fontId="3" fillId="0" borderId="14" xfId="0" applyFont="1" applyBorder="1" applyAlignment="1">
      <alignment vertical="center" wrapText="1"/>
    </xf>
    <xf numFmtId="166" fontId="3" fillId="0" borderId="2" xfId="1" applyNumberFormat="1" applyFont="1" applyBorder="1"/>
    <xf numFmtId="166" fontId="3" fillId="0" borderId="3" xfId="1" applyNumberFormat="1" applyFont="1" applyBorder="1"/>
    <xf numFmtId="166" fontId="14" fillId="0" borderId="4" xfId="1" applyNumberFormat="1" applyFont="1" applyBorder="1"/>
    <xf numFmtId="166" fontId="3" fillId="0" borderId="15" xfId="1" applyNumberFormat="1" applyFont="1" applyBorder="1"/>
    <xf numFmtId="0" fontId="2" fillId="0" borderId="0" xfId="0" applyFont="1" applyFill="1"/>
    <xf numFmtId="0" fontId="10" fillId="0" borderId="0" xfId="0" applyFont="1" applyAlignment="1">
      <alignment vertical="top" wrapText="1"/>
    </xf>
    <xf numFmtId="0" fontId="0" fillId="0" borderId="0" xfId="0" applyFill="1" applyAlignment="1">
      <alignment vertical="top" wrapText="1"/>
    </xf>
    <xf numFmtId="164" fontId="0" fillId="0" borderId="0" xfId="0" applyNumberFormat="1" applyFill="1" applyAlignment="1">
      <alignment vertical="top"/>
    </xf>
    <xf numFmtId="164" fontId="3" fillId="0" borderId="0" xfId="0" applyNumberFormat="1" applyFont="1"/>
    <xf numFmtId="0" fontId="3" fillId="6" borderId="0" xfId="0" applyFont="1" applyFill="1"/>
    <xf numFmtId="0" fontId="0" fillId="6" borderId="0" xfId="0" applyFill="1"/>
    <xf numFmtId="0" fontId="10" fillId="6" borderId="0" xfId="0" applyFont="1" applyFill="1" applyAlignment="1">
      <alignment wrapText="1"/>
    </xf>
    <xf numFmtId="0" fontId="0" fillId="6" borderId="0" xfId="0" applyFill="1" applyAlignment="1">
      <alignment wrapText="1"/>
    </xf>
    <xf numFmtId="0" fontId="0" fillId="6" borderId="0" xfId="0" applyFill="1" applyAlignment="1">
      <alignment vertical="top"/>
    </xf>
    <xf numFmtId="164" fontId="0" fillId="6" borderId="0" xfId="0" applyNumberFormat="1" applyFill="1" applyAlignment="1">
      <alignment vertical="top"/>
    </xf>
    <xf numFmtId="164" fontId="0" fillId="6" borderId="0" xfId="0" applyNumberFormat="1" applyFill="1"/>
    <xf numFmtId="0" fontId="9" fillId="6" borderId="0" xfId="0" applyFont="1" applyFill="1"/>
    <xf numFmtId="2" fontId="9" fillId="6" borderId="0" xfId="0" applyNumberFormat="1" applyFont="1" applyFill="1"/>
    <xf numFmtId="0" fontId="0" fillId="0" borderId="21" xfId="0" applyBorder="1"/>
    <xf numFmtId="0" fontId="0" fillId="0" borderId="25" xfId="0" applyBorder="1"/>
    <xf numFmtId="0" fontId="0" fillId="0" borderId="31" xfId="0" applyBorder="1"/>
    <xf numFmtId="0" fontId="0" fillId="0" borderId="33" xfId="0" applyFill="1" applyBorder="1"/>
    <xf numFmtId="0" fontId="0" fillId="0" borderId="0" xfId="0" applyAlignment="1">
      <alignment horizontal="left" vertical="top" wrapText="1"/>
    </xf>
    <xf numFmtId="166" fontId="3" fillId="0" borderId="0" xfId="1" applyNumberFormat="1" applyFont="1" applyBorder="1"/>
    <xf numFmtId="0" fontId="3" fillId="0" borderId="30" xfId="0" applyFont="1" applyBorder="1" applyAlignment="1">
      <alignment horizontal="center" vertical="top" wrapText="1"/>
    </xf>
    <xf numFmtId="9" fontId="0" fillId="0" borderId="0" xfId="0" applyNumberFormat="1" applyAlignment="1"/>
    <xf numFmtId="0" fontId="0" fillId="0" borderId="0" xfId="0" applyAlignment="1"/>
    <xf numFmtId="9" fontId="0" fillId="0" borderId="0" xfId="0" applyNumberFormat="1" applyBorder="1" applyAlignment="1"/>
    <xf numFmtId="0" fontId="3" fillId="0" borderId="27" xfId="0" applyFont="1" applyBorder="1" applyAlignment="1">
      <alignment horizontal="center" vertical="top" wrapText="1"/>
    </xf>
    <xf numFmtId="0" fontId="0" fillId="0" borderId="33" xfId="0" applyBorder="1" applyAlignment="1">
      <alignment vertical="center" wrapText="1"/>
    </xf>
    <xf numFmtId="0" fontId="0" fillId="0" borderId="33" xfId="0" applyBorder="1"/>
    <xf numFmtId="1" fontId="0" fillId="4" borderId="39" xfId="0" applyNumberFormat="1" applyFill="1" applyBorder="1" applyAlignment="1">
      <alignment vertical="center" wrapText="1"/>
    </xf>
    <xf numFmtId="166" fontId="3" fillId="4" borderId="39" xfId="1" applyNumberFormat="1" applyFont="1" applyFill="1" applyBorder="1"/>
    <xf numFmtId="0" fontId="0" fillId="4" borderId="39" xfId="0" applyFill="1" applyBorder="1"/>
    <xf numFmtId="0" fontId="3" fillId="4" borderId="38" xfId="0" applyFont="1" applyFill="1" applyBorder="1" applyAlignment="1">
      <alignment horizontal="center" vertical="top" wrapText="1"/>
    </xf>
    <xf numFmtId="0" fontId="3" fillId="0" borderId="17" xfId="0" applyFont="1" applyBorder="1" applyAlignment="1">
      <alignment horizontal="center" vertical="top" wrapText="1"/>
    </xf>
    <xf numFmtId="1" fontId="0" fillId="0" borderId="21" xfId="0" applyNumberFormat="1" applyBorder="1" applyAlignment="1">
      <alignment vertical="center" wrapText="1"/>
    </xf>
    <xf numFmtId="166" fontId="3" fillId="0" borderId="21" xfId="1" applyNumberFormat="1" applyFont="1" applyBorder="1"/>
    <xf numFmtId="166" fontId="14" fillId="0" borderId="21" xfId="0" applyNumberFormat="1" applyFont="1" applyBorder="1"/>
    <xf numFmtId="166" fontId="14" fillId="0" borderId="23" xfId="0" applyNumberFormat="1" applyFont="1" applyBorder="1"/>
    <xf numFmtId="0" fontId="18" fillId="0" borderId="27" xfId="0" applyFont="1" applyBorder="1"/>
    <xf numFmtId="0" fontId="19" fillId="0" borderId="0" xfId="0" applyFont="1"/>
    <xf numFmtId="0" fontId="20" fillId="0" borderId="0" xfId="0" applyFont="1"/>
    <xf numFmtId="0" fontId="21" fillId="0" borderId="0" xfId="0" applyFont="1" applyAlignment="1">
      <alignment horizontal="left" vertical="top"/>
    </xf>
    <xf numFmtId="0" fontId="16" fillId="0" borderId="8" xfId="0" applyFont="1" applyFill="1" applyBorder="1" applyAlignment="1">
      <alignment vertical="top" wrapText="1"/>
    </xf>
    <xf numFmtId="2" fontId="0" fillId="0" borderId="0" xfId="0" applyNumberFormat="1" applyFill="1"/>
    <xf numFmtId="0" fontId="3" fillId="0" borderId="0" xfId="0" applyFont="1" applyAlignment="1">
      <alignment vertical="top"/>
    </xf>
    <xf numFmtId="164" fontId="3" fillId="6" borderId="0" xfId="0" applyNumberFormat="1" applyFont="1" applyFill="1"/>
    <xf numFmtId="0" fontId="0" fillId="6" borderId="0" xfId="0" applyFill="1" applyAlignment="1">
      <alignment vertical="top" wrapText="1"/>
    </xf>
    <xf numFmtId="2" fontId="0" fillId="6" borderId="0" xfId="0" applyNumberFormat="1" applyFill="1"/>
    <xf numFmtId="43" fontId="0" fillId="6" borderId="0" xfId="0" applyNumberFormat="1" applyFill="1"/>
    <xf numFmtId="0" fontId="0" fillId="0" borderId="0" xfId="0" applyAlignment="1">
      <alignment horizontal="left" vertical="top"/>
    </xf>
    <xf numFmtId="167" fontId="3" fillId="0" borderId="0" xfId="0" applyNumberFormat="1" applyFont="1" applyAlignment="1">
      <alignment horizontal="left" vertical="top"/>
    </xf>
    <xf numFmtId="0" fontId="9" fillId="0" borderId="0" xfId="0" applyFont="1" applyAlignment="1">
      <alignment horizontal="left" vertical="top"/>
    </xf>
    <xf numFmtId="0" fontId="0" fillId="0" borderId="0" xfId="0" applyFill="1" applyAlignment="1">
      <alignment horizontal="left"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0" xfId="0" applyFill="1"/>
    <xf numFmtId="0" fontId="0" fillId="2" borderId="0" xfId="0" applyFill="1"/>
    <xf numFmtId="9" fontId="0" fillId="2" borderId="0" xfId="0" applyNumberFormat="1" applyFill="1"/>
    <xf numFmtId="9" fontId="0" fillId="2" borderId="0" xfId="2" applyFont="1" applyFill="1"/>
    <xf numFmtId="9" fontId="0" fillId="0" borderId="0" xfId="0" applyNumberFormat="1" applyFill="1"/>
    <xf numFmtId="9" fontId="0" fillId="0" borderId="0" xfId="2" applyFont="1" applyFill="1"/>
    <xf numFmtId="9" fontId="2" fillId="0" borderId="0" xfId="0" applyNumberFormat="1" applyFont="1" applyFill="1"/>
    <xf numFmtId="0" fontId="0" fillId="2" borderId="5" xfId="0" applyFill="1" applyBorder="1"/>
    <xf numFmtId="0" fontId="22" fillId="2" borderId="5" xfId="0" applyFont="1" applyFill="1" applyBorder="1"/>
    <xf numFmtId="9" fontId="22" fillId="2" borderId="5" xfId="0" applyNumberFormat="1" applyFont="1" applyFill="1" applyBorder="1"/>
    <xf numFmtId="9" fontId="0" fillId="2" borderId="5" xfId="2" applyFont="1" applyFill="1" applyBorder="1"/>
    <xf numFmtId="0" fontId="0" fillId="2" borderId="0" xfId="0" applyFill="1" applyBorder="1"/>
    <xf numFmtId="0" fontId="22" fillId="2" borderId="0" xfId="0" applyFont="1" applyFill="1" applyBorder="1"/>
    <xf numFmtId="9" fontId="22" fillId="2" borderId="0" xfId="0" applyNumberFormat="1" applyFont="1" applyFill="1" applyBorder="1"/>
    <xf numFmtId="9" fontId="0" fillId="2" borderId="0" xfId="2" applyFont="1" applyFill="1" applyBorder="1"/>
    <xf numFmtId="10" fontId="0" fillId="2" borderId="0" xfId="0" applyNumberFormat="1" applyFill="1"/>
    <xf numFmtId="0" fontId="8" fillId="2" borderId="0" xfId="0" applyFont="1" applyFill="1"/>
    <xf numFmtId="10" fontId="0" fillId="0" borderId="0" xfId="0" applyNumberFormat="1" applyFill="1"/>
    <xf numFmtId="0" fontId="29" fillId="0" borderId="0" xfId="0" applyFont="1" applyAlignment="1">
      <alignment horizontal="left"/>
    </xf>
    <xf numFmtId="0" fontId="30" fillId="0" borderId="0" xfId="0" applyFont="1"/>
    <xf numFmtId="0" fontId="31" fillId="0" borderId="0" xfId="0" applyFont="1" applyBorder="1" applyAlignment="1">
      <alignment horizontal="center"/>
    </xf>
    <xf numFmtId="9" fontId="30" fillId="7" borderId="47" xfId="2" applyFont="1" applyFill="1" applyBorder="1" applyAlignment="1">
      <alignment vertical="top"/>
    </xf>
    <xf numFmtId="9" fontId="30" fillId="8" borderId="47" xfId="2" applyFont="1" applyFill="1" applyBorder="1" applyAlignment="1">
      <alignment vertical="top"/>
    </xf>
    <xf numFmtId="9" fontId="30" fillId="9" borderId="47" xfId="2" applyFont="1" applyFill="1" applyBorder="1" applyAlignment="1">
      <alignment vertical="top"/>
    </xf>
    <xf numFmtId="9" fontId="30" fillId="0" borderId="0" xfId="2" applyFont="1" applyFill="1" applyBorder="1" applyAlignment="1">
      <alignment vertical="top"/>
    </xf>
    <xf numFmtId="0" fontId="30" fillId="0" borderId="20" xfId="0" applyFont="1" applyBorder="1"/>
    <xf numFmtId="9" fontId="30" fillId="0" borderId="48" xfId="2" applyFont="1" applyFill="1" applyBorder="1" applyAlignment="1">
      <alignment vertical="top"/>
    </xf>
    <xf numFmtId="0" fontId="30" fillId="0" borderId="50" xfId="0" applyFont="1" applyBorder="1"/>
    <xf numFmtId="9" fontId="30" fillId="0" borderId="48" xfId="2" applyFont="1" applyBorder="1" applyAlignment="1">
      <alignment vertical="top"/>
    </xf>
    <xf numFmtId="9" fontId="30" fillId="0" borderId="0" xfId="2" applyFont="1" applyBorder="1" applyAlignment="1">
      <alignment vertical="top"/>
    </xf>
    <xf numFmtId="0" fontId="30" fillId="0" borderId="26" xfId="0" applyFont="1" applyBorder="1"/>
    <xf numFmtId="9" fontId="30" fillId="0" borderId="51" xfId="2" applyFont="1" applyBorder="1" applyAlignment="1">
      <alignment vertical="top"/>
    </xf>
    <xf numFmtId="0" fontId="30" fillId="0" borderId="0" xfId="0" applyFont="1" applyAlignment="1">
      <alignment horizontal="left" vertical="top" wrapText="1"/>
    </xf>
    <xf numFmtId="0" fontId="30" fillId="0" borderId="0" xfId="0" applyFont="1" applyBorder="1" applyAlignment="1">
      <alignment vertical="center" wrapText="1"/>
    </xf>
    <xf numFmtId="0" fontId="30" fillId="0" borderId="0" xfId="0" applyFont="1" applyBorder="1" applyAlignment="1"/>
    <xf numFmtId="0" fontId="30" fillId="0" borderId="58" xfId="0" applyFont="1" applyBorder="1"/>
    <xf numFmtId="9" fontId="30" fillId="0" borderId="0" xfId="0" applyNumberFormat="1" applyFont="1" applyBorder="1"/>
    <xf numFmtId="164" fontId="30" fillId="0" borderId="39" xfId="0" applyNumberFormat="1" applyFont="1" applyBorder="1"/>
    <xf numFmtId="164" fontId="30" fillId="0" borderId="0" xfId="0" applyNumberFormat="1" applyFont="1" applyBorder="1"/>
    <xf numFmtId="0" fontId="30" fillId="0" borderId="21" xfId="0" applyFont="1" applyBorder="1"/>
    <xf numFmtId="0" fontId="30" fillId="0" borderId="0" xfId="0" applyFont="1" applyBorder="1"/>
    <xf numFmtId="0" fontId="30" fillId="0" borderId="39" xfId="0" applyFont="1" applyBorder="1"/>
    <xf numFmtId="2" fontId="30" fillId="0" borderId="0" xfId="0" applyNumberFormat="1" applyFont="1" applyFill="1" applyBorder="1"/>
    <xf numFmtId="0" fontId="33" fillId="0" borderId="59" xfId="0" applyFont="1" applyBorder="1"/>
    <xf numFmtId="0" fontId="33" fillId="0" borderId="60" xfId="0" applyFont="1" applyBorder="1"/>
    <xf numFmtId="2" fontId="33" fillId="0" borderId="61" xfId="0" applyNumberFormat="1" applyFont="1" applyBorder="1"/>
    <xf numFmtId="0" fontId="33" fillId="0" borderId="0" xfId="0" applyFont="1"/>
    <xf numFmtId="9" fontId="30" fillId="0" borderId="0" xfId="0" applyNumberFormat="1" applyFont="1"/>
    <xf numFmtId="0" fontId="28" fillId="0" borderId="0" xfId="0" applyFont="1" applyAlignment="1">
      <alignment horizontal="left" vertical="center"/>
    </xf>
    <xf numFmtId="0" fontId="30" fillId="0" borderId="9" xfId="0" applyFont="1" applyBorder="1"/>
    <xf numFmtId="2" fontId="30" fillId="0" borderId="0" xfId="0" applyNumberFormat="1" applyFont="1" applyBorder="1"/>
    <xf numFmtId="0" fontId="32" fillId="0" borderId="0" xfId="0" applyFont="1"/>
    <xf numFmtId="0" fontId="31" fillId="0" borderId="0" xfId="0" applyFont="1"/>
    <xf numFmtId="0" fontId="30" fillId="0" borderId="0" xfId="0" applyFont="1" applyFill="1"/>
    <xf numFmtId="0" fontId="30" fillId="0" borderId="0" xfId="0" applyFont="1" applyAlignment="1">
      <alignment vertical="top"/>
    </xf>
    <xf numFmtId="0" fontId="30" fillId="11" borderId="21" xfId="0" applyFont="1" applyFill="1" applyBorder="1" applyAlignment="1">
      <alignment vertical="top" wrapText="1"/>
    </xf>
    <xf numFmtId="0" fontId="30" fillId="11" borderId="39" xfId="0" applyFont="1" applyFill="1" applyBorder="1" applyAlignment="1">
      <alignment vertical="top" wrapText="1"/>
    </xf>
    <xf numFmtId="0" fontId="30" fillId="12" borderId="0" xfId="0" applyFont="1" applyFill="1" applyBorder="1" applyAlignment="1">
      <alignment vertical="top" wrapText="1"/>
    </xf>
    <xf numFmtId="0" fontId="30" fillId="10" borderId="39" xfId="0" applyFont="1" applyFill="1" applyBorder="1" applyAlignment="1">
      <alignment vertical="top" wrapText="1"/>
    </xf>
    <xf numFmtId="0" fontId="30" fillId="11" borderId="0" xfId="0" applyFont="1" applyFill="1" applyBorder="1" applyAlignment="1">
      <alignment vertical="top" wrapText="1"/>
    </xf>
    <xf numFmtId="0" fontId="30" fillId="12" borderId="21" xfId="0" applyFont="1" applyFill="1" applyBorder="1" applyAlignment="1">
      <alignment vertical="top" wrapText="1"/>
    </xf>
    <xf numFmtId="0" fontId="30" fillId="14" borderId="21" xfId="0" applyFont="1" applyFill="1" applyBorder="1" applyAlignment="1">
      <alignment vertical="top" wrapText="1"/>
    </xf>
    <xf numFmtId="0" fontId="30" fillId="14" borderId="39" xfId="0" applyFont="1" applyFill="1" applyBorder="1" applyAlignment="1">
      <alignment vertical="top" wrapText="1"/>
    </xf>
    <xf numFmtId="0" fontId="30" fillId="14" borderId="0" xfId="0" applyFont="1" applyFill="1" applyBorder="1" applyAlignment="1">
      <alignment vertical="top" wrapText="1"/>
    </xf>
    <xf numFmtId="0" fontId="30" fillId="13" borderId="39" xfId="0" applyFont="1" applyFill="1" applyBorder="1" applyAlignment="1">
      <alignment vertical="top" wrapText="1"/>
    </xf>
    <xf numFmtId="0" fontId="30" fillId="16" borderId="24" xfId="0" applyFont="1" applyFill="1" applyBorder="1" applyAlignment="1">
      <alignment vertical="top" wrapText="1"/>
    </xf>
    <xf numFmtId="2" fontId="30" fillId="0" borderId="23" xfId="0" applyNumberFormat="1" applyFont="1" applyBorder="1"/>
    <xf numFmtId="2" fontId="30" fillId="0" borderId="24" xfId="0" applyNumberFormat="1" applyFont="1" applyBorder="1"/>
    <xf numFmtId="2" fontId="30" fillId="0" borderId="44" xfId="0" applyNumberFormat="1" applyFont="1" applyBorder="1"/>
    <xf numFmtId="2" fontId="30" fillId="0" borderId="44" xfId="0" applyNumberFormat="1" applyFont="1" applyFill="1" applyBorder="1"/>
    <xf numFmtId="2" fontId="32" fillId="0" borderId="45" xfId="0" applyNumberFormat="1" applyFont="1" applyBorder="1"/>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3" xfId="0" applyBorder="1" applyAlignment="1">
      <alignment vertical="top"/>
    </xf>
    <xf numFmtId="9" fontId="0" fillId="0" borderId="3" xfId="2" applyFont="1" applyBorder="1" applyAlignment="1">
      <alignment horizontal="left" vertical="top" wrapText="1"/>
    </xf>
    <xf numFmtId="9" fontId="0" fillId="0" borderId="4" xfId="2" applyFont="1" applyBorder="1" applyAlignment="1">
      <alignment horizontal="left" vertical="top" wrapText="1"/>
    </xf>
    <xf numFmtId="0" fontId="0" fillId="5" borderId="0" xfId="0" applyFill="1" applyAlignment="1">
      <alignment horizontal="left" vertical="top" wrapText="1"/>
    </xf>
    <xf numFmtId="9" fontId="0" fillId="5" borderId="0" xfId="2" applyFont="1" applyFill="1" applyAlignment="1">
      <alignment horizontal="left" vertical="top" wrapText="1"/>
    </xf>
    <xf numFmtId="9" fontId="0" fillId="0" borderId="0" xfId="2" applyFont="1"/>
    <xf numFmtId="9" fontId="0" fillId="5" borderId="0" xfId="2" applyFont="1" applyFill="1"/>
    <xf numFmtId="168" fontId="0" fillId="0" borderId="0" xfId="2" applyNumberFormat="1" applyFont="1"/>
    <xf numFmtId="0" fontId="0" fillId="12" borderId="0" xfId="0" applyFill="1"/>
    <xf numFmtId="0" fontId="0" fillId="12" borderId="1" xfId="0" applyFill="1" applyBorder="1"/>
    <xf numFmtId="0" fontId="0" fillId="12" borderId="0" xfId="0" applyFill="1" applyBorder="1"/>
    <xf numFmtId="0" fontId="0" fillId="12" borderId="9" xfId="0" applyFill="1" applyBorder="1"/>
    <xf numFmtId="9" fontId="0" fillId="12" borderId="1" xfId="2" applyFont="1" applyFill="1" applyBorder="1"/>
    <xf numFmtId="9" fontId="0" fillId="12" borderId="0" xfId="2" applyFont="1" applyFill="1" applyBorder="1"/>
    <xf numFmtId="9" fontId="0" fillId="12" borderId="9" xfId="0" applyNumberFormat="1" applyFill="1" applyBorder="1"/>
    <xf numFmtId="168" fontId="0" fillId="12" borderId="0" xfId="0" applyNumberFormat="1" applyFill="1"/>
    <xf numFmtId="14" fontId="0" fillId="0" borderId="0" xfId="0" applyNumberFormat="1"/>
    <xf numFmtId="9" fontId="0" fillId="5" borderId="0" xfId="0" applyNumberFormat="1" applyFill="1"/>
    <xf numFmtId="0" fontId="30" fillId="0" borderId="0" xfId="0" applyFont="1" applyAlignment="1">
      <alignment horizontal="left" vertical="center"/>
    </xf>
    <xf numFmtId="0" fontId="30" fillId="0" borderId="0" xfId="0" applyFont="1" applyAlignment="1">
      <alignment horizontal="left"/>
    </xf>
    <xf numFmtId="0" fontId="30" fillId="5" borderId="24" xfId="0" applyFont="1" applyFill="1" applyBorder="1" applyAlignment="1">
      <alignment vertical="top" wrapText="1"/>
    </xf>
    <xf numFmtId="0" fontId="30" fillId="15" borderId="40" xfId="0" applyFont="1" applyFill="1" applyBorder="1" applyAlignment="1">
      <alignment vertical="top" wrapText="1"/>
    </xf>
    <xf numFmtId="0" fontId="34" fillId="0" borderId="0" xfId="0" applyFont="1" applyFill="1" applyAlignment="1">
      <alignment horizontal="left" vertical="top"/>
    </xf>
    <xf numFmtId="9" fontId="0" fillId="6" borderId="0" xfId="2" applyFont="1" applyFill="1"/>
    <xf numFmtId="0" fontId="41" fillId="2" borderId="0" xfId="4" applyFill="1" applyAlignment="1"/>
    <xf numFmtId="0" fontId="41" fillId="0" borderId="0" xfId="4" applyFill="1" applyAlignment="1"/>
    <xf numFmtId="0" fontId="41" fillId="0" borderId="0" xfId="4" applyAlignment="1"/>
    <xf numFmtId="11" fontId="41" fillId="0" borderId="0" xfId="4" applyNumberFormat="1" applyAlignment="1"/>
    <xf numFmtId="9" fontId="41" fillId="0" borderId="0" xfId="2" applyFont="1" applyAlignment="1"/>
    <xf numFmtId="9" fontId="41" fillId="22" borderId="0" xfId="2" applyFont="1" applyFill="1" applyAlignment="1"/>
    <xf numFmtId="0" fontId="0" fillId="0" borderId="6" xfId="0" applyBorder="1"/>
    <xf numFmtId="0" fontId="0" fillId="0" borderId="7" xfId="0" applyBorder="1"/>
    <xf numFmtId="166" fontId="0" fillId="0" borderId="10" xfId="1" applyNumberFormat="1" applyFont="1" applyBorder="1" applyAlignment="1"/>
    <xf numFmtId="166" fontId="0" fillId="0" borderId="10" xfId="1" applyNumberFormat="1" applyFont="1" applyBorder="1"/>
    <xf numFmtId="0" fontId="0" fillId="0" borderId="0" xfId="0" applyFill="1" applyBorder="1"/>
    <xf numFmtId="0" fontId="0" fillId="0" borderId="6" xfId="0" applyFill="1" applyBorder="1"/>
    <xf numFmtId="0" fontId="0" fillId="0" borderId="7" xfId="0" applyFill="1" applyBorder="1"/>
    <xf numFmtId="43" fontId="0" fillId="0" borderId="1" xfId="0" applyNumberFormat="1" applyBorder="1"/>
    <xf numFmtId="0" fontId="0" fillId="0" borderId="0" xfId="0" applyFill="1" applyBorder="1" applyAlignment="1">
      <alignment horizontal="center"/>
    </xf>
    <xf numFmtId="43" fontId="0" fillId="0" borderId="0" xfId="0" applyNumberFormat="1" applyBorder="1"/>
    <xf numFmtId="0" fontId="0" fillId="0" borderId="5" xfId="0" applyFill="1" applyBorder="1"/>
    <xf numFmtId="0" fontId="0" fillId="0" borderId="0" xfId="0" applyFill="1" applyBorder="1" applyAlignment="1"/>
    <xf numFmtId="0" fontId="0" fillId="0" borderId="2" xfId="0" applyFill="1" applyBorder="1"/>
    <xf numFmtId="0" fontId="0" fillId="0" borderId="4" xfId="0" applyFill="1" applyBorder="1"/>
    <xf numFmtId="0" fontId="0" fillId="0" borderId="3" xfId="0" applyFill="1" applyBorder="1"/>
    <xf numFmtId="0" fontId="30" fillId="0" borderId="0" xfId="0" applyFont="1" applyFill="1" applyBorder="1" applyAlignment="1">
      <alignment horizontal="center" vertical="top" wrapText="1"/>
    </xf>
    <xf numFmtId="0" fontId="30" fillId="0" borderId="0" xfId="0" applyFont="1" applyAlignment="1">
      <alignment horizontal="left" vertical="top" wrapText="1"/>
    </xf>
    <xf numFmtId="0" fontId="30" fillId="0" borderId="0" xfId="0" applyFont="1" applyAlignment="1">
      <alignment vertical="center" wrapText="1"/>
    </xf>
    <xf numFmtId="0" fontId="28" fillId="0" borderId="0" xfId="0" applyFont="1" applyAlignment="1">
      <alignment vertical="center"/>
    </xf>
    <xf numFmtId="0" fontId="3" fillId="0" borderId="0" xfId="0" applyFont="1" applyBorder="1"/>
    <xf numFmtId="0" fontId="3" fillId="0" borderId="9" xfId="0" applyFont="1" applyBorder="1"/>
    <xf numFmtId="9" fontId="0" fillId="0" borderId="12" xfId="0" applyNumberFormat="1" applyBorder="1"/>
    <xf numFmtId="0" fontId="3" fillId="0" borderId="4" xfId="0" applyFont="1" applyBorder="1"/>
    <xf numFmtId="0" fontId="0" fillId="0" borderId="11" xfId="0" applyFill="1" applyBorder="1"/>
    <xf numFmtId="0" fontId="3" fillId="0" borderId="12" xfId="0" applyFont="1" applyBorder="1"/>
    <xf numFmtId="9" fontId="0" fillId="0" borderId="7" xfId="0" applyNumberFormat="1" applyFont="1" applyBorder="1"/>
    <xf numFmtId="0" fontId="10" fillId="0" borderId="0" xfId="0" applyFont="1"/>
    <xf numFmtId="9" fontId="0" fillId="0" borderId="12" xfId="2" applyFont="1" applyFill="1" applyBorder="1"/>
    <xf numFmtId="0" fontId="10" fillId="0" borderId="1" xfId="0" applyFont="1" applyBorder="1"/>
    <xf numFmtId="9" fontId="0" fillId="0" borderId="7" xfId="0" applyNumberFormat="1" applyBorder="1"/>
    <xf numFmtId="0" fontId="0" fillId="0" borderId="2" xfId="0" applyBorder="1"/>
    <xf numFmtId="0" fontId="0" fillId="0" borderId="0" xfId="0" applyAlignment="1">
      <alignment horizontal="left" vertical="top" wrapText="1"/>
    </xf>
    <xf numFmtId="0" fontId="9" fillId="0" borderId="9" xfId="0" applyFont="1" applyFill="1" applyBorder="1"/>
    <xf numFmtId="0" fontId="10" fillId="0" borderId="4" xfId="0" applyFont="1" applyBorder="1"/>
    <xf numFmtId="0" fontId="0" fillId="0" borderId="9" xfId="0" applyFont="1" applyBorder="1"/>
    <xf numFmtId="0" fontId="5" fillId="0" borderId="0" xfId="0" applyFont="1"/>
    <xf numFmtId="2" fontId="3" fillId="0" borderId="12" xfId="0" applyNumberFormat="1" applyFont="1" applyBorder="1"/>
    <xf numFmtId="164" fontId="3" fillId="0" borderId="0" xfId="0" applyNumberFormat="1" applyFont="1" applyFill="1"/>
    <xf numFmtId="164" fontId="0" fillId="0" borderId="0" xfId="0" applyNumberFormat="1" applyFill="1"/>
    <xf numFmtId="0" fontId="10" fillId="0" borderId="0" xfId="0" applyFont="1" applyBorder="1"/>
    <xf numFmtId="0" fontId="30" fillId="0" borderId="57" xfId="0" applyFont="1" applyBorder="1"/>
    <xf numFmtId="0" fontId="30" fillId="0" borderId="11" xfId="0" applyFont="1" applyFill="1" applyBorder="1" applyAlignment="1">
      <alignment horizontal="center" vertical="top" wrapText="1"/>
    </xf>
    <xf numFmtId="164" fontId="30" fillId="0" borderId="6" xfId="0" applyNumberFormat="1" applyFont="1" applyBorder="1"/>
    <xf numFmtId="164" fontId="30" fillId="0" borderId="1" xfId="0" applyNumberFormat="1" applyFont="1" applyBorder="1"/>
    <xf numFmtId="0" fontId="0" fillId="0" borderId="9" xfId="0" applyBorder="1" applyAlignment="1"/>
    <xf numFmtId="0" fontId="0" fillId="0" borderId="0" xfId="0" applyBorder="1" applyAlignment="1"/>
    <xf numFmtId="0" fontId="0" fillId="0" borderId="67" xfId="0" applyFill="1" applyBorder="1"/>
    <xf numFmtId="0" fontId="0" fillId="0" borderId="63" xfId="0" applyFill="1" applyBorder="1"/>
    <xf numFmtId="166" fontId="0" fillId="0" borderId="21" xfId="1" applyNumberFormat="1" applyFont="1" applyBorder="1"/>
    <xf numFmtId="43" fontId="0" fillId="0" borderId="39" xfId="0" applyNumberFormat="1" applyBorder="1"/>
    <xf numFmtId="166" fontId="0" fillId="0" borderId="23" xfId="1" applyNumberFormat="1" applyFont="1" applyBorder="1"/>
    <xf numFmtId="166" fontId="0" fillId="0" borderId="24" xfId="1" applyNumberFormat="1" applyFont="1" applyBorder="1"/>
    <xf numFmtId="166" fontId="0" fillId="0" borderId="35" xfId="1" applyNumberFormat="1" applyFont="1" applyBorder="1"/>
    <xf numFmtId="166" fontId="0" fillId="0" borderId="66" xfId="1" applyNumberFormat="1" applyFont="1" applyBorder="1"/>
    <xf numFmtId="43" fontId="0" fillId="0" borderId="66" xfId="0" applyNumberFormat="1" applyBorder="1"/>
    <xf numFmtId="43" fontId="0" fillId="0" borderId="24" xfId="0" applyNumberFormat="1" applyBorder="1"/>
    <xf numFmtId="43" fontId="0" fillId="0" borderId="40" xfId="0" applyNumberFormat="1" applyBorder="1"/>
    <xf numFmtId="0" fontId="0" fillId="0" borderId="68" xfId="0" applyBorder="1"/>
    <xf numFmtId="0" fontId="0" fillId="0" borderId="41" xfId="0" applyBorder="1"/>
    <xf numFmtId="0" fontId="0" fillId="0" borderId="69" xfId="0" applyBorder="1"/>
    <xf numFmtId="0" fontId="0" fillId="0" borderId="38" xfId="0" applyBorder="1"/>
    <xf numFmtId="166" fontId="0" fillId="0" borderId="58" xfId="1" applyNumberFormat="1" applyFont="1" applyBorder="1" applyAlignment="1"/>
    <xf numFmtId="166" fontId="0" fillId="0" borderId="39" xfId="1" applyNumberFormat="1" applyFont="1" applyBorder="1"/>
    <xf numFmtId="166" fontId="0" fillId="0" borderId="58" xfId="1" applyNumberFormat="1" applyFont="1" applyBorder="1"/>
    <xf numFmtId="166" fontId="0" fillId="0" borderId="65" xfId="1" applyNumberFormat="1" applyFont="1" applyBorder="1"/>
    <xf numFmtId="166" fontId="0" fillId="0" borderId="42" xfId="1" applyNumberFormat="1" applyFont="1" applyBorder="1"/>
    <xf numFmtId="166" fontId="0" fillId="0" borderId="40" xfId="1" applyNumberFormat="1" applyFont="1" applyBorder="1"/>
    <xf numFmtId="0" fontId="0" fillId="0" borderId="17" xfId="0" applyBorder="1"/>
    <xf numFmtId="166" fontId="0" fillId="0" borderId="21" xfId="0" applyNumberFormat="1" applyBorder="1"/>
    <xf numFmtId="166" fontId="0" fillId="0" borderId="39" xfId="0" applyNumberFormat="1" applyBorder="1"/>
    <xf numFmtId="166" fontId="0" fillId="0" borderId="23" xfId="0" applyNumberFormat="1" applyBorder="1"/>
    <xf numFmtId="166" fontId="0" fillId="0" borderId="40" xfId="0" applyNumberFormat="1" applyBorder="1"/>
    <xf numFmtId="0" fontId="0" fillId="0" borderId="39" xfId="0" applyBorder="1"/>
    <xf numFmtId="0" fontId="0" fillId="0" borderId="23" xfId="0" applyBorder="1"/>
    <xf numFmtId="0" fontId="0" fillId="0" borderId="40" xfId="0" applyBorder="1"/>
    <xf numFmtId="0" fontId="0" fillId="0" borderId="0" xfId="0" applyBorder="1" applyAlignment="1">
      <alignment horizontal="center"/>
    </xf>
    <xf numFmtId="0" fontId="30" fillId="0" borderId="39" xfId="0" applyFont="1" applyFill="1" applyBorder="1" applyAlignment="1">
      <alignment horizontal="center" vertical="top" wrapText="1"/>
    </xf>
    <xf numFmtId="20" fontId="0" fillId="0" borderId="0" xfId="0" applyNumberFormat="1"/>
    <xf numFmtId="1" fontId="0" fillId="0" borderId="0" xfId="2" applyNumberFormat="1" applyFont="1" applyFill="1"/>
    <xf numFmtId="0" fontId="42" fillId="0" borderId="0" xfId="0" applyFont="1"/>
    <xf numFmtId="0" fontId="43" fillId="0" borderId="0" xfId="0" applyFont="1"/>
    <xf numFmtId="0" fontId="0" fillId="0" borderId="0" xfId="0" applyBorder="1" applyAlignment="1">
      <alignment horizontal="left"/>
    </xf>
    <xf numFmtId="9" fontId="0" fillId="0" borderId="0" xfId="2" applyFont="1" applyFill="1" applyBorder="1"/>
    <xf numFmtId="9" fontId="3" fillId="0" borderId="0" xfId="2" applyFont="1" applyFill="1" applyBorder="1"/>
    <xf numFmtId="0" fontId="0" fillId="0" borderId="0" xfId="0" applyAlignment="1">
      <alignment vertical="center"/>
    </xf>
    <xf numFmtId="0" fontId="0" fillId="0" borderId="5" xfId="0" applyBorder="1"/>
    <xf numFmtId="0" fontId="44" fillId="0" borderId="0" xfId="0" applyFont="1" applyBorder="1" applyAlignment="1">
      <alignment vertical="center"/>
    </xf>
    <xf numFmtId="0" fontId="44" fillId="0" borderId="0" xfId="0" applyFont="1" applyBorder="1"/>
    <xf numFmtId="0" fontId="0" fillId="0" borderId="52" xfId="0" applyBorder="1" applyAlignment="1">
      <alignment wrapText="1"/>
    </xf>
    <xf numFmtId="0" fontId="0" fillId="0" borderId="67" xfId="0" applyBorder="1"/>
    <xf numFmtId="0" fontId="0" fillId="25" borderId="34" xfId="0" applyFill="1" applyBorder="1" applyAlignment="1">
      <alignment wrapText="1"/>
    </xf>
    <xf numFmtId="0" fontId="0" fillId="0" borderId="0" xfId="0" applyAlignment="1">
      <alignment horizontal="center"/>
    </xf>
    <xf numFmtId="0" fontId="45" fillId="0" borderId="0" xfId="0" applyFont="1"/>
    <xf numFmtId="9" fontId="3" fillId="0" borderId="5" xfId="2" applyFont="1" applyFill="1" applyBorder="1"/>
    <xf numFmtId="9" fontId="3" fillId="0" borderId="7" xfId="2" applyFont="1" applyFill="1" applyBorder="1"/>
    <xf numFmtId="9" fontId="3" fillId="0" borderId="9" xfId="2" applyFont="1" applyFill="1" applyBorder="1"/>
    <xf numFmtId="9" fontId="3" fillId="0" borderId="13" xfId="2" applyFont="1" applyFill="1" applyBorder="1"/>
    <xf numFmtId="9" fontId="3" fillId="0" borderId="12" xfId="2" applyFont="1" applyFill="1" applyBorder="1"/>
    <xf numFmtId="166" fontId="0" fillId="0" borderId="0" xfId="1" applyNumberFormat="1" applyFont="1"/>
    <xf numFmtId="0" fontId="0" fillId="5" borderId="0" xfId="0" applyFill="1"/>
    <xf numFmtId="164" fontId="0" fillId="5" borderId="0" xfId="0" applyNumberFormat="1" applyFill="1"/>
    <xf numFmtId="1" fontId="3" fillId="0" borderId="0" xfId="0" applyNumberFormat="1" applyFont="1"/>
    <xf numFmtId="0" fontId="45" fillId="0" borderId="0" xfId="0" applyFont="1" applyAlignment="1">
      <alignment horizontal="center"/>
    </xf>
    <xf numFmtId="164" fontId="0" fillId="0" borderId="0" xfId="0" applyNumberFormat="1" applyAlignment="1">
      <alignment horizontal="center"/>
    </xf>
    <xf numFmtId="0" fontId="0" fillId="0" borderId="0" xfId="0" applyBorder="1" applyAlignment="1">
      <alignment wrapText="1"/>
    </xf>
    <xf numFmtId="0" fontId="0" fillId="0" borderId="15" xfId="0" applyBorder="1" applyAlignment="1">
      <alignment horizontal="left"/>
    </xf>
    <xf numFmtId="0" fontId="0" fillId="0" borderId="15" xfId="0" applyBorder="1"/>
    <xf numFmtId="0" fontId="0" fillId="0" borderId="0" xfId="0" applyBorder="1" applyAlignment="1">
      <alignment vertical="top"/>
    </xf>
    <xf numFmtId="0" fontId="0" fillId="0" borderId="7" xfId="0" applyBorder="1" applyAlignment="1"/>
    <xf numFmtId="0" fontId="0" fillId="0" borderId="12" xfId="0" applyBorder="1" applyAlignment="1"/>
    <xf numFmtId="0" fontId="9" fillId="0" borderId="0" xfId="0" applyFont="1" applyBorder="1"/>
    <xf numFmtId="0" fontId="0" fillId="0" borderId="1" xfId="0" applyBorder="1" applyAlignment="1"/>
    <xf numFmtId="0" fontId="0" fillId="0" borderId="13" xfId="0" applyFill="1" applyBorder="1"/>
    <xf numFmtId="2" fontId="3" fillId="0" borderId="7" xfId="0" applyNumberFormat="1" applyFont="1" applyBorder="1"/>
    <xf numFmtId="2" fontId="3" fillId="0" borderId="7" xfId="0" applyNumberFormat="1" applyFont="1" applyBorder="1" applyAlignment="1">
      <alignment vertical="center"/>
    </xf>
    <xf numFmtId="2" fontId="3" fillId="0" borderId="0" xfId="0" applyNumberFormat="1" applyFont="1"/>
    <xf numFmtId="0" fontId="0" fillId="16" borderId="0" xfId="0" applyFill="1"/>
    <xf numFmtId="0" fontId="39" fillId="0" borderId="0" xfId="3"/>
    <xf numFmtId="0" fontId="0" fillId="0" borderId="6" xfId="0" applyBorder="1" applyAlignment="1"/>
    <xf numFmtId="0" fontId="30" fillId="0" borderId="12" xfId="0" applyFont="1" applyBorder="1"/>
    <xf numFmtId="0" fontId="0" fillId="25" borderId="15" xfId="0" applyFill="1" applyBorder="1" applyAlignment="1">
      <alignment wrapText="1"/>
    </xf>
    <xf numFmtId="0" fontId="0" fillId="25" borderId="2" xfId="0" applyFill="1" applyBorder="1" applyAlignment="1">
      <alignment wrapText="1"/>
    </xf>
    <xf numFmtId="0" fontId="0" fillId="16" borderId="31" xfId="0" applyFill="1" applyBorder="1" applyAlignment="1">
      <alignment wrapText="1"/>
    </xf>
    <xf numFmtId="0" fontId="0" fillId="16" borderId="25" xfId="0" applyFill="1" applyBorder="1" applyAlignment="1">
      <alignment wrapText="1"/>
    </xf>
    <xf numFmtId="0" fontId="0" fillId="16" borderId="36" xfId="0" applyFill="1" applyBorder="1" applyAlignment="1">
      <alignment wrapText="1"/>
    </xf>
    <xf numFmtId="0" fontId="0" fillId="16" borderId="26" xfId="0" applyFill="1" applyBorder="1" applyAlignment="1">
      <alignment wrapText="1"/>
    </xf>
    <xf numFmtId="0" fontId="0" fillId="8" borderId="32" xfId="0" applyFill="1" applyBorder="1" applyAlignment="1">
      <alignment wrapText="1"/>
    </xf>
    <xf numFmtId="0" fontId="0" fillId="9" borderId="14" xfId="0" applyFill="1" applyBorder="1" applyAlignment="1">
      <alignment wrapText="1"/>
    </xf>
    <xf numFmtId="0" fontId="0" fillId="7" borderId="11" xfId="0" applyFill="1" applyBorder="1" applyAlignment="1">
      <alignment wrapText="1"/>
    </xf>
    <xf numFmtId="0" fontId="0" fillId="0" borderId="59" xfId="0" applyBorder="1" applyAlignment="1">
      <alignment vertical="center"/>
    </xf>
    <xf numFmtId="43" fontId="0" fillId="0" borderId="0" xfId="1" applyNumberFormat="1" applyFont="1" applyFill="1"/>
    <xf numFmtId="0" fontId="46" fillId="0" borderId="0" xfId="0" applyFont="1"/>
    <xf numFmtId="0" fontId="0" fillId="0" borderId="0" xfId="0" applyFont="1"/>
    <xf numFmtId="0" fontId="44" fillId="0" borderId="0" xfId="0" applyFont="1" applyAlignment="1">
      <alignment horizontal="left"/>
    </xf>
    <xf numFmtId="165" fontId="0" fillId="0" borderId="0" xfId="0" applyNumberFormat="1" applyBorder="1" applyAlignment="1">
      <alignment vertical="center"/>
    </xf>
    <xf numFmtId="0" fontId="0" fillId="0" borderId="0" xfId="0" applyBorder="1" applyAlignment="1">
      <alignment vertical="center"/>
    </xf>
    <xf numFmtId="165" fontId="0" fillId="0" borderId="15" xfId="0" applyNumberFormat="1" applyBorder="1" applyAlignment="1">
      <alignment vertical="center"/>
    </xf>
    <xf numFmtId="0" fontId="0" fillId="0" borderId="15" xfId="0" applyBorder="1" applyAlignment="1">
      <alignment vertical="center"/>
    </xf>
    <xf numFmtId="0" fontId="44" fillId="0" borderId="0" xfId="0" applyFont="1"/>
    <xf numFmtId="0" fontId="44" fillId="0" borderId="0" xfId="0" applyFont="1" applyAlignment="1">
      <alignment vertical="center"/>
    </xf>
    <xf numFmtId="0" fontId="0" fillId="0" borderId="11" xfId="0" applyBorder="1" applyAlignment="1"/>
    <xf numFmtId="9" fontId="1" fillId="0" borderId="1" xfId="2" applyFont="1" applyFill="1" applyBorder="1"/>
    <xf numFmtId="9" fontId="1" fillId="0" borderId="0" xfId="2" applyFont="1" applyFill="1" applyBorder="1"/>
    <xf numFmtId="9" fontId="1" fillId="0" borderId="9" xfId="2" applyFont="1" applyFill="1" applyBorder="1"/>
    <xf numFmtId="9" fontId="1" fillId="0" borderId="11" xfId="2" applyFont="1" applyFill="1" applyBorder="1"/>
    <xf numFmtId="9" fontId="1" fillId="0" borderId="13" xfId="2" applyFont="1" applyFill="1" applyBorder="1"/>
    <xf numFmtId="9" fontId="1" fillId="0" borderId="12" xfId="2" applyFont="1" applyFill="1" applyBorder="1"/>
    <xf numFmtId="9" fontId="3" fillId="0" borderId="6" xfId="2" applyFont="1" applyBorder="1"/>
    <xf numFmtId="9" fontId="3" fillId="0" borderId="5" xfId="2" applyFont="1" applyBorder="1"/>
    <xf numFmtId="9" fontId="3" fillId="0" borderId="7" xfId="2" applyFont="1" applyBorder="1"/>
    <xf numFmtId="169" fontId="0" fillId="0" borderId="0" xfId="0" applyNumberFormat="1"/>
    <xf numFmtId="170" fontId="0" fillId="0" borderId="0" xfId="0" applyNumberFormat="1"/>
    <xf numFmtId="1" fontId="0" fillId="0" borderId="5" xfId="0" applyNumberFormat="1" applyBorder="1"/>
    <xf numFmtId="1" fontId="0" fillId="0" borderId="7" xfId="0" applyNumberFormat="1" applyBorder="1"/>
    <xf numFmtId="1" fontId="0" fillId="0" borderId="13" xfId="0" applyNumberFormat="1" applyBorder="1"/>
    <xf numFmtId="1" fontId="0" fillId="0" borderId="12" xfId="0" applyNumberFormat="1" applyBorder="1"/>
    <xf numFmtId="167" fontId="3" fillId="0" borderId="0" xfId="1" applyNumberFormat="1" applyFont="1"/>
    <xf numFmtId="171" fontId="0" fillId="0" borderId="0" xfId="0" applyNumberFormat="1" applyFont="1" applyFill="1" applyBorder="1"/>
    <xf numFmtId="43" fontId="0" fillId="0" borderId="0" xfId="0" applyNumberFormat="1" applyFont="1" applyFill="1" applyBorder="1"/>
    <xf numFmtId="43" fontId="0" fillId="0" borderId="13" xfId="0" applyNumberFormat="1" applyFont="1" applyFill="1" applyBorder="1"/>
    <xf numFmtId="167" fontId="0" fillId="0" borderId="0" xfId="1" applyNumberFormat="1" applyFont="1" applyFill="1" applyBorder="1"/>
    <xf numFmtId="2" fontId="0" fillId="0" borderId="15" xfId="0" applyNumberFormat="1" applyBorder="1"/>
    <xf numFmtId="164" fontId="0" fillId="0" borderId="0" xfId="0" applyNumberFormat="1" applyAlignment="1">
      <alignment horizontal="center"/>
    </xf>
    <xf numFmtId="0" fontId="0" fillId="0" borderId="0" xfId="0" applyAlignment="1">
      <alignment horizontal="center"/>
    </xf>
    <xf numFmtId="164" fontId="0" fillId="0" borderId="0" xfId="0" applyNumberFormat="1" applyAlignment="1"/>
    <xf numFmtId="164" fontId="3" fillId="0" borderId="0" xfId="0" applyNumberFormat="1" applyFont="1" applyAlignment="1">
      <alignment horizontal="center"/>
    </xf>
    <xf numFmtId="164" fontId="0" fillId="0" borderId="0" xfId="0" applyNumberFormat="1" applyFill="1" applyAlignment="1">
      <alignment horizontal="center"/>
    </xf>
    <xf numFmtId="164" fontId="10" fillId="0" borderId="0" xfId="0" applyNumberFormat="1" applyFont="1" applyFill="1" applyAlignment="1">
      <alignment horizontal="center"/>
    </xf>
    <xf numFmtId="171" fontId="0" fillId="0" borderId="21" xfId="0" applyNumberFormat="1" applyFont="1" applyFill="1" applyBorder="1"/>
    <xf numFmtId="43" fontId="0" fillId="0" borderId="39" xfId="0" applyNumberFormat="1" applyFont="1" applyFill="1" applyBorder="1"/>
    <xf numFmtId="171" fontId="0" fillId="0" borderId="23" xfId="0" applyNumberFormat="1" applyFont="1" applyFill="1" applyBorder="1"/>
    <xf numFmtId="171" fontId="0" fillId="0" borderId="24" xfId="0" applyNumberFormat="1" applyFont="1" applyFill="1" applyBorder="1"/>
    <xf numFmtId="43" fontId="0" fillId="0" borderId="24" xfId="0" applyNumberFormat="1" applyFont="1" applyFill="1" applyBorder="1"/>
    <xf numFmtId="43" fontId="0" fillId="0" borderId="40" xfId="0" applyNumberFormat="1" applyFont="1" applyFill="1" applyBorder="1"/>
    <xf numFmtId="0" fontId="0" fillId="0" borderId="13" xfId="0" applyFont="1" applyBorder="1" applyAlignment="1"/>
    <xf numFmtId="0" fontId="3" fillId="0" borderId="8" xfId="0" applyFont="1" applyBorder="1"/>
    <xf numFmtId="0" fontId="9" fillId="0" borderId="10" xfId="0" applyFont="1" applyBorder="1"/>
    <xf numFmtId="0" fontId="9" fillId="0" borderId="10" xfId="0" applyFont="1" applyFill="1" applyBorder="1" applyAlignment="1">
      <alignment vertical="center"/>
    </xf>
    <xf numFmtId="2" fontId="3" fillId="0" borderId="8" xfId="0" applyNumberFormat="1" applyFont="1" applyBorder="1"/>
    <xf numFmtId="2" fontId="9" fillId="0" borderId="10" xfId="0" applyNumberFormat="1" applyFont="1" applyBorder="1"/>
    <xf numFmtId="0" fontId="3" fillId="0" borderId="8" xfId="0" applyFont="1" applyFill="1" applyBorder="1"/>
    <xf numFmtId="0" fontId="0" fillId="0" borderId="10" xfId="0" applyFont="1" applyBorder="1"/>
    <xf numFmtId="2" fontId="0" fillId="0" borderId="10" xfId="0" applyNumberFormat="1" applyFont="1" applyBorder="1"/>
    <xf numFmtId="0" fontId="0" fillId="0" borderId="10" xfId="0" applyFont="1" applyFill="1" applyBorder="1"/>
    <xf numFmtId="2" fontId="9" fillId="0" borderId="14" xfId="0" applyNumberFormat="1" applyFont="1" applyBorder="1"/>
    <xf numFmtId="2" fontId="3" fillId="0" borderId="15" xfId="0" applyNumberFormat="1" applyFont="1" applyBorder="1"/>
    <xf numFmtId="164" fontId="0" fillId="0" borderId="0" xfId="0" applyNumberFormat="1" applyFont="1" applyFill="1" applyAlignment="1">
      <alignment horizontal="center"/>
    </xf>
    <xf numFmtId="0" fontId="0" fillId="23" borderId="0" xfId="0" applyFill="1"/>
    <xf numFmtId="0" fontId="0" fillId="2" borderId="0" xfId="0" applyFill="1" applyAlignment="1">
      <alignment horizontal="center"/>
    </xf>
    <xf numFmtId="0" fontId="0" fillId="27" borderId="0" xfId="0" applyFill="1"/>
    <xf numFmtId="0" fontId="3" fillId="12" borderId="0" xfId="0" applyFont="1" applyFill="1"/>
    <xf numFmtId="2" fontId="30" fillId="0" borderId="0" xfId="0" applyNumberFormat="1" applyFont="1"/>
    <xf numFmtId="2" fontId="33" fillId="0" borderId="61" xfId="0" applyNumberFormat="1" applyFont="1" applyFill="1" applyBorder="1"/>
    <xf numFmtId="43" fontId="0" fillId="0" borderId="0" xfId="0" applyNumberFormat="1" applyFill="1"/>
    <xf numFmtId="0" fontId="10" fillId="0" borderId="13" xfId="0" applyFont="1" applyBorder="1"/>
    <xf numFmtId="0" fontId="9" fillId="0" borderId="9" xfId="0" applyFont="1" applyBorder="1"/>
    <xf numFmtId="2" fontId="10" fillId="0" borderId="0" xfId="0" applyNumberFormat="1" applyFont="1" applyBorder="1"/>
    <xf numFmtId="0" fontId="0" fillId="0" borderId="0" xfId="0" applyFont="1" applyBorder="1"/>
    <xf numFmtId="2" fontId="49" fillId="0" borderId="5" xfId="0" applyNumberFormat="1" applyFont="1" applyBorder="1"/>
    <xf numFmtId="0" fontId="0" fillId="0" borderId="0" xfId="0" quotePrefix="1"/>
    <xf numFmtId="0" fontId="1" fillId="0" borderId="0" xfId="5"/>
    <xf numFmtId="0" fontId="0" fillId="0" borderId="0" xfId="5" applyFont="1"/>
    <xf numFmtId="0" fontId="3" fillId="0" borderId="0" xfId="5" applyFont="1"/>
    <xf numFmtId="43" fontId="10" fillId="0" borderId="0" xfId="0" applyNumberFormat="1" applyFont="1"/>
    <xf numFmtId="2" fontId="0" fillId="0" borderId="0" xfId="0" applyNumberFormat="1" applyFont="1"/>
    <xf numFmtId="0" fontId="3" fillId="0" borderId="0" xfId="0" applyFont="1" applyAlignment="1"/>
    <xf numFmtId="2" fontId="3" fillId="12" borderId="0" xfId="0" applyNumberFormat="1" applyFont="1" applyFill="1"/>
    <xf numFmtId="0" fontId="5" fillId="12" borderId="0" xfId="0" applyFont="1" applyFill="1"/>
    <xf numFmtId="2" fontId="14" fillId="23" borderId="0" xfId="0" applyNumberFormat="1" applyFont="1" applyFill="1"/>
    <xf numFmtId="2" fontId="0" fillId="0" borderId="15" xfId="0" applyNumberFormat="1" applyFill="1" applyBorder="1" applyAlignment="1">
      <alignment horizontal="left"/>
    </xf>
    <xf numFmtId="0" fontId="30" fillId="0" borderId="1" xfId="0" applyFont="1" applyFill="1" applyBorder="1" applyAlignment="1">
      <alignment horizontal="center" vertical="top" wrapText="1"/>
    </xf>
    <xf numFmtId="0" fontId="30" fillId="0" borderId="9" xfId="0" applyFont="1" applyFill="1" applyBorder="1" applyAlignment="1">
      <alignment horizontal="center" vertical="top" wrapText="1"/>
    </xf>
    <xf numFmtId="0" fontId="33" fillId="0" borderId="0" xfId="0" applyFont="1" applyBorder="1"/>
    <xf numFmtId="9" fontId="33" fillId="0" borderId="0" xfId="0" applyNumberFormat="1" applyFont="1" applyBorder="1"/>
    <xf numFmtId="2" fontId="33" fillId="0" borderId="0" xfId="0" applyNumberFormat="1" applyFont="1" applyBorder="1"/>
    <xf numFmtId="0" fontId="33" fillId="0" borderId="39" xfId="0" applyFont="1" applyBorder="1"/>
    <xf numFmtId="0" fontId="33" fillId="0" borderId="40" xfId="0" applyFont="1" applyBorder="1"/>
    <xf numFmtId="164" fontId="30" fillId="0" borderId="7" xfId="0" applyNumberFormat="1" applyFont="1" applyBorder="1"/>
    <xf numFmtId="164" fontId="30" fillId="0" borderId="9" xfId="0" applyNumberFormat="1" applyFont="1" applyBorder="1"/>
    <xf numFmtId="9" fontId="30" fillId="0" borderId="7" xfId="2" applyFont="1" applyBorder="1"/>
    <xf numFmtId="9" fontId="30" fillId="0" borderId="9" xfId="2" applyFont="1" applyBorder="1"/>
    <xf numFmtId="9" fontId="33" fillId="0" borderId="12" xfId="0" applyNumberFormat="1" applyFont="1" applyBorder="1"/>
    <xf numFmtId="0" fontId="33" fillId="0" borderId="32" xfId="0" applyFont="1" applyBorder="1"/>
    <xf numFmtId="0" fontId="30" fillId="0" borderId="21" xfId="0" applyFont="1" applyFill="1" applyBorder="1" applyAlignment="1">
      <alignment vertical="top" wrapText="1"/>
    </xf>
    <xf numFmtId="9" fontId="30" fillId="0" borderId="21" xfId="0" applyNumberFormat="1" applyFont="1" applyBorder="1"/>
    <xf numFmtId="9" fontId="33" fillId="0" borderId="37" xfId="0" applyNumberFormat="1" applyFont="1" applyBorder="1"/>
    <xf numFmtId="9" fontId="30" fillId="0" borderId="67" xfId="0" applyNumberFormat="1" applyFont="1" applyBorder="1"/>
    <xf numFmtId="0" fontId="30" fillId="0" borderId="0" xfId="0" applyFont="1" applyAlignment="1"/>
    <xf numFmtId="0" fontId="32" fillId="0" borderId="58" xfId="0" applyFont="1" applyBorder="1"/>
    <xf numFmtId="0" fontId="32" fillId="0" borderId="65" xfId="0" applyFont="1" applyBorder="1"/>
    <xf numFmtId="0" fontId="33" fillId="0" borderId="55" xfId="0" applyFont="1" applyBorder="1"/>
    <xf numFmtId="9" fontId="30" fillId="0" borderId="67" xfId="0" applyNumberFormat="1" applyFont="1" applyFill="1" applyBorder="1"/>
    <xf numFmtId="9" fontId="30" fillId="0" borderId="21" xfId="0" applyNumberFormat="1" applyFont="1" applyFill="1" applyBorder="1"/>
    <xf numFmtId="0" fontId="30" fillId="0" borderId="34" xfId="0" applyFont="1" applyFill="1" applyBorder="1"/>
    <xf numFmtId="0" fontId="30" fillId="0" borderId="34" xfId="0" applyFont="1" applyBorder="1"/>
    <xf numFmtId="0" fontId="30" fillId="12" borderId="33" xfId="0" applyFont="1" applyFill="1" applyBorder="1" applyAlignment="1">
      <alignment vertical="top" wrapText="1"/>
    </xf>
    <xf numFmtId="2" fontId="30" fillId="0" borderId="5" xfId="0" applyNumberFormat="1" applyFont="1" applyBorder="1"/>
    <xf numFmtId="2" fontId="30" fillId="0" borderId="6" xfId="0" applyNumberFormat="1" applyFont="1" applyBorder="1"/>
    <xf numFmtId="2" fontId="30" fillId="0" borderId="7" xfId="0" applyNumberFormat="1" applyFont="1" applyBorder="1"/>
    <xf numFmtId="2" fontId="30" fillId="0" borderId="1" xfId="0" applyNumberFormat="1" applyFont="1" applyBorder="1"/>
    <xf numFmtId="2" fontId="30" fillId="0" borderId="9" xfId="0" applyNumberFormat="1" applyFont="1" applyBorder="1"/>
    <xf numFmtId="2" fontId="30" fillId="0" borderId="64" xfId="0" applyNumberFormat="1" applyFont="1" applyBorder="1"/>
    <xf numFmtId="2" fontId="30" fillId="0" borderId="39" xfId="0" applyNumberFormat="1" applyFont="1" applyBorder="1"/>
    <xf numFmtId="0" fontId="30" fillId="0" borderId="13" xfId="0" applyFont="1" applyBorder="1"/>
    <xf numFmtId="9" fontId="30" fillId="0" borderId="33" xfId="0" applyNumberFormat="1" applyFont="1" applyBorder="1"/>
    <xf numFmtId="9" fontId="33" fillId="0" borderId="47" xfId="0" applyNumberFormat="1" applyFont="1" applyBorder="1"/>
    <xf numFmtId="2" fontId="33" fillId="0" borderId="33" xfId="0" applyNumberFormat="1" applyFont="1" applyBorder="1"/>
    <xf numFmtId="2" fontId="33" fillId="0" borderId="28" xfId="0" applyNumberFormat="1" applyFont="1" applyBorder="1"/>
    <xf numFmtId="0" fontId="30" fillId="10" borderId="47" xfId="0" applyFont="1" applyFill="1" applyBorder="1" applyAlignment="1">
      <alignment vertical="top" wrapText="1"/>
    </xf>
    <xf numFmtId="0" fontId="30" fillId="11" borderId="47" xfId="0" applyFont="1" applyFill="1" applyBorder="1" applyAlignment="1">
      <alignment vertical="top" wrapText="1"/>
    </xf>
    <xf numFmtId="0" fontId="30" fillId="12" borderId="57" xfId="0" applyFont="1" applyFill="1" applyBorder="1" applyAlignment="1">
      <alignment vertical="top" wrapText="1"/>
    </xf>
    <xf numFmtId="0" fontId="30" fillId="0" borderId="67" xfId="0" applyFont="1" applyBorder="1"/>
    <xf numFmtId="0" fontId="30" fillId="0" borderId="64" xfId="0" applyFont="1" applyBorder="1"/>
    <xf numFmtId="0" fontId="30" fillId="0" borderId="62" xfId="0" applyFont="1" applyBorder="1"/>
    <xf numFmtId="2" fontId="30" fillId="0" borderId="3" xfId="0" applyNumberFormat="1" applyFont="1" applyFill="1" applyBorder="1"/>
    <xf numFmtId="0" fontId="30" fillId="0" borderId="63" xfId="0" applyFont="1" applyBorder="1"/>
    <xf numFmtId="0" fontId="30" fillId="0" borderId="3" xfId="0" applyFont="1" applyBorder="1"/>
    <xf numFmtId="2" fontId="30" fillId="0" borderId="63" xfId="0" applyNumberFormat="1" applyFont="1" applyBorder="1"/>
    <xf numFmtId="0" fontId="30" fillId="11" borderId="33" xfId="0" applyFont="1" applyFill="1" applyBorder="1" applyAlignment="1">
      <alignment vertical="top" wrapText="1"/>
    </xf>
    <xf numFmtId="0" fontId="30" fillId="14" borderId="33" xfId="0" applyFont="1" applyFill="1" applyBorder="1" applyAlignment="1">
      <alignment vertical="top" wrapText="1"/>
    </xf>
    <xf numFmtId="2" fontId="30" fillId="0" borderId="24" xfId="0" applyNumberFormat="1" applyFont="1" applyFill="1" applyBorder="1"/>
    <xf numFmtId="0" fontId="30" fillId="13" borderId="0" xfId="0" applyFont="1" applyFill="1" applyBorder="1" applyAlignment="1">
      <alignment vertical="top" wrapText="1"/>
    </xf>
    <xf numFmtId="0" fontId="34" fillId="3" borderId="0" xfId="0" applyFont="1" applyFill="1" applyBorder="1" applyAlignment="1">
      <alignment vertical="top" wrapText="1"/>
    </xf>
    <xf numFmtId="2" fontId="30" fillId="0" borderId="43" xfId="0" applyNumberFormat="1" applyFont="1" applyFill="1" applyBorder="1"/>
    <xf numFmtId="2" fontId="32" fillId="0" borderId="43" xfId="0" applyNumberFormat="1" applyFont="1" applyBorder="1"/>
    <xf numFmtId="0" fontId="30" fillId="12" borderId="47" xfId="0" applyFont="1" applyFill="1" applyBorder="1" applyAlignment="1">
      <alignment vertical="top" wrapText="1"/>
    </xf>
    <xf numFmtId="0" fontId="30" fillId="0" borderId="0" xfId="0" applyFont="1" applyFill="1" applyBorder="1" applyAlignment="1">
      <alignment vertical="top" wrapText="1"/>
    </xf>
    <xf numFmtId="9" fontId="30" fillId="0" borderId="39" xfId="2" applyFont="1" applyBorder="1"/>
    <xf numFmtId="9" fontId="33" fillId="0" borderId="57" xfId="0" applyNumberFormat="1" applyFont="1" applyBorder="1"/>
    <xf numFmtId="0" fontId="30" fillId="0" borderId="56" xfId="0" applyFont="1" applyBorder="1"/>
    <xf numFmtId="0" fontId="30" fillId="0" borderId="48" xfId="0" applyFont="1" applyBorder="1"/>
    <xf numFmtId="0" fontId="30" fillId="0" borderId="51" xfId="0" applyFont="1" applyBorder="1"/>
    <xf numFmtId="9" fontId="30" fillId="7" borderId="56" xfId="2" applyFont="1" applyFill="1" applyBorder="1" applyAlignment="1">
      <alignment vertical="top"/>
    </xf>
    <xf numFmtId="9" fontId="30" fillId="8" borderId="56" xfId="2" applyFont="1" applyFill="1" applyBorder="1" applyAlignment="1">
      <alignment vertical="top"/>
    </xf>
    <xf numFmtId="9" fontId="30" fillId="9" borderId="56" xfId="2" applyFont="1" applyFill="1" applyBorder="1" applyAlignment="1">
      <alignment vertical="top"/>
    </xf>
    <xf numFmtId="0" fontId="30" fillId="0" borderId="40" xfId="0" applyFont="1" applyBorder="1"/>
    <xf numFmtId="2" fontId="30" fillId="0" borderId="1" xfId="0" applyNumberFormat="1" applyFont="1" applyFill="1" applyBorder="1"/>
    <xf numFmtId="164" fontId="30" fillId="0" borderId="9" xfId="0" applyNumberFormat="1" applyFont="1" applyFill="1" applyBorder="1"/>
    <xf numFmtId="164" fontId="30" fillId="0" borderId="1" xfId="0" applyNumberFormat="1" applyFont="1" applyFill="1" applyBorder="1"/>
    <xf numFmtId="2" fontId="33" fillId="0" borderId="11" xfId="0" applyNumberFormat="1" applyFont="1" applyBorder="1"/>
    <xf numFmtId="2" fontId="33" fillId="0" borderId="12" xfId="0" applyNumberFormat="1" applyFont="1" applyBorder="1"/>
    <xf numFmtId="0" fontId="30" fillId="0" borderId="22" xfId="0" applyFont="1" applyBorder="1"/>
    <xf numFmtId="0" fontId="30" fillId="0" borderId="29" xfId="0" applyFont="1" applyBorder="1"/>
    <xf numFmtId="0" fontId="30" fillId="0" borderId="21" xfId="0" applyFont="1" applyFill="1" applyBorder="1"/>
    <xf numFmtId="0" fontId="33" fillId="0" borderId="37" xfId="0" applyFont="1" applyBorder="1"/>
    <xf numFmtId="9" fontId="30" fillId="0" borderId="64" xfId="2" applyFont="1" applyBorder="1"/>
    <xf numFmtId="9" fontId="30" fillId="0" borderId="21" xfId="2" applyFont="1" applyBorder="1"/>
    <xf numFmtId="9" fontId="30" fillId="0" borderId="21" xfId="2" applyFont="1" applyFill="1" applyBorder="1"/>
    <xf numFmtId="9" fontId="30" fillId="0" borderId="39" xfId="2" applyFont="1" applyFill="1" applyBorder="1"/>
    <xf numFmtId="9" fontId="33" fillId="0" borderId="37" xfId="2" applyFont="1" applyBorder="1"/>
    <xf numFmtId="9" fontId="33" fillId="0" borderId="57" xfId="2" applyFont="1" applyBorder="1"/>
    <xf numFmtId="1" fontId="0" fillId="0" borderId="39" xfId="0" applyNumberFormat="1" applyBorder="1" applyAlignment="1"/>
    <xf numFmtId="164" fontId="0" fillId="0" borderId="39" xfId="0" applyNumberFormat="1" applyBorder="1" applyAlignment="1"/>
    <xf numFmtId="0" fontId="30" fillId="0" borderId="37" xfId="0" applyFont="1" applyFill="1" applyBorder="1" applyAlignment="1">
      <alignment vertical="top" wrapText="1"/>
    </xf>
    <xf numFmtId="2" fontId="30" fillId="0" borderId="45" xfId="0" applyNumberFormat="1" applyFont="1" applyBorder="1"/>
    <xf numFmtId="0" fontId="30" fillId="5" borderId="23" xfId="0" applyFont="1" applyFill="1" applyBorder="1" applyAlignment="1">
      <alignment vertical="top" wrapText="1"/>
    </xf>
    <xf numFmtId="0" fontId="30" fillId="15" borderId="24" xfId="0" applyFont="1" applyFill="1" applyBorder="1" applyAlignment="1">
      <alignment vertical="top" wrapText="1"/>
    </xf>
    <xf numFmtId="0" fontId="30" fillId="24" borderId="40" xfId="0" applyFont="1" applyFill="1" applyBorder="1" applyAlignment="1">
      <alignment vertical="top" wrapText="1"/>
    </xf>
    <xf numFmtId="0" fontId="30" fillId="0" borderId="56" xfId="0" applyFont="1" applyBorder="1" applyAlignment="1">
      <alignment vertical="top"/>
    </xf>
    <xf numFmtId="0" fontId="30" fillId="0" borderId="33" xfId="0" applyFont="1" applyBorder="1" applyAlignment="1">
      <alignment vertical="top" wrapText="1"/>
    </xf>
    <xf numFmtId="0" fontId="30" fillId="0" borderId="33" xfId="0" applyFont="1" applyBorder="1" applyAlignment="1">
      <alignment vertical="top"/>
    </xf>
    <xf numFmtId="0" fontId="32" fillId="0" borderId="28" xfId="0" applyFont="1" applyBorder="1" applyAlignment="1">
      <alignment wrapText="1"/>
    </xf>
    <xf numFmtId="0" fontId="34" fillId="28" borderId="0" xfId="0" applyFont="1" applyFill="1" applyBorder="1" applyAlignment="1">
      <alignment vertical="top" wrapText="1"/>
    </xf>
    <xf numFmtId="0" fontId="30" fillId="29" borderId="21" xfId="0" applyFont="1" applyFill="1" applyBorder="1"/>
    <xf numFmtId="2" fontId="30" fillId="29" borderId="0" xfId="0" applyNumberFormat="1" applyFont="1" applyFill="1" applyBorder="1"/>
    <xf numFmtId="0" fontId="30" fillId="29" borderId="39" xfId="0" applyFont="1" applyFill="1" applyBorder="1"/>
    <xf numFmtId="0" fontId="30" fillId="29" borderId="67" xfId="0" applyFont="1" applyFill="1" applyBorder="1"/>
    <xf numFmtId="2" fontId="30" fillId="29" borderId="5" xfId="0" applyNumberFormat="1" applyFont="1" applyFill="1" applyBorder="1"/>
    <xf numFmtId="0" fontId="30" fillId="29" borderId="64" xfId="0" applyFont="1" applyFill="1" applyBorder="1"/>
    <xf numFmtId="0" fontId="30" fillId="29" borderId="37" xfId="0" applyFont="1" applyFill="1" applyBorder="1"/>
    <xf numFmtId="2" fontId="30" fillId="29" borderId="13" xfId="0" applyNumberFormat="1" applyFont="1" applyFill="1" applyBorder="1"/>
    <xf numFmtId="0" fontId="30" fillId="29" borderId="57" xfId="0" applyFont="1" applyFill="1" applyBorder="1"/>
    <xf numFmtId="0" fontId="30" fillId="29" borderId="0" xfId="0" applyFont="1" applyFill="1" applyBorder="1"/>
    <xf numFmtId="2" fontId="30" fillId="29" borderId="39" xfId="0" applyNumberFormat="1" applyFont="1" applyFill="1" applyBorder="1"/>
    <xf numFmtId="0" fontId="30" fillId="0" borderId="39" xfId="0" applyFont="1" applyFill="1" applyBorder="1"/>
    <xf numFmtId="2" fontId="30" fillId="0" borderId="39" xfId="0" applyNumberFormat="1" applyFont="1" applyFill="1" applyBorder="1"/>
    <xf numFmtId="0" fontId="9" fillId="0" borderId="0" xfId="0" applyFont="1" applyBorder="1" applyAlignment="1"/>
    <xf numFmtId="0" fontId="9" fillId="0" borderId="5" xfId="0" applyFont="1" applyBorder="1" applyAlignment="1"/>
    <xf numFmtId="0" fontId="0" fillId="0" borderId="13" xfId="0" applyBorder="1" applyAlignment="1"/>
    <xf numFmtId="164" fontId="30" fillId="0" borderId="57" xfId="0" applyNumberFormat="1" applyFont="1" applyBorder="1"/>
    <xf numFmtId="0" fontId="33" fillId="0" borderId="70" xfId="0" applyFont="1" applyBorder="1"/>
    <xf numFmtId="9" fontId="30" fillId="0" borderId="33" xfId="2" applyNumberFormat="1" applyFont="1" applyBorder="1"/>
    <xf numFmtId="0" fontId="9" fillId="0" borderId="70" xfId="0" applyFont="1" applyBorder="1"/>
    <xf numFmtId="0" fontId="30" fillId="0" borderId="47" xfId="0" applyFont="1" applyBorder="1"/>
    <xf numFmtId="0" fontId="30" fillId="0" borderId="33" xfId="0" applyFont="1" applyBorder="1"/>
    <xf numFmtId="0" fontId="0" fillId="30" borderId="47" xfId="0" applyFill="1" applyBorder="1" applyAlignment="1">
      <alignment vertical="top" wrapText="1"/>
    </xf>
    <xf numFmtId="2" fontId="30" fillId="0" borderId="40" xfId="0" applyNumberFormat="1" applyFont="1" applyFill="1" applyBorder="1"/>
    <xf numFmtId="2" fontId="32" fillId="0" borderId="24" xfId="0" applyNumberFormat="1" applyFont="1" applyFill="1" applyBorder="1"/>
    <xf numFmtId="0" fontId="30" fillId="0" borderId="16" xfId="0" applyFont="1" applyBorder="1" applyAlignment="1">
      <alignment horizontal="center" vertical="top" wrapText="1"/>
    </xf>
    <xf numFmtId="9" fontId="30" fillId="8" borderId="56" xfId="2" applyFont="1" applyFill="1" applyBorder="1" applyAlignment="1">
      <alignment horizontal="center" vertical="top"/>
    </xf>
    <xf numFmtId="9" fontId="30" fillId="9" borderId="52" xfId="2" applyFont="1" applyFill="1" applyBorder="1" applyAlignment="1">
      <alignment horizontal="center" vertical="top"/>
    </xf>
    <xf numFmtId="9" fontId="30" fillId="7" borderId="54" xfId="2" applyFont="1" applyFill="1" applyBorder="1" applyAlignment="1">
      <alignment horizontal="center" vertical="top"/>
    </xf>
    <xf numFmtId="9" fontId="30" fillId="8" borderId="53" xfId="2" applyFont="1" applyFill="1" applyBorder="1" applyAlignment="1">
      <alignment horizontal="center" vertical="top"/>
    </xf>
    <xf numFmtId="9" fontId="30" fillId="8" borderId="54" xfId="2" applyFont="1" applyFill="1" applyBorder="1" applyAlignment="1">
      <alignment horizontal="center" vertical="top"/>
    </xf>
    <xf numFmtId="9" fontId="30" fillId="8" borderId="52" xfId="2" applyFont="1" applyFill="1" applyBorder="1" applyAlignment="1">
      <alignment horizontal="center" vertical="top"/>
    </xf>
    <xf numFmtId="9" fontId="30" fillId="7" borderId="54" xfId="0" applyNumberFormat="1" applyFont="1" applyFill="1" applyBorder="1" applyAlignment="1">
      <alignment horizontal="center" vertical="top"/>
    </xf>
    <xf numFmtId="0" fontId="34" fillId="28" borderId="39" xfId="0" applyFont="1" applyFill="1" applyBorder="1" applyAlignment="1">
      <alignment vertical="top" wrapText="1"/>
    </xf>
    <xf numFmtId="0" fontId="30" fillId="0" borderId="28" xfId="0" applyFont="1" applyBorder="1" applyAlignment="1">
      <alignment vertical="top"/>
    </xf>
    <xf numFmtId="0" fontId="30" fillId="15" borderId="28" xfId="0" applyFont="1" applyFill="1" applyBorder="1" applyAlignment="1">
      <alignment vertical="top" wrapText="1"/>
    </xf>
    <xf numFmtId="0" fontId="32" fillId="0" borderId="16" xfId="0" applyFont="1" applyBorder="1" applyAlignment="1">
      <alignment wrapText="1"/>
    </xf>
    <xf numFmtId="2" fontId="32" fillId="17" borderId="16" xfId="0" applyNumberFormat="1" applyFont="1" applyFill="1" applyBorder="1"/>
    <xf numFmtId="2" fontId="30" fillId="0" borderId="43" xfId="0" applyNumberFormat="1" applyFont="1" applyBorder="1"/>
    <xf numFmtId="2" fontId="16" fillId="0" borderId="7" xfId="0" applyNumberFormat="1" applyFont="1" applyBorder="1"/>
    <xf numFmtId="2" fontId="16" fillId="0" borderId="12" xfId="0" applyNumberFormat="1" applyFont="1" applyBorder="1"/>
    <xf numFmtId="0" fontId="51" fillId="0" borderId="0" xfId="0" applyFont="1" applyFill="1" applyAlignment="1">
      <alignment vertical="center"/>
    </xf>
    <xf numFmtId="0" fontId="51" fillId="0" borderId="0" xfId="0" applyFont="1" applyFill="1" applyAlignment="1">
      <alignment horizontal="right" vertical="center"/>
    </xf>
    <xf numFmtId="0" fontId="53" fillId="0" borderId="0" xfId="0" applyFont="1"/>
    <xf numFmtId="0" fontId="53" fillId="26" borderId="0" xfId="0" applyFont="1" applyFill="1" applyBorder="1"/>
    <xf numFmtId="0" fontId="53" fillId="26" borderId="0" xfId="0" applyFont="1" applyFill="1"/>
    <xf numFmtId="0" fontId="53" fillId="0" borderId="0" xfId="0" applyFont="1" applyAlignment="1">
      <alignment vertical="top"/>
    </xf>
    <xf numFmtId="0" fontId="34" fillId="0" borderId="0" xfId="0" applyFont="1" applyAlignment="1">
      <alignment horizontal="left" vertical="center" wrapText="1"/>
    </xf>
    <xf numFmtId="0" fontId="0" fillId="0" borderId="0" xfId="0" applyBorder="1" applyAlignment="1">
      <alignment horizontal="center"/>
    </xf>
    <xf numFmtId="0" fontId="0" fillId="0" borderId="39" xfId="0" applyBorder="1" applyAlignment="1">
      <alignment horizontal="center"/>
    </xf>
    <xf numFmtId="0" fontId="0" fillId="0" borderId="24" xfId="0" applyBorder="1" applyAlignment="1">
      <alignment horizontal="center"/>
    </xf>
    <xf numFmtId="0" fontId="0" fillId="0" borderId="40" xfId="0" applyBorder="1" applyAlignment="1">
      <alignment horizontal="center"/>
    </xf>
    <xf numFmtId="0" fontId="30" fillId="0" borderId="43" xfId="0" applyFont="1" applyBorder="1" applyAlignment="1">
      <alignment horizontal="center" vertical="top" wrapText="1"/>
    </xf>
    <xf numFmtId="0" fontId="0" fillId="0" borderId="0" xfId="0" applyAlignment="1">
      <alignment horizontal="center"/>
    </xf>
    <xf numFmtId="0" fontId="0" fillId="7" borderId="55" xfId="0" applyFill="1" applyBorder="1" applyAlignment="1">
      <alignment wrapText="1"/>
    </xf>
    <xf numFmtId="0" fontId="0" fillId="25" borderId="50" xfId="0" applyFill="1" applyBorder="1" applyAlignment="1">
      <alignment wrapText="1"/>
    </xf>
    <xf numFmtId="0" fontId="10" fillId="0" borderId="0" xfId="0" applyFont="1" applyAlignment="1"/>
    <xf numFmtId="2" fontId="0" fillId="0" borderId="15" xfId="0" applyNumberFormat="1" applyBorder="1" applyAlignment="1">
      <alignment horizontal="left"/>
    </xf>
    <xf numFmtId="2" fontId="8" fillId="0" borderId="15" xfId="0" applyNumberFormat="1" applyFont="1" applyBorder="1" applyAlignment="1">
      <alignment horizontal="left"/>
    </xf>
    <xf numFmtId="2" fontId="8" fillId="0" borderId="15" xfId="0" applyNumberFormat="1" applyFont="1" applyFill="1" applyBorder="1" applyAlignment="1">
      <alignment horizontal="left"/>
    </xf>
    <xf numFmtId="0" fontId="3" fillId="0" borderId="0" xfId="0" applyFont="1" applyFill="1"/>
    <xf numFmtId="164" fontId="3" fillId="0" borderId="0" xfId="0" applyNumberFormat="1" applyFont="1" applyFill="1" applyAlignment="1">
      <alignment horizontal="center"/>
    </xf>
    <xf numFmtId="0" fontId="3" fillId="0" borderId="43" xfId="0" applyFont="1" applyBorder="1"/>
    <xf numFmtId="43" fontId="0" fillId="0" borderId="44" xfId="1" applyNumberFormat="1" applyFont="1" applyBorder="1"/>
    <xf numFmtId="43" fontId="0" fillId="0" borderId="45" xfId="1" applyNumberFormat="1" applyFont="1" applyBorder="1"/>
    <xf numFmtId="0" fontId="3" fillId="0" borderId="17" xfId="0" applyFont="1" applyBorder="1"/>
    <xf numFmtId="0" fontId="3" fillId="0" borderId="21" xfId="0" applyFont="1" applyBorder="1"/>
    <xf numFmtId="0" fontId="0" fillId="0" borderId="0" xfId="0" applyBorder="1" applyAlignment="1">
      <alignment horizontal="center" wrapText="1"/>
    </xf>
    <xf numFmtId="0" fontId="0" fillId="0" borderId="39" xfId="0" applyBorder="1" applyAlignment="1">
      <alignment horizontal="center" wrapText="1"/>
    </xf>
    <xf numFmtId="0" fontId="0" fillId="0" borderId="24" xfId="0" applyBorder="1" applyAlignment="1">
      <alignment horizontal="center" wrapText="1"/>
    </xf>
    <xf numFmtId="0" fontId="0" fillId="0" borderId="40" xfId="0" applyBorder="1" applyAlignment="1">
      <alignment horizontal="center" wrapText="1"/>
    </xf>
    <xf numFmtId="43" fontId="14" fillId="23" borderId="44" xfId="0" applyNumberFormat="1" applyFont="1" applyFill="1" applyBorder="1"/>
    <xf numFmtId="43" fontId="14" fillId="23" borderId="30" xfId="0" applyNumberFormat="1" applyFont="1" applyFill="1" applyBorder="1"/>
    <xf numFmtId="0" fontId="0" fillId="0" borderId="43" xfId="0" applyBorder="1"/>
    <xf numFmtId="0" fontId="3" fillId="0" borderId="27" xfId="0" applyFont="1" applyBorder="1"/>
    <xf numFmtId="0" fontId="3" fillId="0" borderId="33" xfId="0" applyFont="1" applyBorder="1"/>
    <xf numFmtId="0" fontId="3" fillId="0" borderId="28" xfId="0" applyFont="1" applyBorder="1"/>
    <xf numFmtId="0" fontId="3" fillId="0" borderId="16" xfId="0" applyFont="1" applyBorder="1"/>
    <xf numFmtId="9" fontId="3" fillId="0" borderId="5" xfId="2" applyNumberFormat="1" applyFont="1" applyFill="1" applyBorder="1"/>
    <xf numFmtId="9" fontId="3" fillId="0" borderId="7" xfId="2" applyNumberFormat="1" applyFont="1" applyFill="1" applyBorder="1"/>
    <xf numFmtId="43" fontId="0" fillId="23" borderId="17" xfId="0" applyNumberFormat="1" applyFill="1" applyBorder="1"/>
    <xf numFmtId="43" fontId="0" fillId="23" borderId="43" xfId="0" applyNumberFormat="1" applyFill="1" applyBorder="1"/>
    <xf numFmtId="43" fontId="3" fillId="23" borderId="17" xfId="0" applyNumberFormat="1" applyFont="1" applyFill="1" applyBorder="1"/>
    <xf numFmtId="43" fontId="3" fillId="23" borderId="38" xfId="0" applyNumberFormat="1" applyFont="1" applyFill="1" applyBorder="1" applyAlignment="1">
      <alignment wrapText="1"/>
    </xf>
    <xf numFmtId="43" fontId="3" fillId="23" borderId="43" xfId="0" applyNumberFormat="1" applyFont="1" applyFill="1" applyBorder="1"/>
    <xf numFmtId="43" fontId="3" fillId="23" borderId="45" xfId="0" applyNumberFormat="1" applyFont="1" applyFill="1" applyBorder="1" applyAlignment="1">
      <alignment wrapText="1"/>
    </xf>
    <xf numFmtId="43" fontId="0" fillId="23" borderId="38" xfId="0" applyNumberFormat="1" applyFill="1" applyBorder="1"/>
    <xf numFmtId="43" fontId="0" fillId="23" borderId="45" xfId="0" applyNumberFormat="1" applyFill="1" applyBorder="1"/>
    <xf numFmtId="0" fontId="3" fillId="0" borderId="39" xfId="0" applyFont="1" applyBorder="1" applyAlignment="1">
      <alignment wrapText="1"/>
    </xf>
    <xf numFmtId="0" fontId="3" fillId="0" borderId="39" xfId="0" applyFont="1" applyBorder="1"/>
    <xf numFmtId="0" fontId="0" fillId="0" borderId="43" xfId="0" applyFill="1" applyBorder="1"/>
    <xf numFmtId="2" fontId="5" fillId="23" borderId="43" xfId="0" applyNumberFormat="1" applyFont="1" applyFill="1" applyBorder="1"/>
    <xf numFmtId="2" fontId="3" fillId="23" borderId="44" xfId="0" applyNumberFormat="1" applyFont="1" applyFill="1" applyBorder="1"/>
    <xf numFmtId="2" fontId="3" fillId="23" borderId="45" xfId="0" applyNumberFormat="1" applyFont="1" applyFill="1" applyBorder="1"/>
    <xf numFmtId="0" fontId="0" fillId="0" borderId="16" xfId="0" applyBorder="1"/>
    <xf numFmtId="2" fontId="30" fillId="0" borderId="40" xfId="0" applyNumberFormat="1" applyFont="1" applyBorder="1"/>
    <xf numFmtId="0" fontId="30" fillId="28" borderId="47" xfId="0" applyFont="1" applyFill="1" applyBorder="1" applyAlignment="1">
      <alignment vertical="top" wrapText="1"/>
    </xf>
    <xf numFmtId="9" fontId="30" fillId="9" borderId="52" xfId="2" applyFont="1" applyFill="1" applyBorder="1" applyAlignment="1">
      <alignment vertical="top"/>
    </xf>
    <xf numFmtId="9" fontId="30" fillId="8" borderId="52" xfId="2" applyFont="1" applyFill="1" applyBorder="1" applyAlignment="1">
      <alignment vertical="top"/>
    </xf>
    <xf numFmtId="9" fontId="30" fillId="8" borderId="53" xfId="2" applyFont="1" applyFill="1" applyBorder="1" applyAlignment="1">
      <alignment vertical="top"/>
    </xf>
    <xf numFmtId="9" fontId="30" fillId="8" borderId="54" xfId="2" applyFont="1" applyFill="1" applyBorder="1" applyAlignment="1">
      <alignment vertical="top"/>
    </xf>
    <xf numFmtId="9" fontId="30" fillId="9" borderId="53" xfId="2" applyFont="1" applyFill="1" applyBorder="1" applyAlignment="1">
      <alignment vertical="top"/>
    </xf>
    <xf numFmtId="0" fontId="30" fillId="0" borderId="47" xfId="0" applyFont="1" applyBorder="1" applyAlignment="1">
      <alignment vertical="top"/>
    </xf>
    <xf numFmtId="0" fontId="30" fillId="0" borderId="47" xfId="0" applyFont="1" applyBorder="1" applyAlignment="1">
      <alignment vertical="top" wrapText="1"/>
    </xf>
    <xf numFmtId="0" fontId="30" fillId="10" borderId="13" xfId="0" applyFont="1" applyFill="1" applyBorder="1" applyAlignment="1">
      <alignment vertical="top" wrapText="1"/>
    </xf>
    <xf numFmtId="0" fontId="31" fillId="0" borderId="1" xfId="0" applyFont="1" applyBorder="1"/>
    <xf numFmtId="0" fontId="31" fillId="0" borderId="0" xfId="0" applyFont="1" applyBorder="1"/>
    <xf numFmtId="0" fontId="31" fillId="0" borderId="9" xfId="0" applyFont="1" applyBorder="1"/>
    <xf numFmtId="0" fontId="30" fillId="0" borderId="1" xfId="0" applyFont="1" applyBorder="1"/>
    <xf numFmtId="0" fontId="30" fillId="0" borderId="0" xfId="0" applyFont="1" applyFill="1" applyBorder="1"/>
    <xf numFmtId="43" fontId="55" fillId="0" borderId="1" xfId="0" applyNumberFormat="1" applyFont="1" applyBorder="1"/>
    <xf numFmtId="43" fontId="31" fillId="0" borderId="0" xfId="0" applyNumberFormat="1" applyFont="1" applyBorder="1"/>
    <xf numFmtId="43" fontId="55" fillId="0" borderId="9" xfId="0" applyNumberFormat="1" applyFont="1" applyBorder="1"/>
    <xf numFmtId="2" fontId="32" fillId="17" borderId="23" xfId="0" applyNumberFormat="1" applyFont="1" applyFill="1" applyBorder="1"/>
    <xf numFmtId="9" fontId="30" fillId="7" borderId="54" xfId="2" applyFont="1" applyFill="1" applyBorder="1" applyAlignment="1">
      <alignment vertical="top"/>
    </xf>
    <xf numFmtId="0" fontId="30" fillId="24" borderId="60" xfId="0" applyFont="1" applyFill="1" applyBorder="1" applyAlignment="1">
      <alignment vertical="top"/>
    </xf>
    <xf numFmtId="0" fontId="56" fillId="0" borderId="0" xfId="0" applyFont="1"/>
    <xf numFmtId="0" fontId="57" fillId="0" borderId="0" xfId="0" applyFont="1"/>
    <xf numFmtId="43" fontId="55" fillId="0" borderId="0" xfId="0" applyNumberFormat="1" applyFont="1" applyBorder="1"/>
    <xf numFmtId="2" fontId="35" fillId="19" borderId="30" xfId="0" applyNumberFormat="1" applyFont="1" applyFill="1" applyBorder="1" applyAlignment="1"/>
    <xf numFmtId="2" fontId="30" fillId="0" borderId="23" xfId="0" applyNumberFormat="1" applyFont="1" applyFill="1" applyBorder="1"/>
    <xf numFmtId="0" fontId="30" fillId="24" borderId="40" xfId="0" applyFont="1" applyFill="1" applyBorder="1" applyAlignment="1">
      <alignment vertical="top"/>
    </xf>
    <xf numFmtId="2" fontId="35" fillId="0" borderId="30" xfId="0" applyNumberFormat="1" applyFont="1" applyFill="1" applyBorder="1" applyAlignment="1"/>
    <xf numFmtId="2" fontId="35" fillId="17" borderId="30" xfId="0" applyNumberFormat="1" applyFont="1" applyFill="1" applyBorder="1" applyAlignment="1"/>
    <xf numFmtId="9" fontId="30" fillId="7" borderId="53" xfId="0" applyNumberFormat="1" applyFont="1" applyFill="1" applyBorder="1" applyAlignment="1">
      <alignment vertical="top"/>
    </xf>
    <xf numFmtId="2" fontId="32" fillId="0" borderId="24" xfId="0" applyNumberFormat="1" applyFont="1" applyBorder="1"/>
    <xf numFmtId="0" fontId="30" fillId="16" borderId="28" xfId="0" applyFont="1" applyFill="1" applyBorder="1" applyAlignment="1">
      <alignment vertical="top" wrapText="1"/>
    </xf>
    <xf numFmtId="2" fontId="32" fillId="0" borderId="28" xfId="0" applyNumberFormat="1" applyFont="1" applyBorder="1"/>
    <xf numFmtId="0" fontId="30" fillId="0" borderId="16" xfId="0" applyFont="1" applyFill="1" applyBorder="1" applyAlignment="1">
      <alignment horizontal="center" vertical="top" wrapText="1"/>
    </xf>
    <xf numFmtId="0" fontId="34" fillId="14" borderId="62" xfId="0" applyFont="1" applyFill="1" applyBorder="1" applyAlignment="1">
      <alignment vertical="top" wrapText="1"/>
    </xf>
    <xf numFmtId="0" fontId="30" fillId="14" borderId="62" xfId="0" applyFont="1" applyFill="1" applyBorder="1" applyAlignment="1">
      <alignment vertical="top" wrapText="1"/>
    </xf>
    <xf numFmtId="0" fontId="30" fillId="14" borderId="63" xfId="0" applyFont="1" applyFill="1" applyBorder="1" applyAlignment="1">
      <alignment vertical="top" wrapText="1"/>
    </xf>
    <xf numFmtId="0" fontId="34" fillId="28" borderId="3" xfId="0" applyFont="1" applyFill="1" applyBorder="1" applyAlignment="1">
      <alignment vertical="top" wrapText="1"/>
    </xf>
    <xf numFmtId="0" fontId="34" fillId="3" borderId="3" xfId="0" applyFont="1" applyFill="1" applyBorder="1" applyAlignment="1">
      <alignment vertical="top" wrapText="1"/>
    </xf>
    <xf numFmtId="0" fontId="30" fillId="13" borderId="63" xfId="0" applyFont="1" applyFill="1" applyBorder="1" applyAlignment="1">
      <alignment vertical="top" wrapText="1"/>
    </xf>
    <xf numFmtId="0" fontId="30" fillId="14" borderId="3" xfId="0" applyFont="1" applyFill="1" applyBorder="1" applyAlignment="1">
      <alignment vertical="top" wrapText="1"/>
    </xf>
    <xf numFmtId="0" fontId="30" fillId="15" borderId="23" xfId="0" applyFont="1" applyFill="1" applyBorder="1" applyAlignment="1">
      <alignment vertical="top" wrapText="1"/>
    </xf>
    <xf numFmtId="0" fontId="30" fillId="11" borderId="62" xfId="0" applyFont="1" applyFill="1" applyBorder="1" applyAlignment="1">
      <alignment vertical="top" wrapText="1"/>
    </xf>
    <xf numFmtId="0" fontId="30" fillId="11" borderId="63" xfId="0" applyFont="1" applyFill="1" applyBorder="1" applyAlignment="1">
      <alignment vertical="top" wrapText="1"/>
    </xf>
    <xf numFmtId="0" fontId="30" fillId="11" borderId="3" xfId="0" applyFont="1" applyFill="1" applyBorder="1" applyAlignment="1">
      <alignment vertical="top" wrapText="1"/>
    </xf>
    <xf numFmtId="0" fontId="30" fillId="12" borderId="3" xfId="0" applyFont="1" applyFill="1" applyBorder="1" applyAlignment="1">
      <alignment vertical="top" wrapText="1"/>
    </xf>
    <xf numFmtId="0" fontId="30" fillId="10" borderId="3" xfId="0" applyFont="1" applyFill="1" applyBorder="1" applyAlignment="1">
      <alignment vertical="top" wrapText="1"/>
    </xf>
    <xf numFmtId="43" fontId="34" fillId="0" borderId="1" xfId="0" applyNumberFormat="1" applyFont="1" applyBorder="1"/>
    <xf numFmtId="43" fontId="30" fillId="0" borderId="0" xfId="0" applyNumberFormat="1" applyFont="1" applyBorder="1"/>
    <xf numFmtId="43" fontId="34" fillId="0" borderId="9" xfId="0" applyNumberFormat="1" applyFont="1" applyBorder="1"/>
    <xf numFmtId="43" fontId="55" fillId="0" borderId="11" xfId="0" applyNumberFormat="1" applyFont="1" applyBorder="1"/>
    <xf numFmtId="43" fontId="31" fillId="0" borderId="13" xfId="0" applyNumberFormat="1" applyFont="1" applyBorder="1"/>
    <xf numFmtId="43" fontId="55" fillId="0" borderId="12" xfId="0" applyNumberFormat="1" applyFont="1" applyBorder="1"/>
    <xf numFmtId="43" fontId="55" fillId="0" borderId="13" xfId="0" applyNumberFormat="1" applyFont="1" applyBorder="1"/>
    <xf numFmtId="0" fontId="31" fillId="0" borderId="0" xfId="0" applyFont="1" applyFill="1" applyBorder="1"/>
    <xf numFmtId="43" fontId="58" fillId="23" borderId="11" xfId="0" applyNumberFormat="1" applyFont="1" applyFill="1" applyBorder="1"/>
    <xf numFmtId="43" fontId="58" fillId="23" borderId="13" xfId="0" applyNumberFormat="1" applyFont="1" applyFill="1" applyBorder="1"/>
    <xf numFmtId="43" fontId="56" fillId="23" borderId="13" xfId="0" applyNumberFormat="1" applyFont="1" applyFill="1" applyBorder="1"/>
    <xf numFmtId="43" fontId="58" fillId="23" borderId="12" xfId="0" applyNumberFormat="1" applyFont="1" applyFill="1" applyBorder="1"/>
    <xf numFmtId="0" fontId="34" fillId="28" borderId="62" xfId="0" applyFont="1" applyFill="1" applyBorder="1" applyAlignment="1">
      <alignment vertical="top" wrapText="1"/>
    </xf>
    <xf numFmtId="0" fontId="14" fillId="0" borderId="0" xfId="0" applyFont="1" applyFill="1"/>
    <xf numFmtId="2" fontId="0" fillId="23" borderId="0" xfId="0" applyNumberFormat="1" applyFill="1"/>
    <xf numFmtId="0" fontId="30" fillId="0" borderId="0" xfId="0" applyFont="1" applyAlignment="1">
      <alignment horizontal="center"/>
    </xf>
    <xf numFmtId="2" fontId="56" fillId="23" borderId="0" xfId="0" applyNumberFormat="1" applyFont="1" applyFill="1"/>
    <xf numFmtId="2" fontId="30" fillId="23" borderId="0" xfId="0" applyNumberFormat="1" applyFont="1" applyFill="1"/>
    <xf numFmtId="43" fontId="0" fillId="0" borderId="5" xfId="0" applyNumberFormat="1" applyBorder="1"/>
    <xf numFmtId="2" fontId="0" fillId="0" borderId="5" xfId="0" applyNumberFormat="1" applyBorder="1"/>
    <xf numFmtId="43" fontId="0" fillId="0" borderId="7" xfId="0" applyNumberFormat="1" applyBorder="1"/>
    <xf numFmtId="43" fontId="0" fillId="0" borderId="9" xfId="0" applyNumberFormat="1" applyBorder="1"/>
    <xf numFmtId="43" fontId="0" fillId="0" borderId="13" xfId="0" applyNumberFormat="1" applyBorder="1"/>
    <xf numFmtId="43" fontId="0" fillId="0" borderId="12" xfId="0" applyNumberFormat="1" applyBorder="1"/>
    <xf numFmtId="2" fontId="0" fillId="0" borderId="7" xfId="0" applyNumberFormat="1" applyBorder="1"/>
    <xf numFmtId="2" fontId="0" fillId="0" borderId="12" xfId="0" applyNumberFormat="1" applyBorder="1"/>
    <xf numFmtId="2" fontId="0" fillId="0" borderId="9" xfId="0" applyNumberFormat="1" applyBorder="1"/>
    <xf numFmtId="0" fontId="0" fillId="7" borderId="0" xfId="0" applyFill="1"/>
    <xf numFmtId="0" fontId="10" fillId="0" borderId="0" xfId="0" applyFont="1" applyFill="1" applyBorder="1" applyAlignment="1">
      <alignment horizontal="left"/>
    </xf>
    <xf numFmtId="0" fontId="8" fillId="0" borderId="14" xfId="0" applyFont="1" applyBorder="1" applyAlignment="1">
      <alignment vertical="center"/>
    </xf>
    <xf numFmtId="0" fontId="0" fillId="0" borderId="14" xfId="0" applyBorder="1" applyAlignment="1">
      <alignment horizontal="left" vertical="top"/>
    </xf>
    <xf numFmtId="0" fontId="0" fillId="0" borderId="14" xfId="0" applyFill="1" applyBorder="1" applyAlignment="1">
      <alignment horizontal="left" vertical="top"/>
    </xf>
    <xf numFmtId="0" fontId="3" fillId="0" borderId="19" xfId="0" applyFont="1" applyBorder="1" applyAlignment="1">
      <alignment horizontal="center" vertical="center"/>
    </xf>
    <xf numFmtId="165" fontId="3" fillId="0" borderId="19" xfId="0" applyNumberFormat="1" applyFont="1" applyBorder="1" applyAlignment="1">
      <alignment vertical="center"/>
    </xf>
    <xf numFmtId="165" fontId="3" fillId="0" borderId="20" xfId="0" applyNumberFormat="1" applyFont="1" applyBorder="1" applyAlignment="1">
      <alignment vertical="center"/>
    </xf>
    <xf numFmtId="0" fontId="3" fillId="0" borderId="25" xfId="0" applyFont="1" applyBorder="1" applyAlignment="1">
      <alignment horizontal="center" vertical="center"/>
    </xf>
    <xf numFmtId="165" fontId="3" fillId="0" borderId="26" xfId="0" applyNumberFormat="1" applyFont="1" applyBorder="1" applyAlignment="1">
      <alignment vertical="center"/>
    </xf>
    <xf numFmtId="0" fontId="0" fillId="0" borderId="52" xfId="0" applyFill="1" applyBorder="1"/>
    <xf numFmtId="0" fontId="0" fillId="0" borderId="59" xfId="0" applyFill="1" applyBorder="1"/>
    <xf numFmtId="0" fontId="3" fillId="0" borderId="71" xfId="0" applyFont="1" applyBorder="1" applyAlignment="1">
      <alignment vertical="center"/>
    </xf>
    <xf numFmtId="0" fontId="0" fillId="0" borderId="72" xfId="0" applyBorder="1" applyAlignment="1">
      <alignment vertical="center"/>
    </xf>
    <xf numFmtId="0" fontId="10" fillId="0" borderId="17" xfId="0" applyFont="1" applyBorder="1" applyAlignment="1">
      <alignment horizontal="left"/>
    </xf>
    <xf numFmtId="0" fontId="10" fillId="0" borderId="30" xfId="0" applyFont="1" applyBorder="1" applyAlignment="1">
      <alignment horizontal="left"/>
    </xf>
    <xf numFmtId="0" fontId="10" fillId="0" borderId="30" xfId="0" applyFont="1" applyBorder="1" applyAlignment="1"/>
    <xf numFmtId="0" fontId="10" fillId="0" borderId="38" xfId="0" applyFont="1" applyBorder="1" applyAlignment="1">
      <alignment horizontal="left"/>
    </xf>
    <xf numFmtId="165" fontId="0" fillId="0" borderId="56" xfId="0" applyNumberFormat="1" applyFill="1" applyBorder="1"/>
    <xf numFmtId="165" fontId="0" fillId="0" borderId="51" xfId="0" applyNumberFormat="1" applyFill="1" applyBorder="1"/>
    <xf numFmtId="0" fontId="56" fillId="0" borderId="0" xfId="0" applyFont="1" applyFill="1"/>
    <xf numFmtId="0" fontId="31" fillId="0" borderId="0" xfId="0" applyFont="1" applyFill="1"/>
    <xf numFmtId="164" fontId="30" fillId="0" borderId="0" xfId="0" applyNumberFormat="1" applyFont="1"/>
    <xf numFmtId="2" fontId="31" fillId="0" borderId="0" xfId="0" applyNumberFormat="1" applyFont="1"/>
    <xf numFmtId="164" fontId="31" fillId="0" borderId="0" xfId="0" applyNumberFormat="1" applyFont="1"/>
    <xf numFmtId="0" fontId="52" fillId="0" borderId="0" xfId="0" applyFont="1" applyFill="1"/>
    <xf numFmtId="164" fontId="30" fillId="0" borderId="0" xfId="0" applyNumberFormat="1" applyFont="1" applyFill="1"/>
    <xf numFmtId="165" fontId="30" fillId="0" borderId="0" xfId="0" applyNumberFormat="1" applyFont="1" applyFill="1"/>
    <xf numFmtId="2" fontId="31" fillId="0" borderId="0" xfId="0" applyNumberFormat="1" applyFont="1" applyFill="1"/>
    <xf numFmtId="164" fontId="31" fillId="0" borderId="0" xfId="0" applyNumberFormat="1" applyFont="1" applyFill="1"/>
    <xf numFmtId="2" fontId="30" fillId="0" borderId="0" xfId="0" applyNumberFormat="1" applyFont="1" applyFill="1"/>
    <xf numFmtId="2" fontId="32" fillId="0" borderId="0" xfId="0" applyNumberFormat="1" applyFont="1"/>
    <xf numFmtId="0" fontId="32" fillId="0" borderId="0" xfId="0" applyFont="1" applyFill="1"/>
    <xf numFmtId="164" fontId="32" fillId="0" borderId="0" xfId="0" applyNumberFormat="1" applyFont="1" applyFill="1"/>
    <xf numFmtId="0" fontId="31" fillId="0" borderId="6" xfId="0" applyFont="1" applyFill="1" applyBorder="1"/>
    <xf numFmtId="0" fontId="33" fillId="0" borderId="1" xfId="0" applyFont="1" applyFill="1" applyBorder="1"/>
    <xf numFmtId="2" fontId="33" fillId="0" borderId="0" xfId="0" applyNumberFormat="1" applyFont="1" applyFill="1" applyBorder="1"/>
    <xf numFmtId="2" fontId="33" fillId="0" borderId="9" xfId="0" applyNumberFormat="1" applyFont="1" applyFill="1" applyBorder="1"/>
    <xf numFmtId="0" fontId="32" fillId="0" borderId="1" xfId="0" applyFont="1" applyFill="1" applyBorder="1"/>
    <xf numFmtId="2" fontId="31" fillId="0" borderId="0" xfId="0" applyNumberFormat="1" applyFont="1" applyFill="1" applyBorder="1"/>
    <xf numFmtId="2" fontId="31" fillId="0" borderId="9" xfId="0" applyNumberFormat="1" applyFont="1" applyFill="1" applyBorder="1"/>
    <xf numFmtId="0" fontId="32" fillId="0" borderId="11" xfId="0" applyFont="1" applyFill="1" applyBorder="1"/>
    <xf numFmtId="2" fontId="31" fillId="0" borderId="13" xfId="0" applyNumberFormat="1" applyFont="1" applyFill="1" applyBorder="1"/>
    <xf numFmtId="2" fontId="31" fillId="0" borderId="12" xfId="0" applyNumberFormat="1" applyFont="1" applyFill="1" applyBorder="1"/>
    <xf numFmtId="0" fontId="32" fillId="0" borderId="5" xfId="0" applyFont="1" applyFill="1" applyBorder="1" applyAlignment="1">
      <alignment horizontal="center"/>
    </xf>
    <xf numFmtId="164" fontId="32" fillId="0" borderId="7" xfId="0" applyNumberFormat="1" applyFont="1" applyFill="1" applyBorder="1" applyAlignment="1">
      <alignment horizontal="center"/>
    </xf>
    <xf numFmtId="0" fontId="61" fillId="0" borderId="0" xfId="0" applyFont="1" applyFill="1"/>
    <xf numFmtId="0" fontId="31" fillId="0" borderId="2" xfId="0" applyFont="1" applyBorder="1"/>
    <xf numFmtId="9" fontId="34" fillId="0" borderId="2" xfId="0" applyNumberFormat="1" applyFont="1" applyBorder="1"/>
    <xf numFmtId="9" fontId="30" fillId="0" borderId="3" xfId="0" applyNumberFormat="1" applyFont="1" applyBorder="1"/>
    <xf numFmtId="9" fontId="34" fillId="0" borderId="4" xfId="0" applyNumberFormat="1" applyFont="1" applyBorder="1"/>
    <xf numFmtId="9" fontId="34" fillId="0" borderId="3" xfId="0" applyNumberFormat="1" applyFont="1" applyBorder="1"/>
    <xf numFmtId="0" fontId="31" fillId="0" borderId="3" xfId="0" applyFont="1" applyBorder="1"/>
    <xf numFmtId="0" fontId="31" fillId="0" borderId="4" xfId="0" applyFont="1" applyBorder="1"/>
    <xf numFmtId="0" fontId="31" fillId="0" borderId="15" xfId="0" applyFont="1" applyBorder="1"/>
    <xf numFmtId="165" fontId="10" fillId="0" borderId="13" xfId="0" applyNumberFormat="1" applyFont="1" applyBorder="1"/>
    <xf numFmtId="165" fontId="49" fillId="0" borderId="13" xfId="0" applyNumberFormat="1" applyFont="1" applyBorder="1"/>
    <xf numFmtId="0" fontId="60" fillId="0" borderId="0" xfId="0" applyFont="1" applyFill="1"/>
    <xf numFmtId="165" fontId="30" fillId="0" borderId="39" xfId="0" applyNumberFormat="1" applyFont="1" applyFill="1" applyBorder="1"/>
    <xf numFmtId="0" fontId="30" fillId="26" borderId="0" xfId="0" applyFont="1" applyFill="1"/>
    <xf numFmtId="0" fontId="31" fillId="0" borderId="2" xfId="0" applyFont="1" applyFill="1" applyBorder="1"/>
    <xf numFmtId="165" fontId="3" fillId="0" borderId="0" xfId="0" applyNumberFormat="1" applyFont="1"/>
    <xf numFmtId="0" fontId="5" fillId="0" borderId="0" xfId="0" applyFont="1" applyFill="1"/>
    <xf numFmtId="0" fontId="16" fillId="0" borderId="0" xfId="0" applyFont="1" applyFill="1"/>
    <xf numFmtId="0" fontId="0" fillId="0" borderId="11" xfId="0" applyBorder="1" applyAlignment="1">
      <alignment vertical="top"/>
    </xf>
    <xf numFmtId="0" fontId="0" fillId="0" borderId="12" xfId="0" applyBorder="1" applyAlignment="1">
      <alignment vertical="top"/>
    </xf>
    <xf numFmtId="0" fontId="0" fillId="0" borderId="13" xfId="0" applyBorder="1" applyAlignment="1">
      <alignment vertical="top"/>
    </xf>
    <xf numFmtId="0" fontId="0" fillId="0" borderId="13" xfId="0" applyBorder="1" applyAlignment="1">
      <alignment vertical="top" wrapText="1"/>
    </xf>
    <xf numFmtId="0" fontId="64" fillId="0" borderId="40" xfId="0" applyFont="1" applyBorder="1" applyAlignment="1">
      <alignment vertical="center" wrapText="1"/>
    </xf>
    <xf numFmtId="0" fontId="64" fillId="0" borderId="39" xfId="0" applyFont="1" applyBorder="1" applyAlignment="1">
      <alignment vertical="center" wrapText="1"/>
    </xf>
    <xf numFmtId="0" fontId="65" fillId="0" borderId="0" xfId="0" applyFont="1" applyAlignment="1">
      <alignment vertical="center"/>
    </xf>
    <xf numFmtId="0" fontId="62" fillId="0" borderId="0" xfId="0" applyFont="1" applyAlignment="1">
      <alignment vertical="center"/>
    </xf>
    <xf numFmtId="0" fontId="53" fillId="0" borderId="0" xfId="0" applyFont="1" applyFill="1"/>
    <xf numFmtId="0" fontId="54" fillId="0" borderId="0" xfId="0" applyFont="1"/>
    <xf numFmtId="168" fontId="30" fillId="0" borderId="0" xfId="0" applyNumberFormat="1" applyFont="1"/>
    <xf numFmtId="172" fontId="0" fillId="0" borderId="0" xfId="0" applyNumberFormat="1"/>
    <xf numFmtId="0" fontId="4" fillId="0" borderId="0" xfId="0" applyFont="1" applyFill="1" applyAlignment="1">
      <alignment vertical="top" wrapText="1"/>
    </xf>
    <xf numFmtId="0" fontId="30" fillId="0" borderId="1" xfId="0" applyFont="1" applyFill="1" applyBorder="1"/>
    <xf numFmtId="0" fontId="0" fillId="0" borderId="0" xfId="0" applyAlignment="1">
      <alignment horizontal="center"/>
    </xf>
    <xf numFmtId="0" fontId="30" fillId="0" borderId="43" xfId="0" applyFont="1" applyBorder="1" applyAlignment="1">
      <alignment horizontal="center" vertical="top" wrapText="1"/>
    </xf>
    <xf numFmtId="2" fontId="35" fillId="17" borderId="0" xfId="0" applyNumberFormat="1" applyFont="1" applyFill="1" applyBorder="1" applyAlignment="1"/>
    <xf numFmtId="2" fontId="32" fillId="0" borderId="33" xfId="0" applyNumberFormat="1" applyFont="1" applyBorder="1"/>
    <xf numFmtId="2" fontId="32" fillId="0" borderId="70" xfId="0" applyNumberFormat="1" applyFont="1" applyBorder="1"/>
    <xf numFmtId="2" fontId="32" fillId="0" borderId="64" xfId="0" applyNumberFormat="1" applyFont="1" applyBorder="1"/>
    <xf numFmtId="2" fontId="32" fillId="0" borderId="40" xfId="0" applyNumberFormat="1" applyFont="1" applyBorder="1"/>
    <xf numFmtId="2" fontId="32" fillId="17" borderId="43" xfId="0" applyNumberFormat="1" applyFont="1" applyFill="1" applyBorder="1"/>
    <xf numFmtId="2" fontId="30" fillId="0" borderId="45" xfId="0" applyNumberFormat="1" applyFont="1" applyFill="1" applyBorder="1"/>
    <xf numFmtId="2" fontId="32" fillId="0" borderId="44" xfId="0" applyNumberFormat="1" applyFont="1" applyFill="1" applyBorder="1"/>
    <xf numFmtId="2" fontId="32" fillId="0" borderId="44" xfId="0" applyNumberFormat="1" applyFont="1" applyBorder="1"/>
    <xf numFmtId="2" fontId="32" fillId="0" borderId="16" xfId="0" applyNumberFormat="1" applyFont="1" applyBorder="1"/>
    <xf numFmtId="0" fontId="30" fillId="6" borderId="23" xfId="0" applyFont="1" applyFill="1" applyBorder="1" applyAlignment="1">
      <alignment vertical="top" wrapText="1"/>
    </xf>
    <xf numFmtId="0" fontId="30" fillId="6" borderId="40" xfId="0" applyFont="1" applyFill="1" applyBorder="1" applyAlignment="1">
      <alignment vertical="top" wrapText="1"/>
    </xf>
    <xf numFmtId="0" fontId="30" fillId="6" borderId="24" xfId="0" applyFont="1" applyFill="1" applyBorder="1" applyAlignment="1">
      <alignment vertical="top" wrapText="1"/>
    </xf>
    <xf numFmtId="2" fontId="35" fillId="20" borderId="0" xfId="0" applyNumberFormat="1" applyFont="1" applyFill="1" applyBorder="1" applyAlignment="1"/>
    <xf numFmtId="0" fontId="30" fillId="6" borderId="28" xfId="0" applyFont="1" applyFill="1" applyBorder="1" applyAlignment="1">
      <alignment vertical="top" wrapText="1"/>
    </xf>
    <xf numFmtId="0" fontId="30" fillId="5" borderId="0" xfId="0" applyFont="1" applyFill="1" applyBorder="1" applyAlignment="1">
      <alignment vertical="top" wrapText="1"/>
    </xf>
    <xf numFmtId="0" fontId="34" fillId="28" borderId="21" xfId="0" applyFont="1" applyFill="1" applyBorder="1" applyAlignment="1">
      <alignment vertical="top" wrapText="1"/>
    </xf>
    <xf numFmtId="0" fontId="30" fillId="24" borderId="39" xfId="0" applyFont="1" applyFill="1" applyBorder="1" applyAlignment="1">
      <alignment vertical="top" wrapText="1"/>
    </xf>
    <xf numFmtId="9" fontId="30" fillId="9" borderId="53" xfId="2" applyFont="1" applyFill="1" applyBorder="1" applyAlignment="1">
      <alignment horizontal="center" vertical="top"/>
    </xf>
    <xf numFmtId="2" fontId="0" fillId="0" borderId="0" xfId="0" applyNumberFormat="1" applyFill="1" applyBorder="1"/>
    <xf numFmtId="43" fontId="0" fillId="0" borderId="0" xfId="0" applyNumberFormat="1" applyFill="1" applyBorder="1"/>
    <xf numFmtId="164" fontId="0" fillId="0" borderId="0" xfId="0" applyNumberFormat="1" applyAlignment="1">
      <alignment vertical="top"/>
    </xf>
    <xf numFmtId="166" fontId="3" fillId="0" borderId="0" xfId="0" applyNumberFormat="1" applyFont="1" applyBorder="1"/>
    <xf numFmtId="1" fontId="3" fillId="0" borderId="0" xfId="0" applyNumberFormat="1" applyFont="1" applyBorder="1"/>
    <xf numFmtId="0" fontId="67" fillId="0" borderId="0" xfId="0" applyFont="1" applyAlignment="1">
      <alignment horizontal="left" vertical="top"/>
    </xf>
    <xf numFmtId="0" fontId="68" fillId="0" borderId="0" xfId="0" applyFont="1" applyAlignment="1">
      <alignment horizontal="left" vertical="top"/>
    </xf>
    <xf numFmtId="166" fontId="0" fillId="0" borderId="1" xfId="1" applyNumberFormat="1" applyFont="1" applyBorder="1" applyAlignment="1">
      <alignment vertical="top"/>
    </xf>
    <xf numFmtId="166" fontId="0" fillId="0" borderId="9" xfId="1" applyNumberFormat="1" applyFont="1" applyBorder="1" applyAlignment="1">
      <alignment vertical="top"/>
    </xf>
    <xf numFmtId="166" fontId="3" fillId="0" borderId="4" xfId="1" applyNumberFormat="1" applyFont="1" applyBorder="1"/>
    <xf numFmtId="166" fontId="0" fillId="5" borderId="0" xfId="1" applyNumberFormat="1" applyFont="1" applyFill="1"/>
    <xf numFmtId="164" fontId="9" fillId="0" borderId="0" xfId="0" applyNumberFormat="1" applyFont="1"/>
    <xf numFmtId="0" fontId="9" fillId="0" borderId="0" xfId="0" applyFont="1" applyFill="1"/>
    <xf numFmtId="2" fontId="9" fillId="0" borderId="0" xfId="0" applyNumberFormat="1" applyFont="1" applyFill="1"/>
    <xf numFmtId="164" fontId="9" fillId="0" borderId="0" xfId="0" applyNumberFormat="1" applyFont="1" applyFill="1"/>
    <xf numFmtId="0" fontId="9" fillId="0" borderId="0" xfId="0" applyFont="1" applyFill="1" applyBorder="1"/>
    <xf numFmtId="164" fontId="0" fillId="0" borderId="5" xfId="0" applyNumberFormat="1" applyFill="1" applyBorder="1" applyAlignment="1">
      <alignment vertical="top"/>
    </xf>
    <xf numFmtId="164" fontId="0" fillId="0" borderId="13" xfId="0" applyNumberFormat="1" applyFill="1" applyBorder="1"/>
    <xf numFmtId="164" fontId="0" fillId="0" borderId="5" xfId="0" applyNumberFormat="1" applyFill="1" applyBorder="1"/>
    <xf numFmtId="0" fontId="9" fillId="0" borderId="6" xfId="0" applyFont="1" applyFill="1" applyBorder="1"/>
    <xf numFmtId="0" fontId="9" fillId="0" borderId="5" xfId="0" applyFont="1" applyFill="1" applyBorder="1"/>
    <xf numFmtId="164" fontId="9" fillId="0" borderId="5" xfId="0" applyNumberFormat="1" applyFont="1" applyFill="1" applyBorder="1"/>
    <xf numFmtId="0" fontId="3" fillId="0" borderId="1" xfId="0" applyFont="1" applyFill="1" applyBorder="1"/>
    <xf numFmtId="0" fontId="9" fillId="0" borderId="11" xfId="0" applyFont="1" applyFill="1" applyBorder="1"/>
    <xf numFmtId="0" fontId="62" fillId="0" borderId="28" xfId="0" applyFont="1" applyBorder="1" applyAlignment="1">
      <alignment vertical="center" wrapText="1"/>
    </xf>
    <xf numFmtId="0" fontId="62" fillId="0" borderId="40" xfId="0" applyFont="1" applyBorder="1" applyAlignment="1">
      <alignment vertical="center" wrapText="1"/>
    </xf>
    <xf numFmtId="0" fontId="63" fillId="0" borderId="56" xfId="0" applyFont="1" applyBorder="1" applyAlignment="1">
      <alignment vertical="center" wrapText="1"/>
    </xf>
    <xf numFmtId="0" fontId="64" fillId="0" borderId="56" xfId="0" applyFont="1" applyBorder="1" applyAlignment="1">
      <alignment vertical="center" wrapText="1"/>
    </xf>
    <xf numFmtId="0" fontId="64" fillId="0" borderId="54" xfId="0" applyFont="1" applyBorder="1" applyAlignment="1">
      <alignment vertical="center" wrapText="1"/>
    </xf>
    <xf numFmtId="0" fontId="63" fillId="0" borderId="47" xfId="0" applyFont="1" applyBorder="1" applyAlignment="1">
      <alignment vertical="center" wrapText="1"/>
    </xf>
    <xf numFmtId="0" fontId="64" fillId="0" borderId="47" xfId="0" applyFont="1" applyBorder="1" applyAlignment="1">
      <alignment vertical="center" wrapText="1"/>
    </xf>
    <xf numFmtId="0" fontId="64" fillId="0" borderId="57" xfId="0" applyFont="1" applyBorder="1" applyAlignment="1">
      <alignment vertical="center" wrapText="1"/>
    </xf>
    <xf numFmtId="0" fontId="0" fillId="0" borderId="0" xfId="0" applyAlignment="1">
      <alignment horizontal="left" vertical="center" wrapText="1"/>
    </xf>
    <xf numFmtId="166" fontId="0" fillId="0" borderId="0" xfId="0" applyNumberFormat="1" applyFill="1"/>
    <xf numFmtId="0" fontId="3" fillId="5" borderId="30" xfId="0" applyFont="1" applyFill="1" applyBorder="1" applyAlignment="1">
      <alignment horizontal="center" vertical="top" wrapText="1"/>
    </xf>
    <xf numFmtId="1" fontId="0" fillId="5" borderId="0" xfId="0" applyNumberFormat="1" applyFill="1" applyBorder="1"/>
    <xf numFmtId="166" fontId="3" fillId="5" borderId="0" xfId="1" applyNumberFormat="1" applyFont="1" applyFill="1" applyBorder="1"/>
    <xf numFmtId="0" fontId="0" fillId="5" borderId="0" xfId="0" applyFill="1" applyBorder="1"/>
    <xf numFmtId="0" fontId="3" fillId="29" borderId="27" xfId="0" applyFont="1" applyFill="1" applyBorder="1" applyAlignment="1">
      <alignment horizontal="center" vertical="top" wrapText="1"/>
    </xf>
    <xf numFmtId="1" fontId="0" fillId="29" borderId="33" xfId="0" applyNumberFormat="1" applyFill="1" applyBorder="1"/>
    <xf numFmtId="166" fontId="3" fillId="29" borderId="33" xfId="1" applyNumberFormat="1" applyFont="1" applyFill="1" applyBorder="1"/>
    <xf numFmtId="0" fontId="0" fillId="29" borderId="33" xfId="0" applyFill="1" applyBorder="1"/>
    <xf numFmtId="0" fontId="3" fillId="31" borderId="38" xfId="0" applyFont="1" applyFill="1" applyBorder="1" applyAlignment="1">
      <alignment horizontal="center" vertical="top" wrapText="1"/>
    </xf>
    <xf numFmtId="1" fontId="0" fillId="31" borderId="39" xfId="0" applyNumberFormat="1" applyFill="1" applyBorder="1" applyAlignment="1">
      <alignment vertical="center" wrapText="1"/>
    </xf>
    <xf numFmtId="166" fontId="3" fillId="31" borderId="39" xfId="1" applyNumberFormat="1" applyFont="1" applyFill="1" applyBorder="1"/>
    <xf numFmtId="0" fontId="0" fillId="31" borderId="39" xfId="0" applyFill="1" applyBorder="1"/>
    <xf numFmtId="0" fontId="3" fillId="31" borderId="41" xfId="0" applyFont="1" applyFill="1" applyBorder="1" applyAlignment="1">
      <alignment horizontal="center" vertical="top" wrapText="1"/>
    </xf>
    <xf numFmtId="1" fontId="0" fillId="31" borderId="10" xfId="0" applyNumberFormat="1" applyFill="1" applyBorder="1" applyAlignment="1">
      <alignment vertical="center" wrapText="1"/>
    </xf>
    <xf numFmtId="166" fontId="3" fillId="31" borderId="10" xfId="1" applyNumberFormat="1" applyFont="1" applyFill="1" applyBorder="1"/>
    <xf numFmtId="0" fontId="0" fillId="31" borderId="10" xfId="0" applyFill="1" applyBorder="1"/>
    <xf numFmtId="0" fontId="3" fillId="7" borderId="30" xfId="0" applyFont="1" applyFill="1" applyBorder="1" applyAlignment="1">
      <alignment horizontal="center" vertical="top" wrapText="1"/>
    </xf>
    <xf numFmtId="1" fontId="0" fillId="7" borderId="0" xfId="0" applyNumberFormat="1" applyFill="1" applyBorder="1"/>
    <xf numFmtId="166" fontId="3" fillId="7" borderId="0" xfId="1" applyNumberFormat="1" applyFont="1" applyFill="1" applyBorder="1"/>
    <xf numFmtId="0" fontId="0" fillId="7" borderId="0" xfId="0" applyFill="1" applyBorder="1"/>
    <xf numFmtId="0" fontId="3" fillId="32" borderId="18" xfId="0" applyFont="1" applyFill="1" applyBorder="1" applyAlignment="1">
      <alignment horizontal="center" vertical="top" wrapText="1"/>
    </xf>
    <xf numFmtId="1" fontId="0" fillId="32" borderId="9" xfId="0" applyNumberFormat="1" applyFill="1" applyBorder="1"/>
    <xf numFmtId="166" fontId="3" fillId="32" borderId="9" xfId="1" applyNumberFormat="1" applyFont="1" applyFill="1" applyBorder="1"/>
    <xf numFmtId="0" fontId="0" fillId="32" borderId="9" xfId="0" applyFill="1" applyBorder="1"/>
    <xf numFmtId="0" fontId="3" fillId="0" borderId="17" xfId="0" applyFont="1" applyFill="1" applyBorder="1" applyAlignment="1">
      <alignment vertical="top" wrapText="1"/>
    </xf>
    <xf numFmtId="1" fontId="0" fillId="0" borderId="21" xfId="0" applyNumberFormat="1" applyFill="1" applyBorder="1" applyAlignment="1">
      <alignment vertical="center" wrapText="1"/>
    </xf>
    <xf numFmtId="166" fontId="3" fillId="0" borderId="21" xfId="1" applyNumberFormat="1" applyFont="1" applyFill="1" applyBorder="1"/>
    <xf numFmtId="0" fontId="0" fillId="0" borderId="21" xfId="0" applyFill="1" applyBorder="1"/>
    <xf numFmtId="0" fontId="3" fillId="0" borderId="17" xfId="0" applyFont="1" applyFill="1" applyBorder="1" applyAlignment="1">
      <alignment horizontal="center" vertical="top" wrapText="1"/>
    </xf>
    <xf numFmtId="9" fontId="5" fillId="0" borderId="0" xfId="0" applyNumberFormat="1" applyFont="1" applyAlignment="1"/>
    <xf numFmtId="9" fontId="5" fillId="0" borderId="0" xfId="0" applyNumberFormat="1" applyFont="1" applyBorder="1" applyAlignment="1"/>
    <xf numFmtId="0" fontId="5" fillId="0" borderId="0" xfId="0" applyFont="1" applyAlignment="1"/>
    <xf numFmtId="2" fontId="9" fillId="0" borderId="0" xfId="0" applyNumberFormat="1" applyFont="1" applyFill="1" applyBorder="1"/>
    <xf numFmtId="2" fontId="9" fillId="0" borderId="13" xfId="0" applyNumberFormat="1" applyFont="1" applyFill="1" applyBorder="1"/>
    <xf numFmtId="0" fontId="10" fillId="0" borderId="0" xfId="0" applyFont="1" applyFill="1" applyAlignment="1">
      <alignment wrapText="1"/>
    </xf>
    <xf numFmtId="0" fontId="0" fillId="0" borderId="0" xfId="0" applyFill="1" applyAlignment="1">
      <alignment vertical="top"/>
    </xf>
    <xf numFmtId="164" fontId="3" fillId="0" borderId="0" xfId="0" applyNumberFormat="1" applyFont="1" applyFill="1" applyBorder="1"/>
    <xf numFmtId="164" fontId="3" fillId="0" borderId="13" xfId="0" applyNumberFormat="1" applyFont="1" applyFill="1" applyBorder="1"/>
    <xf numFmtId="164" fontId="9" fillId="0" borderId="13" xfId="0" applyNumberFormat="1" applyFont="1" applyFill="1" applyBorder="1"/>
    <xf numFmtId="9" fontId="9" fillId="0" borderId="0" xfId="2" applyFont="1" applyFill="1"/>
    <xf numFmtId="9" fontId="3" fillId="0" borderId="0" xfId="2" applyFont="1" applyFill="1"/>
    <xf numFmtId="0" fontId="0" fillId="0" borderId="0" xfId="0" applyFont="1" applyAlignment="1">
      <alignment horizontal="left" vertical="top"/>
    </xf>
    <xf numFmtId="9" fontId="41" fillId="0" borderId="0" xfId="2" applyFont="1" applyFill="1" applyAlignment="1"/>
    <xf numFmtId="0" fontId="5" fillId="0" borderId="17" xfId="0" applyFont="1" applyBorder="1"/>
    <xf numFmtId="0" fontId="0" fillId="0" borderId="30" xfId="0" applyBorder="1"/>
    <xf numFmtId="0" fontId="0" fillId="0" borderId="21" xfId="0" applyFont="1" applyBorder="1"/>
    <xf numFmtId="0" fontId="10" fillId="0" borderId="21" xfId="0" applyFont="1" applyBorder="1"/>
    <xf numFmtId="0" fontId="10" fillId="0" borderId="67" xfId="0" applyFont="1" applyBorder="1"/>
    <xf numFmtId="0" fontId="0" fillId="0" borderId="64" xfId="0" applyBorder="1"/>
    <xf numFmtId="0" fontId="10" fillId="0" borderId="37" xfId="0" applyFont="1" applyBorder="1"/>
    <xf numFmtId="0" fontId="0" fillId="0" borderId="57" xfId="0" applyBorder="1"/>
    <xf numFmtId="0" fontId="9" fillId="0" borderId="21" xfId="0" applyFont="1" applyBorder="1"/>
    <xf numFmtId="0" fontId="9" fillId="0" borderId="39" xfId="0" applyFont="1" applyBorder="1"/>
    <xf numFmtId="0" fontId="0" fillId="0" borderId="39" xfId="0" applyFill="1" applyBorder="1"/>
    <xf numFmtId="0" fontId="49" fillId="0" borderId="67" xfId="0" applyFont="1" applyBorder="1"/>
    <xf numFmtId="0" fontId="41" fillId="0" borderId="64" xfId="0" applyFont="1" applyBorder="1"/>
    <xf numFmtId="0" fontId="49" fillId="0" borderId="37" xfId="0" applyFont="1" applyBorder="1"/>
    <xf numFmtId="0" fontId="41" fillId="0" borderId="57" xfId="0" applyFont="1" applyBorder="1"/>
    <xf numFmtId="0" fontId="49" fillId="0" borderId="67" xfId="0" applyFont="1" applyFill="1" applyBorder="1"/>
    <xf numFmtId="0" fontId="49" fillId="0" borderId="64" xfId="0" applyFont="1" applyBorder="1"/>
    <xf numFmtId="0" fontId="49" fillId="0" borderId="23" xfId="0" applyFont="1" applyFill="1" applyBorder="1"/>
    <xf numFmtId="2" fontId="49" fillId="0" borderId="24" xfId="0" applyNumberFormat="1" applyFont="1" applyBorder="1"/>
    <xf numFmtId="0" fontId="49" fillId="0" borderId="40" xfId="0" applyFont="1" applyBorder="1"/>
    <xf numFmtId="0" fontId="0" fillId="0" borderId="39" xfId="0" applyFont="1" applyFill="1" applyBorder="1"/>
    <xf numFmtId="0" fontId="49" fillId="0" borderId="21" xfId="0" applyFont="1" applyBorder="1"/>
    <xf numFmtId="0" fontId="49" fillId="0" borderId="23" xfId="0" applyFont="1" applyBorder="1"/>
    <xf numFmtId="165" fontId="49" fillId="0" borderId="0" xfId="0" applyNumberFormat="1" applyFont="1" applyBorder="1"/>
    <xf numFmtId="165" fontId="49" fillId="0" borderId="24" xfId="0" applyNumberFormat="1" applyFont="1" applyFill="1" applyBorder="1"/>
    <xf numFmtId="0" fontId="30" fillId="0" borderId="9" xfId="0" applyFont="1" applyFill="1" applyBorder="1"/>
    <xf numFmtId="0" fontId="0" fillId="0" borderId="15" xfId="0" applyFill="1" applyBorder="1" applyAlignment="1">
      <alignment vertical="center"/>
    </xf>
    <xf numFmtId="2" fontId="3" fillId="0" borderId="15" xfId="0" applyNumberFormat="1" applyFont="1" applyFill="1" applyBorder="1"/>
    <xf numFmtId="0" fontId="0" fillId="0" borderId="14" xfId="0" applyBorder="1" applyAlignment="1">
      <alignment vertical="center"/>
    </xf>
    <xf numFmtId="0" fontId="50" fillId="0" borderId="0" xfId="0" applyFont="1" applyFill="1" applyAlignment="1">
      <alignment vertical="center"/>
    </xf>
    <xf numFmtId="0" fontId="9" fillId="0" borderId="21" xfId="0" applyFont="1" applyFill="1" applyBorder="1"/>
    <xf numFmtId="1" fontId="8" fillId="0" borderId="0" xfId="0" applyNumberFormat="1" applyFont="1" applyFill="1"/>
    <xf numFmtId="0" fontId="4" fillId="0" borderId="0" xfId="0" applyFont="1" applyFill="1"/>
    <xf numFmtId="2" fontId="8" fillId="0" borderId="0" xfId="0" applyNumberFormat="1" applyFont="1" applyFill="1"/>
    <xf numFmtId="0" fontId="45" fillId="0" borderId="0" xfId="0" applyFont="1" applyFill="1"/>
    <xf numFmtId="0" fontId="66" fillId="0" borderId="0" xfId="0" applyFont="1" applyFill="1"/>
    <xf numFmtId="0" fontId="45" fillId="0" borderId="0" xfId="0" applyFont="1" applyFill="1" applyAlignment="1"/>
    <xf numFmtId="0" fontId="9" fillId="0" borderId="0" xfId="0" applyFont="1" applyFill="1" applyAlignment="1">
      <alignment horizontal="left" vertical="top"/>
    </xf>
    <xf numFmtId="2" fontId="0" fillId="0" borderId="5" xfId="0" applyNumberFormat="1" applyFill="1" applyBorder="1"/>
    <xf numFmtId="43" fontId="0" fillId="0" borderId="7" xfId="0" applyNumberFormat="1" applyFill="1" applyBorder="1"/>
    <xf numFmtId="0" fontId="0" fillId="0" borderId="0" xfId="0" applyAlignment="1">
      <alignment horizontal="left" vertical="center" indent="3"/>
    </xf>
    <xf numFmtId="0" fontId="0" fillId="16" borderId="24" xfId="0" applyFont="1" applyFill="1" applyBorder="1" applyAlignment="1">
      <alignment vertical="top" wrapText="1"/>
    </xf>
    <xf numFmtId="0" fontId="53" fillId="0" borderId="0" xfId="0" applyFont="1" applyAlignment="1"/>
    <xf numFmtId="2" fontId="0" fillId="0" borderId="0" xfId="0" applyNumberFormat="1" applyAlignment="1">
      <alignment horizontal="center" wrapText="1"/>
    </xf>
    <xf numFmtId="0" fontId="32" fillId="26" borderId="53" xfId="0" applyFont="1" applyFill="1" applyBorder="1" applyAlignment="1">
      <alignment wrapText="1"/>
    </xf>
    <xf numFmtId="0" fontId="32" fillId="26" borderId="53" xfId="0" applyFont="1" applyFill="1" applyBorder="1" applyAlignment="1">
      <alignment vertical="center" wrapText="1"/>
    </xf>
    <xf numFmtId="0" fontId="30" fillId="26" borderId="53" xfId="0" applyFont="1" applyFill="1" applyBorder="1" applyAlignment="1">
      <alignment vertical="center" wrapText="1"/>
    </xf>
    <xf numFmtId="0" fontId="33" fillId="26" borderId="53" xfId="0" applyFont="1" applyFill="1" applyBorder="1" applyAlignment="1">
      <alignment vertical="top" wrapText="1"/>
    </xf>
    <xf numFmtId="0" fontId="30" fillId="26" borderId="30" xfId="0" applyFont="1" applyFill="1" applyBorder="1" applyAlignment="1">
      <alignment vertical="center" wrapText="1"/>
    </xf>
    <xf numFmtId="0" fontId="30" fillId="26" borderId="30" xfId="0" applyFont="1" applyFill="1" applyBorder="1" applyAlignment="1">
      <alignment vertical="top" wrapText="1"/>
    </xf>
    <xf numFmtId="0" fontId="33" fillId="0" borderId="30" xfId="0" applyFont="1" applyBorder="1" applyAlignment="1">
      <alignment vertical="top" wrapText="1"/>
    </xf>
    <xf numFmtId="0" fontId="33" fillId="26" borderId="0" xfId="0" applyFont="1" applyFill="1" applyBorder="1" applyAlignment="1">
      <alignment vertical="top" wrapText="1"/>
    </xf>
    <xf numFmtId="0" fontId="30" fillId="26" borderId="0" xfId="0" applyFont="1" applyFill="1" applyBorder="1" applyAlignment="1">
      <alignment vertical="top" wrapText="1"/>
    </xf>
    <xf numFmtId="0" fontId="30" fillId="26" borderId="0" xfId="0" quotePrefix="1" applyFont="1" applyFill="1" applyBorder="1" applyAlignment="1">
      <alignment vertical="top" wrapText="1"/>
    </xf>
    <xf numFmtId="0" fontId="30" fillId="26" borderId="0" xfId="0" applyFont="1" applyFill="1" applyBorder="1" applyAlignment="1">
      <alignment horizontal="left" vertical="top" wrapText="1"/>
    </xf>
    <xf numFmtId="0" fontId="30" fillId="26" borderId="0" xfId="0" applyFont="1" applyFill="1" applyBorder="1" applyAlignment="1">
      <alignment vertical="center" wrapText="1"/>
    </xf>
    <xf numFmtId="0" fontId="33" fillId="26" borderId="30" xfId="0" applyFont="1" applyFill="1" applyBorder="1" applyAlignment="1">
      <alignment vertical="center" wrapText="1"/>
    </xf>
    <xf numFmtId="0" fontId="40" fillId="7" borderId="30" xfId="0" applyFont="1" applyFill="1" applyBorder="1" applyAlignment="1">
      <alignment horizontal="center" vertical="center" wrapText="1"/>
    </xf>
    <xf numFmtId="0" fontId="40" fillId="8" borderId="30" xfId="0" applyFont="1" applyFill="1" applyBorder="1" applyAlignment="1">
      <alignment horizontal="center" vertical="center" wrapText="1"/>
    </xf>
    <xf numFmtId="0" fontId="40" fillId="9" borderId="30" xfId="0" applyFont="1" applyFill="1" applyBorder="1" applyAlignment="1">
      <alignment horizontal="center" vertical="center" wrapText="1"/>
    </xf>
    <xf numFmtId="0" fontId="40" fillId="26" borderId="30" xfId="0" applyFont="1" applyFill="1" applyBorder="1" applyAlignment="1">
      <alignment vertical="center" wrapText="1"/>
    </xf>
    <xf numFmtId="0" fontId="30" fillId="26" borderId="53" xfId="0" applyFont="1" applyFill="1" applyBorder="1" applyAlignment="1">
      <alignment horizontal="left" vertical="top" wrapText="1"/>
    </xf>
    <xf numFmtId="0" fontId="30" fillId="26" borderId="5" xfId="0" applyFont="1" applyFill="1" applyBorder="1" applyAlignment="1">
      <alignment vertical="center" wrapText="1"/>
    </xf>
    <xf numFmtId="9" fontId="40" fillId="26" borderId="5" xfId="0" applyNumberFormat="1" applyFont="1" applyFill="1" applyBorder="1" applyAlignment="1">
      <alignment vertical="center" wrapText="1"/>
    </xf>
    <xf numFmtId="9" fontId="40" fillId="26" borderId="0" xfId="0" applyNumberFormat="1" applyFont="1" applyFill="1" applyBorder="1" applyAlignment="1">
      <alignment vertical="center" wrapText="1"/>
    </xf>
    <xf numFmtId="0" fontId="30" fillId="26" borderId="13" xfId="0" applyFont="1" applyFill="1" applyBorder="1" applyAlignment="1">
      <alignment vertical="center" wrapText="1"/>
    </xf>
    <xf numFmtId="9" fontId="40" fillId="26" borderId="13" xfId="0" applyNumberFormat="1" applyFont="1" applyFill="1" applyBorder="1" applyAlignment="1">
      <alignment vertical="center" wrapText="1"/>
    </xf>
    <xf numFmtId="0" fontId="33" fillId="26" borderId="13" xfId="0" applyFont="1" applyFill="1" applyBorder="1" applyAlignment="1">
      <alignment vertical="top" wrapText="1"/>
    </xf>
    <xf numFmtId="0" fontId="30" fillId="26" borderId="13" xfId="0" applyFont="1" applyFill="1" applyBorder="1" applyAlignment="1">
      <alignment horizontal="center"/>
    </xf>
    <xf numFmtId="0" fontId="30" fillId="26" borderId="5" xfId="0" applyFont="1" applyFill="1" applyBorder="1"/>
    <xf numFmtId="164" fontId="30" fillId="26" borderId="5" xfId="0" applyNumberFormat="1" applyFont="1" applyFill="1" applyBorder="1"/>
    <xf numFmtId="0" fontId="30" fillId="26" borderId="0" xfId="0" applyFont="1" applyFill="1" applyBorder="1"/>
    <xf numFmtId="9" fontId="30" fillId="26" borderId="5" xfId="0" applyNumberFormat="1" applyFont="1" applyFill="1" applyBorder="1"/>
    <xf numFmtId="9" fontId="30" fillId="26" borderId="5" xfId="2" applyFont="1" applyFill="1" applyBorder="1"/>
    <xf numFmtId="164" fontId="30" fillId="26" borderId="0" xfId="0" applyNumberFormat="1" applyFont="1" applyFill="1" applyBorder="1"/>
    <xf numFmtId="9" fontId="30" fillId="26" borderId="0" xfId="0" applyNumberFormat="1" applyFont="1" applyFill="1" applyBorder="1"/>
    <xf numFmtId="9" fontId="30" fillId="26" borderId="0" xfId="2" applyFont="1" applyFill="1" applyBorder="1"/>
    <xf numFmtId="0" fontId="30" fillId="26" borderId="0" xfId="0" applyFont="1" applyFill="1" applyBorder="1" applyAlignment="1">
      <alignment horizontal="center" vertical="center"/>
    </xf>
    <xf numFmtId="0" fontId="33" fillId="26" borderId="13" xfId="0" applyFont="1" applyFill="1" applyBorder="1"/>
    <xf numFmtId="9" fontId="33" fillId="26" borderId="13" xfId="0" applyNumberFormat="1" applyFont="1" applyFill="1" applyBorder="1"/>
    <xf numFmtId="0" fontId="30" fillId="26" borderId="13" xfId="0" applyFont="1" applyFill="1" applyBorder="1" applyAlignment="1">
      <alignment horizontal="center" vertical="center"/>
    </xf>
    <xf numFmtId="0" fontId="32" fillId="26" borderId="0" xfId="0" applyFont="1" applyFill="1" applyBorder="1" applyAlignment="1">
      <alignment vertical="center" wrapText="1"/>
    </xf>
    <xf numFmtId="0" fontId="32" fillId="26" borderId="13" xfId="0" applyFont="1" applyFill="1" applyBorder="1" applyAlignment="1">
      <alignment vertical="center" wrapText="1"/>
    </xf>
    <xf numFmtId="0" fontId="30" fillId="26" borderId="30" xfId="0" applyFont="1" applyFill="1" applyBorder="1"/>
    <xf numFmtId="0" fontId="33" fillId="26" borderId="13" xfId="0" applyFont="1" applyFill="1" applyBorder="1" applyAlignment="1">
      <alignment horizontal="center" vertical="top" wrapText="1"/>
    </xf>
    <xf numFmtId="0" fontId="30" fillId="10" borderId="13" xfId="0" applyFont="1" applyFill="1" applyBorder="1" applyAlignment="1">
      <alignment horizontal="center" vertical="top" wrapText="1"/>
    </xf>
    <xf numFmtId="0" fontId="30" fillId="11" borderId="13" xfId="0" applyFont="1" applyFill="1" applyBorder="1" applyAlignment="1">
      <alignment horizontal="center" vertical="top" wrapText="1"/>
    </xf>
    <xf numFmtId="0" fontId="30" fillId="12" borderId="13" xfId="0" applyFont="1" applyFill="1" applyBorder="1" applyAlignment="1">
      <alignment horizontal="center" vertical="top" wrapText="1"/>
    </xf>
    <xf numFmtId="0" fontId="30" fillId="30" borderId="3" xfId="0" applyFont="1" applyFill="1" applyBorder="1" applyAlignment="1">
      <alignment horizontal="center" vertical="top" wrapText="1"/>
    </xf>
    <xf numFmtId="2" fontId="30" fillId="26" borderId="5" xfId="0" applyNumberFormat="1" applyFont="1" applyFill="1" applyBorder="1"/>
    <xf numFmtId="2" fontId="30" fillId="26" borderId="0" xfId="0" applyNumberFormat="1" applyFont="1" applyFill="1" applyBorder="1"/>
    <xf numFmtId="164" fontId="30" fillId="26" borderId="13" xfId="0" applyNumberFormat="1" applyFont="1" applyFill="1" applyBorder="1"/>
    <xf numFmtId="2" fontId="32" fillId="26" borderId="0" xfId="0" applyNumberFormat="1" applyFont="1" applyFill="1" applyBorder="1" applyAlignment="1">
      <alignment vertical="center"/>
    </xf>
    <xf numFmtId="2" fontId="32" fillId="26" borderId="5" xfId="0" applyNumberFormat="1" applyFont="1" applyFill="1" applyBorder="1" applyAlignment="1">
      <alignment vertical="center"/>
    </xf>
    <xf numFmtId="0" fontId="31" fillId="26" borderId="30" xfId="0" applyFont="1" applyFill="1" applyBorder="1" applyAlignment="1">
      <alignment horizontal="left" vertical="center" wrapText="1"/>
    </xf>
    <xf numFmtId="0" fontId="30" fillId="26" borderId="30" xfId="0" applyFont="1" applyFill="1" applyBorder="1" applyAlignment="1">
      <alignment horizontal="center" vertical="center"/>
    </xf>
    <xf numFmtId="0" fontId="30" fillId="26" borderId="30" xfId="0" applyFont="1" applyFill="1" applyBorder="1" applyAlignment="1">
      <alignment horizontal="left" vertical="top" wrapText="1"/>
    </xf>
    <xf numFmtId="0" fontId="31" fillId="26" borderId="44" xfId="0" applyFont="1" applyFill="1" applyBorder="1" applyAlignment="1">
      <alignment vertical="center" wrapText="1"/>
    </xf>
    <xf numFmtId="0" fontId="30" fillId="26" borderId="44" xfId="0" applyFont="1" applyFill="1" applyBorder="1" applyAlignment="1">
      <alignment vertical="center" wrapText="1"/>
    </xf>
    <xf numFmtId="0" fontId="30" fillId="26" borderId="30" xfId="0" quotePrefix="1" applyFont="1" applyFill="1" applyBorder="1" applyAlignment="1">
      <alignment vertical="top" wrapText="1"/>
    </xf>
    <xf numFmtId="0" fontId="70" fillId="26" borderId="13" xfId="0" applyFont="1" applyFill="1" applyBorder="1" applyAlignment="1">
      <alignment vertical="top" wrapText="1"/>
    </xf>
    <xf numFmtId="0" fontId="34" fillId="26" borderId="13" xfId="0" quotePrefix="1" applyFont="1" applyFill="1" applyBorder="1" applyAlignment="1">
      <alignment vertical="top" wrapText="1"/>
    </xf>
    <xf numFmtId="0" fontId="34" fillId="26" borderId="13" xfId="0" applyFont="1" applyFill="1" applyBorder="1" applyAlignment="1">
      <alignment vertical="center" wrapText="1"/>
    </xf>
    <xf numFmtId="0" fontId="34" fillId="26" borderId="13" xfId="0" applyFont="1" applyFill="1" applyBorder="1" applyAlignment="1">
      <alignment horizontal="left" vertical="top" wrapText="1"/>
    </xf>
    <xf numFmtId="0" fontId="34" fillId="0" borderId="0" xfId="0" applyFont="1"/>
    <xf numFmtId="0" fontId="31" fillId="26" borderId="30" xfId="0" applyFont="1" applyFill="1" applyBorder="1" applyAlignment="1">
      <alignment vertical="center" wrapText="1"/>
    </xf>
    <xf numFmtId="0" fontId="33" fillId="26" borderId="53" xfId="0" applyFont="1" applyFill="1" applyBorder="1" applyAlignment="1">
      <alignment vertical="center" wrapText="1"/>
    </xf>
    <xf numFmtId="9" fontId="30" fillId="26" borderId="0" xfId="2" applyNumberFormat="1" applyFont="1" applyFill="1" applyBorder="1"/>
    <xf numFmtId="0" fontId="33" fillId="26" borderId="0" xfId="0" applyFont="1" applyFill="1" applyBorder="1"/>
    <xf numFmtId="9" fontId="33" fillId="26" borderId="0" xfId="0" applyNumberFormat="1" applyFont="1" applyFill="1" applyBorder="1"/>
    <xf numFmtId="0" fontId="30" fillId="26" borderId="30" xfId="0" applyFont="1" applyFill="1" applyBorder="1" applyAlignment="1">
      <alignment horizontal="center" vertical="top" wrapText="1"/>
    </xf>
    <xf numFmtId="0" fontId="30" fillId="26" borderId="0" xfId="0" applyFont="1" applyFill="1" applyBorder="1" applyAlignment="1">
      <alignment horizontal="center" vertical="top" wrapText="1"/>
    </xf>
    <xf numFmtId="0" fontId="30" fillId="26" borderId="0" xfId="0" applyFont="1" applyFill="1" applyBorder="1" applyAlignment="1">
      <alignment horizontal="center"/>
    </xf>
    <xf numFmtId="2" fontId="33" fillId="26" borderId="13" xfId="0" applyNumberFormat="1" applyFont="1" applyFill="1" applyBorder="1"/>
    <xf numFmtId="9" fontId="33" fillId="26" borderId="13" xfId="2" applyFont="1" applyFill="1" applyBorder="1"/>
    <xf numFmtId="0" fontId="30" fillId="26" borderId="0" xfId="0" applyFont="1" applyFill="1" applyBorder="1" applyAlignment="1">
      <alignment vertical="center"/>
    </xf>
    <xf numFmtId="2" fontId="32" fillId="26" borderId="0" xfId="0" applyNumberFormat="1" applyFont="1" applyFill="1" applyBorder="1" applyAlignment="1">
      <alignment horizontal="center"/>
    </xf>
    <xf numFmtId="0" fontId="33" fillId="26" borderId="30" xfId="0" applyFont="1" applyFill="1" applyBorder="1" applyAlignment="1">
      <alignment horizontal="center" vertical="top" wrapText="1"/>
    </xf>
    <xf numFmtId="0" fontId="30" fillId="24" borderId="30" xfId="0" applyFont="1" applyFill="1" applyBorder="1" applyAlignment="1">
      <alignment vertical="top"/>
    </xf>
    <xf numFmtId="0" fontId="30" fillId="15" borderId="30" xfId="0" applyFont="1" applyFill="1" applyBorder="1" applyAlignment="1">
      <alignment vertical="top" wrapText="1"/>
    </xf>
    <xf numFmtId="0" fontId="30" fillId="16" borderId="30" xfId="0" applyFont="1" applyFill="1" applyBorder="1" applyAlignment="1">
      <alignment vertical="top" wrapText="1"/>
    </xf>
    <xf numFmtId="0" fontId="30" fillId="5" borderId="30" xfId="0" applyFont="1" applyFill="1" applyBorder="1" applyAlignment="1">
      <alignment vertical="top" wrapText="1"/>
    </xf>
    <xf numFmtId="0" fontId="30" fillId="6" borderId="30" xfId="0" applyFont="1" applyFill="1" applyBorder="1" applyAlignment="1">
      <alignment vertical="top" wrapText="1"/>
    </xf>
    <xf numFmtId="0" fontId="33" fillId="26" borderId="0" xfId="0" applyFont="1" applyFill="1" applyBorder="1" applyAlignment="1">
      <alignment horizontal="center" vertical="center" wrapText="1"/>
    </xf>
    <xf numFmtId="9" fontId="30" fillId="26" borderId="0" xfId="2" applyFont="1" applyFill="1" applyBorder="1" applyAlignment="1">
      <alignment vertical="center" wrapText="1"/>
    </xf>
    <xf numFmtId="9" fontId="30" fillId="26" borderId="0" xfId="0" applyNumberFormat="1" applyFont="1" applyFill="1" applyBorder="1" applyAlignment="1">
      <alignment vertical="center" wrapText="1"/>
    </xf>
    <xf numFmtId="9" fontId="33" fillId="26" borderId="0" xfId="2" applyFont="1" applyFill="1" applyBorder="1" applyAlignment="1">
      <alignment vertical="center" wrapText="1"/>
    </xf>
    <xf numFmtId="1" fontId="30" fillId="26" borderId="0" xfId="0" applyNumberFormat="1" applyFont="1" applyFill="1" applyBorder="1" applyAlignment="1">
      <alignment vertical="center" wrapText="1"/>
    </xf>
    <xf numFmtId="166" fontId="30" fillId="26" borderId="0" xfId="1" applyNumberFormat="1" applyFont="1" applyFill="1" applyBorder="1" applyAlignment="1">
      <alignment vertical="center" wrapText="1"/>
    </xf>
    <xf numFmtId="2" fontId="32" fillId="26" borderId="0" xfId="0" applyNumberFormat="1" applyFont="1" applyFill="1" applyBorder="1" applyAlignment="1">
      <alignment vertical="center" wrapText="1"/>
    </xf>
    <xf numFmtId="0" fontId="30" fillId="26" borderId="30" xfId="0" quotePrefix="1" applyNumberFormat="1" applyFont="1" applyFill="1" applyBorder="1" applyAlignment="1">
      <alignment vertical="center" wrapText="1"/>
    </xf>
    <xf numFmtId="0" fontId="33" fillId="26" borderId="30" xfId="0" applyFont="1" applyFill="1" applyBorder="1" applyAlignment="1">
      <alignment vertical="top" wrapText="1"/>
    </xf>
    <xf numFmtId="0" fontId="31" fillId="26" borderId="53" xfId="0" applyFont="1" applyFill="1" applyBorder="1" applyAlignment="1">
      <alignment wrapText="1"/>
    </xf>
    <xf numFmtId="2" fontId="30" fillId="26" borderId="53" xfId="0" applyNumberFormat="1" applyFont="1" applyFill="1" applyBorder="1" applyAlignment="1">
      <alignment vertical="center"/>
    </xf>
    <xf numFmtId="0" fontId="30" fillId="0" borderId="53" xfId="0" applyFont="1" applyBorder="1"/>
    <xf numFmtId="0" fontId="30" fillId="26" borderId="53" xfId="0" applyFont="1" applyFill="1" applyBorder="1"/>
    <xf numFmtId="0" fontId="34" fillId="26" borderId="53" xfId="0" applyFont="1" applyFill="1" applyBorder="1" applyAlignment="1">
      <alignment vertical="top" wrapText="1"/>
    </xf>
    <xf numFmtId="1" fontId="30" fillId="26" borderId="53" xfId="0" applyNumberFormat="1" applyFont="1" applyFill="1" applyBorder="1"/>
    <xf numFmtId="0" fontId="30" fillId="26" borderId="13" xfId="0" applyFont="1" applyFill="1" applyBorder="1"/>
    <xf numFmtId="1" fontId="30" fillId="26" borderId="13" xfId="0" applyNumberFormat="1" applyFont="1" applyFill="1" applyBorder="1"/>
    <xf numFmtId="0" fontId="30" fillId="26" borderId="13" xfId="0" applyFont="1" applyFill="1" applyBorder="1" applyAlignment="1">
      <alignment horizontal="left" vertical="top" wrapText="1"/>
    </xf>
    <xf numFmtId="164" fontId="30" fillId="26" borderId="53" xfId="0" applyNumberFormat="1" applyFont="1" applyFill="1" applyBorder="1"/>
    <xf numFmtId="0" fontId="31" fillId="26" borderId="53" xfId="0" applyFont="1" applyFill="1" applyBorder="1" applyAlignment="1">
      <alignment horizontal="left" vertical="center" wrapText="1"/>
    </xf>
    <xf numFmtId="0" fontId="30" fillId="26" borderId="53" xfId="0" applyFont="1" applyFill="1" applyBorder="1" applyAlignment="1">
      <alignment vertical="top"/>
    </xf>
    <xf numFmtId="1" fontId="30" fillId="26" borderId="53" xfId="0" applyNumberFormat="1" applyFont="1" applyFill="1" applyBorder="1" applyAlignment="1">
      <alignment vertical="center"/>
    </xf>
    <xf numFmtId="0" fontId="30" fillId="26" borderId="53" xfId="0" applyFont="1" applyFill="1" applyBorder="1" applyAlignment="1">
      <alignment vertical="top" wrapText="1"/>
    </xf>
    <xf numFmtId="0" fontId="31" fillId="26" borderId="53" xfId="0" applyFont="1" applyFill="1" applyBorder="1" applyAlignment="1">
      <alignment vertical="center" wrapText="1"/>
    </xf>
    <xf numFmtId="0" fontId="30" fillId="26" borderId="0" xfId="0" quotePrefix="1" applyFont="1" applyFill="1" applyBorder="1" applyAlignment="1">
      <alignment vertical="center" wrapText="1"/>
    </xf>
    <xf numFmtId="0" fontId="30" fillId="26" borderId="13" xfId="0" quotePrefix="1" applyFont="1" applyFill="1" applyBorder="1" applyAlignment="1">
      <alignment vertical="center" wrapText="1"/>
    </xf>
    <xf numFmtId="2" fontId="30" fillId="26" borderId="30" xfId="0" applyNumberFormat="1" applyFont="1" applyFill="1" applyBorder="1"/>
    <xf numFmtId="164" fontId="30" fillId="26" borderId="30" xfId="0" applyNumberFormat="1" applyFont="1" applyFill="1" applyBorder="1"/>
    <xf numFmtId="2" fontId="30" fillId="26" borderId="13" xfId="0" applyNumberFormat="1" applyFont="1" applyFill="1" applyBorder="1"/>
    <xf numFmtId="0" fontId="32" fillId="26" borderId="30" xfId="0" applyFont="1" applyFill="1" applyBorder="1" applyAlignment="1">
      <alignment wrapText="1"/>
    </xf>
    <xf numFmtId="0" fontId="30" fillId="26" borderId="30" xfId="0" applyFont="1" applyFill="1" applyBorder="1" applyAlignment="1">
      <alignment wrapText="1"/>
    </xf>
    <xf numFmtId="0" fontId="30" fillId="26" borderId="53" xfId="0" applyFont="1" applyFill="1" applyBorder="1" applyAlignment="1">
      <alignment horizontal="left" vertical="center" wrapText="1"/>
    </xf>
    <xf numFmtId="0" fontId="29" fillId="26" borderId="53" xfId="0" applyFont="1" applyFill="1" applyBorder="1" applyAlignment="1">
      <alignment vertical="center"/>
    </xf>
    <xf numFmtId="0" fontId="30" fillId="26" borderId="53" xfId="0" applyFont="1" applyFill="1" applyBorder="1" applyAlignment="1">
      <alignment horizontal="center"/>
    </xf>
    <xf numFmtId="0" fontId="30" fillId="26" borderId="0" xfId="0" applyFont="1" applyFill="1" applyBorder="1" applyAlignment="1">
      <alignment wrapText="1"/>
    </xf>
    <xf numFmtId="9" fontId="30" fillId="26" borderId="0" xfId="2" applyFont="1" applyFill="1" applyBorder="1" applyAlignment="1">
      <alignment vertical="center"/>
    </xf>
    <xf numFmtId="168" fontId="30" fillId="26" borderId="0" xfId="2" applyNumberFormat="1" applyFont="1" applyFill="1" applyBorder="1" applyAlignment="1">
      <alignment vertical="center"/>
    </xf>
    <xf numFmtId="0" fontId="33" fillId="26" borderId="30" xfId="0" applyFont="1" applyFill="1" applyBorder="1"/>
    <xf numFmtId="2" fontId="32" fillId="26" borderId="0" xfId="0" applyNumberFormat="1" applyFont="1" applyFill="1" applyBorder="1"/>
    <xf numFmtId="9" fontId="30" fillId="0" borderId="0" xfId="2" applyFont="1"/>
    <xf numFmtId="0" fontId="30" fillId="26" borderId="13" xfId="0" applyFont="1" applyFill="1" applyBorder="1" applyAlignment="1">
      <alignment horizontal="left" vertical="top" wrapText="1"/>
    </xf>
    <xf numFmtId="43" fontId="0" fillId="0" borderId="35" xfId="0" applyNumberFormat="1" applyBorder="1"/>
    <xf numFmtId="0" fontId="33" fillId="26" borderId="0" xfId="0" applyFont="1" applyFill="1" applyBorder="1" applyAlignment="1">
      <alignment wrapText="1"/>
    </xf>
    <xf numFmtId="0" fontId="33" fillId="26" borderId="13" xfId="0" applyFont="1" applyFill="1" applyBorder="1" applyAlignment="1">
      <alignment wrapText="1"/>
    </xf>
    <xf numFmtId="0" fontId="31" fillId="26" borderId="53" xfId="0" applyFont="1" applyFill="1" applyBorder="1" applyAlignment="1">
      <alignment vertical="top" wrapText="1"/>
    </xf>
    <xf numFmtId="1" fontId="30" fillId="26" borderId="0" xfId="0" applyNumberFormat="1" applyFont="1" applyFill="1" applyBorder="1" applyAlignment="1"/>
    <xf numFmtId="9" fontId="30" fillId="26" borderId="0" xfId="2" applyFont="1" applyFill="1" applyBorder="1" applyAlignment="1"/>
    <xf numFmtId="164" fontId="30" fillId="26" borderId="0" xfId="0" applyNumberFormat="1" applyFont="1" applyFill="1" applyBorder="1" applyAlignment="1"/>
    <xf numFmtId="0" fontId="30" fillId="26" borderId="0" xfId="0" applyFont="1" applyFill="1" applyBorder="1" applyAlignment="1"/>
    <xf numFmtId="0" fontId="30" fillId="26" borderId="13" xfId="0" applyFont="1" applyFill="1" applyBorder="1" applyAlignment="1">
      <alignment vertical="center"/>
    </xf>
    <xf numFmtId="0" fontId="30" fillId="26" borderId="0" xfId="0" applyFont="1" applyFill="1" applyBorder="1" applyAlignment="1">
      <alignment horizontal="left"/>
    </xf>
    <xf numFmtId="9" fontId="30" fillId="0" borderId="0" xfId="2" applyFont="1" applyBorder="1"/>
    <xf numFmtId="0" fontId="33" fillId="26" borderId="0" xfId="0" applyFont="1" applyFill="1" applyBorder="1" applyAlignment="1">
      <alignment horizontal="left"/>
    </xf>
    <xf numFmtId="1" fontId="30" fillId="26" borderId="30" xfId="0" applyNumberFormat="1" applyFont="1" applyFill="1" applyBorder="1" applyAlignment="1">
      <alignment horizontal="center" vertical="center"/>
    </xf>
    <xf numFmtId="1" fontId="30" fillId="26" borderId="0" xfId="0" applyNumberFormat="1" applyFont="1" applyFill="1" applyBorder="1" applyAlignment="1">
      <alignment horizontal="center" vertical="center"/>
    </xf>
    <xf numFmtId="0" fontId="30" fillId="26" borderId="13" xfId="0" applyFont="1" applyFill="1" applyBorder="1" applyAlignment="1">
      <alignment wrapText="1"/>
    </xf>
    <xf numFmtId="165" fontId="30" fillId="26" borderId="13" xfId="0" applyNumberFormat="1" applyFont="1" applyFill="1" applyBorder="1" applyAlignment="1">
      <alignment horizontal="center" vertical="center"/>
    </xf>
    <xf numFmtId="0" fontId="30" fillId="26" borderId="53" xfId="0" applyFont="1" applyFill="1" applyBorder="1" applyAlignment="1">
      <alignment vertical="center"/>
    </xf>
    <xf numFmtId="165" fontId="30" fillId="26" borderId="53" xfId="0" applyNumberFormat="1" applyFont="1" applyFill="1" applyBorder="1"/>
    <xf numFmtId="0" fontId="30" fillId="26" borderId="13" xfId="0" applyFont="1" applyFill="1" applyBorder="1" applyAlignment="1">
      <alignment vertical="top" wrapText="1"/>
    </xf>
    <xf numFmtId="168" fontId="30" fillId="26" borderId="13" xfId="2" applyNumberFormat="1" applyFont="1" applyFill="1" applyBorder="1"/>
    <xf numFmtId="168" fontId="30" fillId="26" borderId="0" xfId="2" applyNumberFormat="1" applyFont="1" applyFill="1" applyBorder="1"/>
    <xf numFmtId="0" fontId="30" fillId="26" borderId="53" xfId="0" applyFont="1" applyFill="1" applyBorder="1" applyAlignment="1">
      <alignment horizontal="center" vertical="center"/>
    </xf>
    <xf numFmtId="0" fontId="30" fillId="26" borderId="53" xfId="0" applyFont="1" applyFill="1" applyBorder="1" applyAlignment="1"/>
    <xf numFmtId="9" fontId="33" fillId="26" borderId="53" xfId="2" applyFont="1" applyFill="1" applyBorder="1"/>
    <xf numFmtId="9" fontId="31" fillId="26" borderId="30" xfId="2" applyFont="1" applyFill="1" applyBorder="1"/>
    <xf numFmtId="0" fontId="30" fillId="26" borderId="13" xfId="0" applyFont="1" applyFill="1" applyBorder="1" applyAlignment="1"/>
    <xf numFmtId="167" fontId="32" fillId="26" borderId="13" xfId="1" applyNumberFormat="1" applyFont="1" applyFill="1" applyBorder="1"/>
    <xf numFmtId="9" fontId="31" fillId="26" borderId="0" xfId="2" applyFont="1" applyFill="1" applyBorder="1"/>
    <xf numFmtId="167" fontId="32" fillId="26" borderId="0" xfId="1" applyNumberFormat="1" applyFont="1" applyFill="1" applyBorder="1"/>
    <xf numFmtId="9" fontId="33" fillId="26" borderId="30" xfId="2" applyFont="1" applyFill="1" applyBorder="1"/>
    <xf numFmtId="167" fontId="31" fillId="26" borderId="30" xfId="1" applyNumberFormat="1" applyFont="1" applyFill="1" applyBorder="1"/>
    <xf numFmtId="43" fontId="32" fillId="26" borderId="0" xfId="1" applyNumberFormat="1" applyFont="1" applyFill="1" applyBorder="1" applyAlignment="1"/>
    <xf numFmtId="43" fontId="32" fillId="26" borderId="0" xfId="1" applyNumberFormat="1" applyFont="1" applyFill="1" applyBorder="1"/>
    <xf numFmtId="43" fontId="32" fillId="26" borderId="13" xfId="1" applyNumberFormat="1" applyFont="1" applyFill="1" applyBorder="1" applyAlignment="1"/>
    <xf numFmtId="43" fontId="32" fillId="26" borderId="13" xfId="1" applyNumberFormat="1" applyFont="1" applyFill="1" applyBorder="1"/>
    <xf numFmtId="9" fontId="31" fillId="26" borderId="13" xfId="2" applyFont="1" applyFill="1" applyBorder="1"/>
    <xf numFmtId="167" fontId="30" fillId="26" borderId="0" xfId="0" applyNumberFormat="1" applyFont="1" applyFill="1" applyBorder="1"/>
    <xf numFmtId="1" fontId="30" fillId="26" borderId="0" xfId="0" applyNumberFormat="1" applyFont="1" applyFill="1" applyBorder="1"/>
    <xf numFmtId="0" fontId="33" fillId="26" borderId="30" xfId="0" applyFont="1" applyFill="1" applyBorder="1" applyAlignment="1">
      <alignment horizontal="center" vertical="center"/>
    </xf>
    <xf numFmtId="0" fontId="30" fillId="26" borderId="13" xfId="0" applyFont="1" applyFill="1" applyBorder="1" applyAlignment="1">
      <alignment horizontal="center" vertical="top"/>
    </xf>
    <xf numFmtId="0" fontId="30" fillId="26" borderId="53" xfId="0" applyFont="1" applyFill="1" applyBorder="1" applyAlignment="1">
      <alignment horizontal="left" vertical="top"/>
    </xf>
    <xf numFmtId="164" fontId="8" fillId="0" borderId="0" xfId="0" applyNumberFormat="1" applyFont="1" applyFill="1" applyAlignment="1"/>
    <xf numFmtId="0" fontId="3" fillId="0" borderId="15" xfId="0" applyFont="1" applyFill="1" applyBorder="1" applyAlignment="1">
      <alignment horizontal="left" vertical="center"/>
    </xf>
    <xf numFmtId="164" fontId="0" fillId="0" borderId="21" xfId="0" applyNumberFormat="1" applyBorder="1"/>
    <xf numFmtId="9" fontId="3" fillId="0" borderId="39" xfId="2" applyFont="1" applyBorder="1"/>
    <xf numFmtId="164" fontId="3" fillId="0" borderId="39" xfId="0" applyNumberFormat="1" applyFont="1" applyBorder="1"/>
    <xf numFmtId="164" fontId="0" fillId="0" borderId="23" xfId="0" applyNumberFormat="1" applyBorder="1"/>
    <xf numFmtId="164" fontId="0" fillId="0" borderId="24" xfId="0" applyNumberFormat="1" applyBorder="1"/>
    <xf numFmtId="0" fontId="0" fillId="0" borderId="24" xfId="0" applyBorder="1"/>
    <xf numFmtId="164" fontId="3" fillId="0" borderId="40" xfId="0" applyNumberFormat="1" applyFont="1" applyBorder="1"/>
    <xf numFmtId="164" fontId="0" fillId="0" borderId="39" xfId="0" applyNumberFormat="1" applyBorder="1"/>
    <xf numFmtId="0" fontId="3" fillId="0" borderId="30" xfId="0" applyFont="1" applyBorder="1"/>
    <xf numFmtId="0" fontId="0" fillId="0" borderId="30" xfId="0" applyFill="1" applyBorder="1"/>
    <xf numFmtId="0" fontId="9" fillId="0" borderId="24" xfId="0" applyFont="1" applyBorder="1"/>
    <xf numFmtId="0" fontId="0" fillId="0" borderId="24" xfId="0" applyFont="1" applyBorder="1"/>
    <xf numFmtId="0" fontId="0" fillId="0" borderId="24" xfId="0" applyFill="1" applyBorder="1"/>
    <xf numFmtId="0" fontId="3" fillId="0" borderId="23" xfId="0" applyFont="1" applyBorder="1"/>
    <xf numFmtId="0" fontId="3" fillId="0" borderId="24" xfId="0" applyFont="1" applyBorder="1"/>
    <xf numFmtId="164" fontId="10" fillId="0" borderId="24" xfId="0" applyNumberFormat="1" applyFont="1" applyFill="1" applyBorder="1"/>
    <xf numFmtId="0" fontId="10" fillId="0" borderId="42" xfId="0" applyFont="1" applyBorder="1"/>
    <xf numFmtId="0" fontId="3" fillId="0" borderId="40" xfId="0" applyFont="1" applyBorder="1"/>
    <xf numFmtId="0" fontId="0" fillId="0" borderId="17" xfId="0" applyFill="1" applyBorder="1"/>
    <xf numFmtId="0" fontId="9" fillId="0" borderId="30" xfId="0" applyFont="1" applyFill="1" applyBorder="1"/>
    <xf numFmtId="164" fontId="0" fillId="0" borderId="30" xfId="0" applyNumberFormat="1" applyFill="1" applyBorder="1"/>
    <xf numFmtId="164" fontId="0" fillId="0" borderId="30" xfId="0" applyNumberFormat="1" applyBorder="1"/>
    <xf numFmtId="164" fontId="0" fillId="0" borderId="38" xfId="0" applyNumberFormat="1" applyBorder="1"/>
    <xf numFmtId="164" fontId="0" fillId="0" borderId="0" xfId="0" applyNumberFormat="1" applyFill="1" applyBorder="1"/>
    <xf numFmtId="164" fontId="0" fillId="0" borderId="39" xfId="0" applyNumberFormat="1" applyFill="1" applyBorder="1"/>
    <xf numFmtId="164" fontId="8" fillId="0" borderId="0" xfId="0" applyNumberFormat="1" applyFont="1" applyFill="1" applyBorder="1"/>
    <xf numFmtId="0" fontId="8" fillId="0" borderId="0" xfId="0" applyFont="1" applyFill="1" applyBorder="1"/>
    <xf numFmtId="0" fontId="8" fillId="0" borderId="23" xfId="0" applyFont="1" applyBorder="1"/>
    <xf numFmtId="2" fontId="0" fillId="0" borderId="40" xfId="0" applyNumberFormat="1" applyBorder="1"/>
    <xf numFmtId="0" fontId="3" fillId="0" borderId="35" xfId="0" applyFont="1" applyBorder="1"/>
    <xf numFmtId="164" fontId="3" fillId="0" borderId="9" xfId="0" applyNumberFormat="1" applyFont="1" applyBorder="1"/>
    <xf numFmtId="164" fontId="3" fillId="0" borderId="35" xfId="0" applyNumberFormat="1" applyFont="1" applyBorder="1"/>
    <xf numFmtId="164" fontId="3" fillId="0" borderId="9" xfId="0" applyNumberFormat="1" applyFont="1" applyBorder="1" applyAlignment="1">
      <alignment horizontal="right"/>
    </xf>
    <xf numFmtId="164" fontId="3" fillId="0" borderId="41" xfId="0" applyNumberFormat="1" applyFont="1" applyFill="1" applyBorder="1"/>
    <xf numFmtId="164" fontId="3" fillId="0" borderId="10" xfId="0" applyNumberFormat="1" applyFont="1" applyFill="1" applyBorder="1"/>
    <xf numFmtId="164" fontId="3" fillId="0" borderId="18" xfId="0" applyNumberFormat="1" applyFont="1" applyBorder="1"/>
    <xf numFmtId="0" fontId="3" fillId="0" borderId="0" xfId="0" applyFont="1" applyFill="1" applyBorder="1"/>
    <xf numFmtId="164" fontId="9" fillId="0" borderId="30" xfId="0" applyNumberFormat="1" applyFont="1" applyBorder="1"/>
    <xf numFmtId="164" fontId="9" fillId="0" borderId="0" xfId="0" applyNumberFormat="1" applyFont="1" applyFill="1" applyBorder="1"/>
    <xf numFmtId="0" fontId="0" fillId="0" borderId="0" xfId="0" applyFont="1" applyFill="1" applyBorder="1"/>
    <xf numFmtId="0" fontId="10" fillId="0" borderId="40" xfId="0" applyFont="1" applyBorder="1"/>
    <xf numFmtId="164" fontId="3" fillId="0" borderId="42" xfId="0" applyNumberFormat="1" applyFont="1" applyFill="1" applyBorder="1"/>
    <xf numFmtId="164" fontId="3" fillId="2" borderId="9" xfId="0" applyNumberFormat="1" applyFont="1" applyFill="1" applyBorder="1"/>
    <xf numFmtId="9" fontId="0" fillId="0" borderId="0" xfId="0" applyNumberFormat="1"/>
    <xf numFmtId="9" fontId="9" fillId="0" borderId="0" xfId="0" applyNumberFormat="1" applyFont="1"/>
    <xf numFmtId="0" fontId="45" fillId="0" borderId="0" xfId="0" applyFont="1" applyFill="1" applyBorder="1"/>
    <xf numFmtId="0" fontId="33" fillId="26" borderId="0" xfId="0" applyFont="1" applyFill="1" applyBorder="1" applyAlignment="1">
      <alignment horizontal="center" vertical="top" wrapText="1"/>
    </xf>
    <xf numFmtId="173" fontId="0" fillId="0" borderId="0" xfId="0" applyNumberFormat="1" applyBorder="1"/>
    <xf numFmtId="165" fontId="9" fillId="0" borderId="0" xfId="0" applyNumberFormat="1" applyFont="1" applyBorder="1"/>
    <xf numFmtId="2" fontId="9" fillId="0" borderId="0" xfId="0" applyNumberFormat="1" applyFont="1" applyBorder="1"/>
    <xf numFmtId="2" fontId="10" fillId="0" borderId="13" xfId="0" applyNumberFormat="1" applyFont="1" applyBorder="1"/>
    <xf numFmtId="173" fontId="0" fillId="0" borderId="0" xfId="0" applyNumberFormat="1" applyFont="1" applyBorder="1"/>
    <xf numFmtId="1" fontId="0" fillId="0" borderId="39" xfId="0" applyNumberFormat="1" applyBorder="1"/>
    <xf numFmtId="2" fontId="0" fillId="0" borderId="39" xfId="0" applyNumberFormat="1" applyBorder="1"/>
    <xf numFmtId="2" fontId="0" fillId="0" borderId="47" xfId="0" applyNumberFormat="1" applyFont="1" applyBorder="1"/>
    <xf numFmtId="2" fontId="0" fillId="0" borderId="39" xfId="0" applyNumberFormat="1" applyFont="1" applyBorder="1"/>
    <xf numFmtId="0" fontId="30" fillId="30" borderId="39" xfId="0" applyFont="1" applyFill="1" applyBorder="1" applyAlignment="1">
      <alignment vertical="top" wrapText="1"/>
    </xf>
    <xf numFmtId="0" fontId="0" fillId="0" borderId="0" xfId="0" applyAlignment="1">
      <alignment horizontal="right"/>
    </xf>
    <xf numFmtId="43" fontId="0" fillId="0" borderId="0" xfId="0" applyNumberFormat="1" applyFont="1"/>
    <xf numFmtId="164" fontId="3" fillId="0" borderId="9" xfId="0" applyNumberFormat="1" applyFont="1" applyFill="1" applyBorder="1"/>
    <xf numFmtId="164" fontId="3" fillId="0" borderId="39" xfId="0" applyNumberFormat="1" applyFont="1" applyFill="1" applyBorder="1"/>
    <xf numFmtId="164" fontId="3" fillId="0" borderId="35" xfId="0" applyNumberFormat="1" applyFont="1" applyFill="1" applyBorder="1"/>
    <xf numFmtId="164" fontId="3" fillId="0" borderId="40" xfId="0" applyNumberFormat="1" applyFont="1" applyFill="1" applyBorder="1"/>
    <xf numFmtId="0" fontId="71" fillId="0" borderId="11" xfId="0" applyFont="1" applyFill="1" applyBorder="1"/>
    <xf numFmtId="0" fontId="55" fillId="0" borderId="0" xfId="0" applyFont="1" applyAlignment="1">
      <alignment horizontal="left" vertical="top"/>
    </xf>
    <xf numFmtId="0" fontId="55" fillId="0" borderId="0" xfId="0" applyFont="1" applyAlignment="1">
      <alignment horizontal="right" vertical="top"/>
    </xf>
    <xf numFmtId="0" fontId="34" fillId="0" borderId="0" xfId="0" applyFont="1" applyAlignment="1">
      <alignment horizontal="left" vertical="top"/>
    </xf>
    <xf numFmtId="0" fontId="34" fillId="0" borderId="0" xfId="0" applyFont="1" applyAlignment="1">
      <alignment horizontal="right" vertical="top"/>
    </xf>
    <xf numFmtId="0" fontId="34" fillId="0" borderId="0" xfId="0" applyFont="1" applyAlignment="1">
      <alignment vertical="top"/>
    </xf>
    <xf numFmtId="0" fontId="34" fillId="0" borderId="0" xfId="0" applyFont="1" applyAlignment="1">
      <alignment vertical="top" wrapText="1"/>
    </xf>
    <xf numFmtId="0" fontId="34" fillId="0" borderId="0" xfId="0" applyFont="1" applyAlignment="1">
      <alignment horizontal="left"/>
    </xf>
    <xf numFmtId="9" fontId="34" fillId="0" borderId="0" xfId="0" applyNumberFormat="1" applyFont="1" applyAlignment="1">
      <alignment horizontal="right" vertical="top"/>
    </xf>
    <xf numFmtId="0" fontId="34" fillId="0" borderId="0" xfId="0" applyFont="1" applyFill="1" applyAlignment="1">
      <alignment horizontal="right" vertical="top"/>
    </xf>
    <xf numFmtId="0" fontId="34" fillId="0" borderId="0" xfId="0" applyFont="1" applyAlignment="1">
      <alignment horizontal="left" vertical="top" wrapText="1"/>
    </xf>
    <xf numFmtId="16" fontId="34" fillId="0" borderId="0" xfId="0" quotePrefix="1" applyNumberFormat="1" applyFont="1" applyAlignment="1">
      <alignment horizontal="left" vertical="top"/>
    </xf>
    <xf numFmtId="9" fontId="34" fillId="0" borderId="0" xfId="0" applyNumberFormat="1" applyFont="1" applyAlignment="1">
      <alignment horizontal="left" vertical="top"/>
    </xf>
    <xf numFmtId="0" fontId="34" fillId="0" borderId="0" xfId="0" quotePrefix="1" applyFont="1" applyAlignment="1">
      <alignment horizontal="left" vertical="top"/>
    </xf>
    <xf numFmtId="0" fontId="34" fillId="0" borderId="0" xfId="3" applyFont="1" applyAlignment="1">
      <alignment horizontal="left" vertical="top"/>
    </xf>
    <xf numFmtId="0" fontId="34" fillId="0" borderId="0" xfId="0" applyFont="1" applyFill="1" applyAlignment="1">
      <alignment vertical="top"/>
    </xf>
    <xf numFmtId="0" fontId="30" fillId="0" borderId="0" xfId="0" applyFont="1" applyFill="1" applyAlignment="1">
      <alignment vertical="top"/>
    </xf>
    <xf numFmtId="0" fontId="33" fillId="26" borderId="0" xfId="0" applyFont="1" applyFill="1" applyBorder="1" applyAlignment="1">
      <alignment vertical="center"/>
    </xf>
    <xf numFmtId="0" fontId="53" fillId="26" borderId="0" xfId="0" applyFont="1" applyFill="1" applyBorder="1" applyAlignment="1">
      <alignment vertical="center"/>
    </xf>
    <xf numFmtId="9" fontId="30" fillId="26" borderId="24" xfId="0" applyNumberFormat="1" applyFont="1" applyFill="1" applyBorder="1" applyAlignment="1">
      <alignment vertical="center" wrapText="1"/>
    </xf>
    <xf numFmtId="0" fontId="53" fillId="26" borderId="24" xfId="0" applyFont="1" applyFill="1" applyBorder="1" applyAlignment="1">
      <alignment vertical="center"/>
    </xf>
    <xf numFmtId="0" fontId="30" fillId="26" borderId="24" xfId="0" applyFont="1" applyFill="1" applyBorder="1" applyAlignment="1">
      <alignment vertical="center" wrapText="1"/>
    </xf>
    <xf numFmtId="0" fontId="30" fillId="26" borderId="44" xfId="0" applyFont="1" applyFill="1" applyBorder="1" applyAlignment="1">
      <alignment vertical="top" wrapText="1"/>
    </xf>
    <xf numFmtId="0" fontId="33" fillId="26" borderId="24" xfId="0" applyFont="1" applyFill="1" applyBorder="1" applyAlignment="1">
      <alignment vertical="center" wrapText="1"/>
    </xf>
    <xf numFmtId="0" fontId="40" fillId="7" borderId="53" xfId="0" applyFont="1" applyFill="1" applyBorder="1" applyAlignment="1">
      <alignment horizontal="center" vertical="center" wrapText="1"/>
    </xf>
    <xf numFmtId="0" fontId="40" fillId="8" borderId="53" xfId="0" applyFont="1" applyFill="1" applyBorder="1" applyAlignment="1">
      <alignment horizontal="center" vertical="center" wrapText="1"/>
    </xf>
    <xf numFmtId="0" fontId="40" fillId="9" borderId="53" xfId="0" applyFont="1" applyFill="1" applyBorder="1" applyAlignment="1">
      <alignment horizontal="center" vertical="center" wrapText="1"/>
    </xf>
    <xf numFmtId="0" fontId="33" fillId="26" borderId="30" xfId="0" applyFont="1" applyFill="1" applyBorder="1" applyAlignment="1">
      <alignment horizontal="center" vertical="center" wrapText="1"/>
    </xf>
    <xf numFmtId="0" fontId="30" fillId="26" borderId="13" xfId="0" applyFont="1" applyFill="1" applyBorder="1" applyAlignment="1">
      <alignment horizontal="center" vertical="top" wrapText="1"/>
    </xf>
    <xf numFmtId="0" fontId="30" fillId="26" borderId="53" xfId="0" applyFont="1" applyFill="1" applyBorder="1" applyAlignment="1">
      <alignment horizontal="center" wrapText="1"/>
    </xf>
    <xf numFmtId="0" fontId="32" fillId="26" borderId="0" xfId="0" applyFont="1" applyFill="1" applyBorder="1" applyAlignment="1">
      <alignment wrapText="1"/>
    </xf>
    <xf numFmtId="0" fontId="34" fillId="0" borderId="0" xfId="0" applyFont="1" applyFill="1" applyAlignment="1">
      <alignment horizontal="left" vertical="top" wrapText="1"/>
    </xf>
    <xf numFmtId="0" fontId="34" fillId="0" borderId="0" xfId="0" applyFont="1" applyFill="1" applyAlignment="1">
      <alignment vertical="top" wrapText="1"/>
    </xf>
    <xf numFmtId="0" fontId="30" fillId="0" borderId="0" xfId="0" applyFont="1" applyFill="1" applyAlignment="1">
      <alignment vertical="top" wrapText="1"/>
    </xf>
    <xf numFmtId="0" fontId="30" fillId="26" borderId="0" xfId="0" applyFont="1" applyFill="1" applyBorder="1" applyAlignment="1">
      <alignment horizontal="center" vertical="center" wrapText="1"/>
    </xf>
    <xf numFmtId="9" fontId="0" fillId="0" borderId="0" xfId="2" applyNumberFormat="1" applyFont="1"/>
    <xf numFmtId="9" fontId="8" fillId="0" borderId="0" xfId="2" applyFont="1"/>
    <xf numFmtId="9" fontId="8" fillId="0" borderId="0" xfId="2" applyNumberFormat="1" applyFont="1"/>
    <xf numFmtId="2" fontId="3" fillId="0" borderId="0" xfId="0" applyNumberFormat="1" applyFont="1" applyFill="1"/>
    <xf numFmtId="0" fontId="33" fillId="26" borderId="0" xfId="0" applyFont="1" applyFill="1"/>
    <xf numFmtId="0" fontId="74" fillId="26" borderId="0" xfId="0" applyFont="1" applyFill="1"/>
    <xf numFmtId="0" fontId="75" fillId="26" borderId="0" xfId="0" applyFont="1" applyFill="1"/>
    <xf numFmtId="0" fontId="30" fillId="0" borderId="6" xfId="0" applyFont="1" applyBorder="1"/>
    <xf numFmtId="164" fontId="30" fillId="0" borderId="11" xfId="0" applyNumberFormat="1" applyFont="1" applyBorder="1"/>
    <xf numFmtId="0" fontId="34" fillId="0" borderId="0" xfId="0" applyFont="1" applyFill="1" applyBorder="1" applyAlignment="1">
      <alignment horizontal="center" vertical="center" wrapText="1"/>
    </xf>
    <xf numFmtId="0" fontId="31" fillId="0" borderId="11" xfId="0" applyFont="1" applyBorder="1"/>
    <xf numFmtId="0" fontId="30" fillId="0" borderId="11" xfId="0" applyFont="1" applyBorder="1" applyAlignment="1">
      <alignment horizontal="left" vertical="center"/>
    </xf>
    <xf numFmtId="0" fontId="34" fillId="0" borderId="1" xfId="0" applyFont="1" applyFill="1" applyBorder="1" applyAlignment="1">
      <alignment horizontal="center" vertical="center" wrapText="1"/>
    </xf>
    <xf numFmtId="0" fontId="76" fillId="0" borderId="9" xfId="0" applyFont="1" applyFill="1" applyBorder="1" applyAlignment="1">
      <alignment horizontal="center" vertical="center" wrapText="1"/>
    </xf>
    <xf numFmtId="164" fontId="30" fillId="0" borderId="5" xfId="0" applyNumberFormat="1" applyFont="1" applyBorder="1"/>
    <xf numFmtId="164" fontId="76" fillId="0" borderId="7" xfId="0" applyNumberFormat="1" applyFont="1" applyFill="1" applyBorder="1"/>
    <xf numFmtId="164" fontId="76" fillId="0" borderId="9" xfId="0" applyNumberFormat="1" applyFont="1" applyFill="1" applyBorder="1"/>
    <xf numFmtId="164" fontId="30" fillId="0" borderId="13" xfId="0" applyNumberFormat="1" applyFont="1" applyBorder="1"/>
    <xf numFmtId="164" fontId="76" fillId="0" borderId="12" xfId="0" applyNumberFormat="1" applyFont="1" applyFill="1" applyBorder="1"/>
    <xf numFmtId="0" fontId="34" fillId="9" borderId="1" xfId="0" applyFont="1" applyFill="1" applyBorder="1" applyAlignment="1">
      <alignment horizontal="center" vertical="center" wrapText="1"/>
    </xf>
    <xf numFmtId="0" fontId="34" fillId="9" borderId="0" xfId="0" applyFont="1" applyFill="1" applyBorder="1" applyAlignment="1">
      <alignment horizontal="center" vertical="center" wrapText="1"/>
    </xf>
    <xf numFmtId="0" fontId="76" fillId="9" borderId="9" xfId="0" applyFont="1" applyFill="1" applyBorder="1" applyAlignment="1">
      <alignment horizontal="center" vertical="center" wrapText="1"/>
    </xf>
    <xf numFmtId="164" fontId="30" fillId="9" borderId="6" xfId="0" applyNumberFormat="1" applyFont="1" applyFill="1" applyBorder="1"/>
    <xf numFmtId="164" fontId="30" fillId="9" borderId="5" xfId="0" applyNumberFormat="1" applyFont="1" applyFill="1" applyBorder="1"/>
    <xf numFmtId="164" fontId="76" fillId="9" borderId="7" xfId="0" applyNumberFormat="1" applyFont="1" applyFill="1" applyBorder="1"/>
    <xf numFmtId="164" fontId="30" fillId="9" borderId="1" xfId="0" applyNumberFormat="1" applyFont="1" applyFill="1" applyBorder="1"/>
    <xf numFmtId="164" fontId="30" fillId="9" borderId="0" xfId="0" applyNumberFormat="1" applyFont="1" applyFill="1" applyBorder="1"/>
    <xf numFmtId="164" fontId="76" fillId="9" borderId="9" xfId="0" applyNumberFormat="1" applyFont="1" applyFill="1" applyBorder="1"/>
    <xf numFmtId="164" fontId="30" fillId="9" borderId="11" xfId="0" applyNumberFormat="1" applyFont="1" applyFill="1" applyBorder="1"/>
    <xf numFmtId="164" fontId="30" fillId="9" borderId="13" xfId="0" applyNumberFormat="1" applyFont="1" applyFill="1" applyBorder="1"/>
    <xf numFmtId="164" fontId="76" fillId="9" borderId="12" xfId="0" applyNumberFormat="1" applyFont="1" applyFill="1" applyBorder="1"/>
    <xf numFmtId="0" fontId="0" fillId="0" borderId="11" xfId="0" applyBorder="1" applyAlignment="1">
      <alignment vertical="top" wrapText="1"/>
    </xf>
    <xf numFmtId="0" fontId="0" fillId="0" borderId="12" xfId="0" applyBorder="1" applyAlignment="1">
      <alignment vertical="top" wrapText="1"/>
    </xf>
    <xf numFmtId="164" fontId="0" fillId="0" borderId="7" xfId="0" applyNumberFormat="1" applyFill="1" applyBorder="1"/>
    <xf numFmtId="2" fontId="9" fillId="0" borderId="9" xfId="0" applyNumberFormat="1" applyFont="1" applyFill="1" applyBorder="1"/>
    <xf numFmtId="2" fontId="9" fillId="0" borderId="12" xfId="0" applyNumberFormat="1" applyFont="1" applyFill="1" applyBorder="1"/>
    <xf numFmtId="164" fontId="9" fillId="0" borderId="7" xfId="0" applyNumberFormat="1" applyFont="1" applyFill="1" applyBorder="1"/>
    <xf numFmtId="164" fontId="9" fillId="0" borderId="12" xfId="0" applyNumberFormat="1" applyFont="1" applyFill="1" applyBorder="1"/>
    <xf numFmtId="164" fontId="0" fillId="0" borderId="7" xfId="0" applyNumberFormat="1" applyFill="1" applyBorder="1" applyAlignment="1">
      <alignment vertical="top"/>
    </xf>
    <xf numFmtId="0" fontId="0" fillId="0" borderId="9" xfId="0" applyFill="1" applyBorder="1"/>
    <xf numFmtId="164" fontId="0" fillId="0" borderId="12" xfId="0" applyNumberFormat="1" applyFill="1" applyBorder="1"/>
    <xf numFmtId="0" fontId="0" fillId="0" borderId="3" xfId="0" applyFill="1" applyBorder="1" applyAlignment="1">
      <alignment vertical="top" wrapText="1"/>
    </xf>
    <xf numFmtId="0" fontId="0" fillId="0" borderId="4" xfId="0" applyFill="1" applyBorder="1" applyAlignment="1">
      <alignment vertical="top" wrapText="1"/>
    </xf>
    <xf numFmtId="0" fontId="9" fillId="0" borderId="13" xfId="0" applyFont="1" applyFill="1" applyBorder="1"/>
    <xf numFmtId="9" fontId="9" fillId="0" borderId="5" xfId="2" applyFont="1" applyFill="1" applyBorder="1"/>
    <xf numFmtId="9" fontId="9" fillId="0" borderId="7" xfId="2" applyFont="1" applyFill="1" applyBorder="1"/>
    <xf numFmtId="9" fontId="9" fillId="0" borderId="13" xfId="2" applyFont="1" applyFill="1" applyBorder="1"/>
    <xf numFmtId="9" fontId="9" fillId="0" borderId="12" xfId="2" applyFont="1" applyFill="1" applyBorder="1"/>
    <xf numFmtId="0" fontId="10" fillId="0" borderId="15" xfId="0" applyFont="1" applyFill="1" applyBorder="1" applyAlignment="1">
      <alignment wrapText="1"/>
    </xf>
    <xf numFmtId="0" fontId="0" fillId="0" borderId="8" xfId="0" applyFill="1" applyBorder="1" applyAlignment="1">
      <alignment vertical="top"/>
    </xf>
    <xf numFmtId="0" fontId="0" fillId="0" borderId="14" xfId="0" applyFill="1" applyBorder="1"/>
    <xf numFmtId="0" fontId="0" fillId="0" borderId="8" xfId="0" applyFill="1" applyBorder="1"/>
    <xf numFmtId="0" fontId="9" fillId="0" borderId="10" xfId="0" applyFont="1" applyFill="1" applyBorder="1"/>
    <xf numFmtId="0" fontId="9" fillId="0" borderId="14" xfId="0" applyFont="1" applyFill="1" applyBorder="1"/>
    <xf numFmtId="0" fontId="9" fillId="0" borderId="8" xfId="0" applyFont="1" applyFill="1" applyBorder="1"/>
    <xf numFmtId="0" fontId="3" fillId="0" borderId="10" xfId="0" applyFont="1" applyFill="1" applyBorder="1"/>
    <xf numFmtId="164" fontId="9" fillId="0" borderId="9" xfId="0" applyNumberFormat="1" applyFont="1" applyFill="1" applyBorder="1"/>
    <xf numFmtId="0" fontId="58" fillId="0" borderId="27" xfId="0" applyFont="1" applyBorder="1" applyAlignment="1">
      <alignment vertical="center" wrapText="1"/>
    </xf>
    <xf numFmtId="0" fontId="58" fillId="0" borderId="28" xfId="0" applyFont="1" applyBorder="1" applyAlignment="1">
      <alignment vertical="center" wrapText="1"/>
    </xf>
    <xf numFmtId="0" fontId="58" fillId="0" borderId="52" xfId="0" applyFont="1" applyBorder="1" applyAlignment="1">
      <alignment horizontal="center" vertical="center" wrapText="1"/>
    </xf>
    <xf numFmtId="0" fontId="58" fillId="0" borderId="53" xfId="0" applyFont="1" applyBorder="1" applyAlignment="1">
      <alignment horizontal="center" vertical="center" wrapText="1"/>
    </xf>
    <xf numFmtId="0" fontId="58" fillId="0" borderId="54" xfId="0" applyFont="1" applyBorder="1" applyAlignment="1">
      <alignment horizontal="center" vertical="center" wrapText="1"/>
    </xf>
    <xf numFmtId="0" fontId="63" fillId="0" borderId="33" xfId="0" applyFont="1" applyBorder="1" applyAlignment="1">
      <alignment vertical="center" wrapText="1"/>
    </xf>
    <xf numFmtId="0" fontId="63" fillId="0" borderId="28" xfId="0" applyFont="1" applyBorder="1" applyAlignment="1">
      <alignment vertical="center" wrapText="1"/>
    </xf>
    <xf numFmtId="0" fontId="64" fillId="0" borderId="33" xfId="0" applyFont="1" applyBorder="1" applyAlignment="1">
      <alignment vertical="center" wrapText="1"/>
    </xf>
    <xf numFmtId="0" fontId="64" fillId="0" borderId="28" xfId="0" applyFont="1" applyBorder="1" applyAlignment="1">
      <alignment vertical="center" wrapText="1"/>
    </xf>
    <xf numFmtId="0" fontId="18" fillId="0" borderId="43" xfId="0" applyFont="1" applyBorder="1" applyAlignment="1">
      <alignment horizontal="center"/>
    </xf>
    <xf numFmtId="0" fontId="18" fillId="0" borderId="44" xfId="0" applyFont="1" applyBorder="1" applyAlignment="1">
      <alignment horizontal="center"/>
    </xf>
    <xf numFmtId="0" fontId="18" fillId="0" borderId="45" xfId="0" applyFont="1" applyBorder="1" applyAlignment="1">
      <alignment horizontal="center"/>
    </xf>
    <xf numFmtId="0" fontId="14" fillId="0" borderId="33" xfId="0" applyFont="1" applyBorder="1" applyAlignment="1">
      <alignment horizontal="center" vertical="center" wrapText="1"/>
    </xf>
    <xf numFmtId="0" fontId="14" fillId="0" borderId="28" xfId="0" applyFont="1" applyBorder="1" applyAlignment="1">
      <alignment horizontal="center" vertical="center" wrapText="1"/>
    </xf>
    <xf numFmtId="166" fontId="14" fillId="4" borderId="39" xfId="0" applyNumberFormat="1" applyFont="1" applyFill="1" applyBorder="1" applyAlignment="1">
      <alignment horizontal="center" vertical="center"/>
    </xf>
    <xf numFmtId="166" fontId="14" fillId="4" borderId="40" xfId="0" applyNumberFormat="1" applyFont="1" applyFill="1" applyBorder="1" applyAlignment="1">
      <alignment horizontal="center" vertical="center"/>
    </xf>
    <xf numFmtId="166" fontId="14" fillId="31" borderId="10" xfId="0" applyNumberFormat="1" applyFont="1" applyFill="1" applyBorder="1" applyAlignment="1">
      <alignment horizontal="center" vertical="center"/>
    </xf>
    <xf numFmtId="166" fontId="14" fillId="31" borderId="42" xfId="0" applyNumberFormat="1" applyFont="1" applyFill="1" applyBorder="1" applyAlignment="1">
      <alignment horizontal="center" vertical="center"/>
    </xf>
    <xf numFmtId="166" fontId="14" fillId="32" borderId="9" xfId="1" applyNumberFormat="1" applyFont="1" applyFill="1" applyBorder="1" applyAlignment="1">
      <alignment horizontal="center" vertical="center"/>
    </xf>
    <xf numFmtId="166" fontId="14" fillId="32" borderId="35" xfId="1" applyNumberFormat="1" applyFont="1" applyFill="1" applyBorder="1" applyAlignment="1">
      <alignment horizontal="center" vertical="center"/>
    </xf>
    <xf numFmtId="166" fontId="14" fillId="7" borderId="24" xfId="1" applyNumberFormat="1" applyFont="1" applyFill="1" applyBorder="1" applyAlignment="1">
      <alignment horizontal="center" vertical="center"/>
    </xf>
    <xf numFmtId="166" fontId="14" fillId="0" borderId="21" xfId="0" applyNumberFormat="1" applyFont="1" applyFill="1" applyBorder="1" applyAlignment="1">
      <alignment horizontal="center" vertical="center"/>
    </xf>
    <xf numFmtId="166" fontId="14" fillId="0" borderId="23" xfId="0" applyNumberFormat="1" applyFont="1" applyFill="1" applyBorder="1" applyAlignment="1">
      <alignment horizontal="center" vertical="center"/>
    </xf>
    <xf numFmtId="166" fontId="14" fillId="31" borderId="39" xfId="0" applyNumberFormat="1" applyFont="1" applyFill="1" applyBorder="1" applyAlignment="1">
      <alignment horizontal="center" vertical="center"/>
    </xf>
    <xf numFmtId="166" fontId="14" fillId="31" borderId="40" xfId="0" applyNumberFormat="1" applyFont="1" applyFill="1" applyBorder="1" applyAlignment="1">
      <alignment horizontal="center" vertical="center"/>
    </xf>
    <xf numFmtId="166" fontId="14" fillId="5" borderId="24" xfId="1" applyNumberFormat="1" applyFont="1" applyFill="1" applyBorder="1" applyAlignment="1">
      <alignment horizontal="center" vertical="center"/>
    </xf>
    <xf numFmtId="0" fontId="0" fillId="0" borderId="24" xfId="0" applyBorder="1" applyAlignment="1">
      <alignment horizontal="center" vertical="center"/>
    </xf>
    <xf numFmtId="166" fontId="14" fillId="29" borderId="33" xfId="0" applyNumberFormat="1" applyFont="1" applyFill="1" applyBorder="1" applyAlignment="1">
      <alignment horizontal="center" vertical="center"/>
    </xf>
    <xf numFmtId="166" fontId="14" fillId="29" borderId="28" xfId="0" applyNumberFormat="1" applyFont="1" applyFill="1" applyBorder="1" applyAlignment="1">
      <alignment horizontal="center" vertical="center"/>
    </xf>
    <xf numFmtId="0" fontId="0" fillId="0" borderId="13" xfId="0" applyBorder="1" applyAlignment="1">
      <alignment horizontal="center"/>
    </xf>
    <xf numFmtId="0" fontId="0" fillId="0" borderId="12" xfId="0" applyBorder="1" applyAlignment="1">
      <alignment horizontal="center"/>
    </xf>
    <xf numFmtId="0" fontId="0" fillId="0" borderId="37" xfId="0" applyBorder="1" applyAlignment="1">
      <alignment horizontal="center"/>
    </xf>
    <xf numFmtId="0" fontId="0" fillId="0" borderId="11" xfId="0" applyBorder="1" applyAlignment="1">
      <alignment horizontal="center"/>
    </xf>
    <xf numFmtId="0" fontId="0" fillId="0" borderId="52" xfId="0" applyBorder="1" applyAlignment="1">
      <alignment horizontal="center"/>
    </xf>
    <xf numFmtId="0" fontId="0" fillId="0" borderId="53" xfId="0" applyBorder="1" applyAlignment="1">
      <alignment horizontal="center"/>
    </xf>
    <xf numFmtId="0" fontId="0" fillId="0" borderId="54" xfId="0" applyBorder="1" applyAlignment="1">
      <alignment horizontal="center"/>
    </xf>
    <xf numFmtId="0" fontId="0" fillId="0" borderId="67" xfId="0" applyBorder="1" applyAlignment="1">
      <alignment horizontal="center" vertical="top"/>
    </xf>
    <xf numFmtId="0" fontId="0" fillId="0" borderId="5" xfId="0" applyBorder="1" applyAlignment="1">
      <alignment horizontal="center" vertical="top"/>
    </xf>
    <xf numFmtId="0" fontId="0" fillId="0" borderId="7" xfId="0" applyBorder="1" applyAlignment="1">
      <alignment horizontal="center" vertical="top"/>
    </xf>
    <xf numFmtId="0" fontId="0" fillId="0" borderId="6" xfId="0" applyBorder="1" applyAlignment="1">
      <alignment horizontal="center" wrapText="1"/>
    </xf>
    <xf numFmtId="0" fontId="0" fillId="0" borderId="5" xfId="0" applyBorder="1" applyAlignment="1">
      <alignment horizontal="center"/>
    </xf>
    <xf numFmtId="0" fontId="0" fillId="0" borderId="7" xfId="0" applyBorder="1" applyAlignment="1">
      <alignment horizontal="center"/>
    </xf>
    <xf numFmtId="0" fontId="0" fillId="0" borderId="57" xfId="0" applyBorder="1" applyAlignment="1">
      <alignment horizontal="center"/>
    </xf>
    <xf numFmtId="0" fontId="0" fillId="0" borderId="64" xfId="0" applyBorder="1" applyAlignment="1">
      <alignment horizontal="center"/>
    </xf>
    <xf numFmtId="0" fontId="0" fillId="0" borderId="2" xfId="0" applyFill="1" applyBorder="1" applyAlignment="1">
      <alignment horizontal="center"/>
    </xf>
    <xf numFmtId="0" fontId="0" fillId="0" borderId="3" xfId="0" applyFill="1" applyBorder="1" applyAlignment="1">
      <alignment horizontal="center"/>
    </xf>
    <xf numFmtId="0" fontId="0" fillId="0" borderId="63" xfId="0" applyFill="1" applyBorder="1" applyAlignment="1">
      <alignment horizontal="center"/>
    </xf>
    <xf numFmtId="0" fontId="0" fillId="0" borderId="6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67" xfId="0" applyBorder="1" applyAlignment="1">
      <alignment horizontal="center"/>
    </xf>
    <xf numFmtId="0" fontId="0" fillId="0" borderId="21" xfId="0" applyFont="1" applyBorder="1" applyAlignment="1">
      <alignment horizontal="center"/>
    </xf>
    <xf numFmtId="0" fontId="0" fillId="0" borderId="0" xfId="0" applyFont="1" applyBorder="1" applyAlignment="1">
      <alignment horizontal="center"/>
    </xf>
    <xf numFmtId="0" fontId="0" fillId="0" borderId="39" xfId="0" applyFont="1" applyBorder="1" applyAlignment="1">
      <alignment horizontal="center"/>
    </xf>
    <xf numFmtId="2" fontId="0" fillId="0" borderId="2" xfId="0" applyNumberFormat="1" applyBorder="1" applyAlignment="1">
      <alignment horizontal="center"/>
    </xf>
    <xf numFmtId="2" fontId="0" fillId="0" borderId="3" xfId="0" applyNumberFormat="1" applyBorder="1" applyAlignment="1">
      <alignment horizontal="center"/>
    </xf>
    <xf numFmtId="2" fontId="0" fillId="0" borderId="4" xfId="0" applyNumberFormat="1" applyBorder="1" applyAlignment="1">
      <alignment horizontal="center"/>
    </xf>
    <xf numFmtId="0" fontId="9" fillId="0" borderId="13" xfId="0" applyFont="1" applyBorder="1" applyAlignment="1">
      <alignment horizontal="center"/>
    </xf>
    <xf numFmtId="9" fontId="34" fillId="0" borderId="2" xfId="0" applyNumberFormat="1" applyFont="1" applyBorder="1" applyAlignment="1">
      <alignment horizontal="left"/>
    </xf>
    <xf numFmtId="9" fontId="34" fillId="0" borderId="3" xfId="0" applyNumberFormat="1" applyFont="1" applyBorder="1" applyAlignment="1">
      <alignment horizontal="left"/>
    </xf>
    <xf numFmtId="9" fontId="34" fillId="0" borderId="4" xfId="0" applyNumberFormat="1" applyFont="1" applyBorder="1" applyAlignment="1">
      <alignment horizontal="left"/>
    </xf>
    <xf numFmtId="2" fontId="0" fillId="0" borderId="3" xfId="0" applyNumberFormat="1" applyFill="1" applyBorder="1" applyAlignment="1">
      <alignment horizontal="center"/>
    </xf>
    <xf numFmtId="2" fontId="0" fillId="0" borderId="4" xfId="0" applyNumberFormat="1" applyFill="1" applyBorder="1" applyAlignment="1">
      <alignment horizontal="center"/>
    </xf>
    <xf numFmtId="0" fontId="30" fillId="5" borderId="59" xfId="0" applyFont="1" applyFill="1" applyBorder="1" applyAlignment="1">
      <alignment horizontal="center" vertical="top" wrapText="1"/>
    </xf>
    <xf numFmtId="0" fontId="30" fillId="5" borderId="60" xfId="0" applyFont="1" applyFill="1" applyBorder="1" applyAlignment="1">
      <alignment horizontal="center" vertical="top" wrapText="1"/>
    </xf>
    <xf numFmtId="0" fontId="30" fillId="5" borderId="61" xfId="0" applyFont="1" applyFill="1" applyBorder="1" applyAlignment="1">
      <alignment horizontal="center" vertical="top" wrapText="1"/>
    </xf>
    <xf numFmtId="0" fontId="30" fillId="6" borderId="59" xfId="0" applyFont="1" applyFill="1" applyBorder="1" applyAlignment="1">
      <alignment horizontal="center" vertical="top" wrapText="1"/>
    </xf>
    <xf numFmtId="0" fontId="30" fillId="6" borderId="60" xfId="0" applyFont="1" applyFill="1" applyBorder="1" applyAlignment="1">
      <alignment horizontal="center" vertical="top" wrapText="1"/>
    </xf>
    <xf numFmtId="0" fontId="30" fillId="6" borderId="61" xfId="0" applyFont="1" applyFill="1" applyBorder="1" applyAlignment="1">
      <alignment horizontal="center" vertical="top" wrapText="1"/>
    </xf>
    <xf numFmtId="0" fontId="30" fillId="24" borderId="67" xfId="0" applyFont="1" applyFill="1" applyBorder="1" applyAlignment="1">
      <alignment horizontal="center" vertical="top"/>
    </xf>
    <xf numFmtId="0" fontId="30" fillId="24" borderId="5" xfId="0" applyFont="1" applyFill="1" applyBorder="1" applyAlignment="1">
      <alignment horizontal="center" vertical="top"/>
    </xf>
    <xf numFmtId="0" fontId="30" fillId="24" borderId="64" xfId="0" applyFont="1" applyFill="1" applyBorder="1" applyAlignment="1">
      <alignment horizontal="center" vertical="top"/>
    </xf>
    <xf numFmtId="2" fontId="32" fillId="0" borderId="67" xfId="0" applyNumberFormat="1" applyFont="1" applyBorder="1" applyAlignment="1">
      <alignment horizontal="center"/>
    </xf>
    <xf numFmtId="2" fontId="32" fillId="0" borderId="7" xfId="0" applyNumberFormat="1" applyFont="1" applyBorder="1" applyAlignment="1">
      <alignment horizontal="center"/>
    </xf>
    <xf numFmtId="2" fontId="32" fillId="0" borderId="23" xfId="0" applyNumberFormat="1" applyFont="1" applyBorder="1" applyAlignment="1">
      <alignment horizontal="center"/>
    </xf>
    <xf numFmtId="2" fontId="32" fillId="0" borderId="35" xfId="0" applyNumberFormat="1" applyFont="1" applyBorder="1" applyAlignment="1">
      <alignment horizontal="center"/>
    </xf>
    <xf numFmtId="0" fontId="33" fillId="0" borderId="1" xfId="0" applyFont="1" applyBorder="1" applyAlignment="1">
      <alignment horizontal="center"/>
    </xf>
    <xf numFmtId="0" fontId="33" fillId="0" borderId="0" xfId="0" applyFont="1" applyBorder="1" applyAlignment="1">
      <alignment horizontal="center"/>
    </xf>
    <xf numFmtId="0" fontId="33" fillId="0" borderId="66" xfId="0" applyFont="1" applyBorder="1" applyAlignment="1">
      <alignment horizontal="center"/>
    </xf>
    <xf numFmtId="0" fontId="33" fillId="0" borderId="24" xfId="0" applyFont="1" applyBorder="1" applyAlignment="1">
      <alignment horizontal="center"/>
    </xf>
    <xf numFmtId="2" fontId="32" fillId="0" borderId="5" xfId="0" applyNumberFormat="1" applyFont="1" applyBorder="1" applyAlignment="1">
      <alignment horizontal="center"/>
    </xf>
    <xf numFmtId="2" fontId="32" fillId="0" borderId="64" xfId="0" applyNumberFormat="1" applyFont="1" applyBorder="1" applyAlignment="1">
      <alignment horizontal="center"/>
    </xf>
    <xf numFmtId="2" fontId="32" fillId="0" borderId="24" xfId="0" applyNumberFormat="1" applyFont="1" applyBorder="1" applyAlignment="1">
      <alignment horizontal="center"/>
    </xf>
    <xf numFmtId="2" fontId="32" fillId="0" borderId="40" xfId="0" applyNumberFormat="1" applyFont="1" applyBorder="1" applyAlignment="1">
      <alignment horizontal="center"/>
    </xf>
    <xf numFmtId="0" fontId="33" fillId="0" borderId="9" xfId="0" applyFont="1" applyBorder="1" applyAlignment="1">
      <alignment horizontal="center"/>
    </xf>
    <xf numFmtId="0" fontId="33" fillId="0" borderId="35" xfId="0" applyFont="1" applyBorder="1" applyAlignment="1">
      <alignment horizontal="center"/>
    </xf>
    <xf numFmtId="0" fontId="30" fillId="0" borderId="69" xfId="0" applyFont="1" applyFill="1" applyBorder="1" applyAlignment="1">
      <alignment horizontal="center" vertical="top" wrapText="1"/>
    </xf>
    <xf numFmtId="0" fontId="30" fillId="0" borderId="30" xfId="0" applyFont="1" applyFill="1" applyBorder="1" applyAlignment="1">
      <alignment horizontal="center" vertical="top" wrapText="1"/>
    </xf>
    <xf numFmtId="0" fontId="30" fillId="0" borderId="30" xfId="0" applyFont="1" applyBorder="1" applyAlignment="1">
      <alignment horizontal="left" vertical="top" wrapText="1"/>
    </xf>
    <xf numFmtId="0" fontId="31" fillId="0" borderId="56" xfId="0" applyFont="1" applyBorder="1" applyAlignment="1">
      <alignment horizontal="center" vertical="center" wrapText="1"/>
    </xf>
    <xf numFmtId="0" fontId="31" fillId="0" borderId="51" xfId="0" applyFont="1" applyBorder="1" applyAlignment="1">
      <alignment horizontal="center" vertical="center" wrapText="1"/>
    </xf>
    <xf numFmtId="0" fontId="30" fillId="15" borderId="59" xfId="0" applyFont="1" applyFill="1" applyBorder="1" applyAlignment="1">
      <alignment horizontal="center" vertical="top" wrapText="1"/>
    </xf>
    <xf numFmtId="0" fontId="30" fillId="15" borderId="60" xfId="0" applyFont="1" applyFill="1" applyBorder="1" applyAlignment="1">
      <alignment horizontal="center" vertical="top" wrapText="1"/>
    </xf>
    <xf numFmtId="0" fontId="30" fillId="15" borderId="61" xfId="0" applyFont="1" applyFill="1" applyBorder="1" applyAlignment="1">
      <alignment horizontal="center" vertical="top" wrapText="1"/>
    </xf>
    <xf numFmtId="0" fontId="30" fillId="16" borderId="59" xfId="0" applyFont="1" applyFill="1" applyBorder="1" applyAlignment="1">
      <alignment horizontal="center" vertical="top" wrapText="1"/>
    </xf>
    <xf numFmtId="0" fontId="30" fillId="16" borderId="60" xfId="0" applyFont="1" applyFill="1" applyBorder="1" applyAlignment="1">
      <alignment horizontal="center" vertical="top" wrapText="1"/>
    </xf>
    <xf numFmtId="0" fontId="30" fillId="16" borderId="61" xfId="0" applyFont="1" applyFill="1" applyBorder="1" applyAlignment="1">
      <alignment horizontal="center" vertical="top" wrapText="1"/>
    </xf>
    <xf numFmtId="0" fontId="30" fillId="28" borderId="0" xfId="0" applyFont="1" applyFill="1" applyBorder="1" applyAlignment="1">
      <alignment horizontal="center" vertical="top" wrapText="1"/>
    </xf>
    <xf numFmtId="0" fontId="30" fillId="28" borderId="39" xfId="0" applyFont="1" applyFill="1" applyBorder="1" applyAlignment="1">
      <alignment horizontal="center" vertical="top" wrapText="1"/>
    </xf>
    <xf numFmtId="0" fontId="0" fillId="0" borderId="0" xfId="0" applyBorder="1" applyAlignment="1">
      <alignment horizontal="center"/>
    </xf>
    <xf numFmtId="0" fontId="0" fillId="0" borderId="39" xfId="0" applyBorder="1" applyAlignment="1">
      <alignment horizontal="center"/>
    </xf>
    <xf numFmtId="0" fontId="28" fillId="0" borderId="0" xfId="0" applyFont="1" applyAlignment="1">
      <alignment horizontal="left" vertical="center"/>
    </xf>
    <xf numFmtId="0" fontId="30" fillId="0" borderId="0" xfId="0" applyFont="1" applyBorder="1" applyAlignment="1">
      <alignment horizontal="left" vertical="top" wrapText="1"/>
    </xf>
    <xf numFmtId="0" fontId="30" fillId="0" borderId="68" xfId="0" applyFont="1" applyFill="1" applyBorder="1" applyAlignment="1">
      <alignment horizontal="center" vertical="top" wrapText="1"/>
    </xf>
    <xf numFmtId="0" fontId="30" fillId="0" borderId="58" xfId="0" applyFont="1" applyFill="1" applyBorder="1" applyAlignment="1">
      <alignment horizontal="center" vertical="top" wrapText="1"/>
    </xf>
    <xf numFmtId="0" fontId="30" fillId="0" borderId="39" xfId="0" applyFont="1" applyBorder="1" applyAlignment="1">
      <alignment horizontal="center"/>
    </xf>
    <xf numFmtId="0" fontId="30" fillId="0" borderId="57" xfId="0" applyFont="1" applyBorder="1" applyAlignment="1">
      <alignment horizontal="center"/>
    </xf>
    <xf numFmtId="0" fontId="30" fillId="0" borderId="52" xfId="0" applyFont="1" applyFill="1" applyBorder="1" applyAlignment="1">
      <alignment horizontal="center" vertical="top" wrapText="1"/>
    </xf>
    <xf numFmtId="0" fontId="30" fillId="0" borderId="53" xfId="0" applyFont="1" applyFill="1" applyBorder="1" applyAlignment="1">
      <alignment horizontal="center" vertical="top" wrapText="1"/>
    </xf>
    <xf numFmtId="0" fontId="30" fillId="0" borderId="54" xfId="0" applyFont="1" applyFill="1" applyBorder="1" applyAlignment="1">
      <alignment horizontal="center" vertical="top" wrapText="1"/>
    </xf>
    <xf numFmtId="0" fontId="30" fillId="0" borderId="18" xfId="0" applyFont="1" applyFill="1" applyBorder="1" applyAlignment="1">
      <alignment horizontal="center" vertical="top" wrapText="1"/>
    </xf>
    <xf numFmtId="0" fontId="30" fillId="0" borderId="1" xfId="0" applyFont="1" applyFill="1" applyBorder="1" applyAlignment="1">
      <alignment horizontal="center" vertical="top" wrapText="1"/>
    </xf>
    <xf numFmtId="0" fontId="30" fillId="0" borderId="9" xfId="0" applyFont="1" applyFill="1" applyBorder="1" applyAlignment="1">
      <alignment horizontal="center" vertical="top" wrapText="1"/>
    </xf>
    <xf numFmtId="0" fontId="30" fillId="0" borderId="38" xfId="0" applyFont="1" applyBorder="1" applyAlignment="1">
      <alignment horizontal="center" vertical="top"/>
    </xf>
    <xf numFmtId="0" fontId="30" fillId="0" borderId="39" xfId="0" applyFont="1" applyBorder="1" applyAlignment="1">
      <alignment horizontal="center" vertical="top"/>
    </xf>
    <xf numFmtId="0" fontId="30" fillId="0" borderId="57" xfId="0" applyFont="1" applyBorder="1" applyAlignment="1">
      <alignment horizontal="center" vertical="top"/>
    </xf>
    <xf numFmtId="0" fontId="30" fillId="0" borderId="0" xfId="0" applyFont="1" applyAlignment="1">
      <alignment horizontal="center"/>
    </xf>
    <xf numFmtId="0" fontId="31" fillId="0" borderId="46" xfId="0" applyFont="1" applyBorder="1" applyAlignment="1">
      <alignment horizontal="center"/>
    </xf>
    <xf numFmtId="0" fontId="31" fillId="0" borderId="19" xfId="0" applyFont="1" applyBorder="1" applyAlignment="1">
      <alignment horizontal="center"/>
    </xf>
    <xf numFmtId="0" fontId="31" fillId="0" borderId="20" xfId="0" applyFont="1" applyBorder="1" applyAlignment="1">
      <alignment horizontal="center"/>
    </xf>
    <xf numFmtId="0" fontId="30" fillId="0" borderId="0" xfId="0" applyFont="1" applyAlignment="1">
      <alignment horizontal="left" vertical="top" wrapText="1"/>
    </xf>
    <xf numFmtId="0" fontId="31" fillId="0" borderId="46" xfId="0" applyFont="1" applyBorder="1" applyAlignment="1">
      <alignment horizontal="center" vertical="center" wrapText="1"/>
    </xf>
    <xf numFmtId="0" fontId="31" fillId="0" borderId="49" xfId="0" applyFont="1" applyBorder="1" applyAlignment="1">
      <alignment horizontal="center" vertical="center" wrapText="1"/>
    </xf>
    <xf numFmtId="0" fontId="31" fillId="0" borderId="31" xfId="0" applyFont="1" applyBorder="1" applyAlignment="1">
      <alignment horizontal="center" vertical="center" wrapText="1"/>
    </xf>
    <xf numFmtId="0" fontId="30" fillId="0" borderId="32" xfId="0" applyFont="1" applyFill="1" applyBorder="1" applyAlignment="1">
      <alignment horizontal="center" vertical="top" wrapText="1"/>
    </xf>
    <xf numFmtId="0" fontId="28" fillId="0" borderId="24" xfId="0" applyFont="1" applyBorder="1" applyAlignment="1">
      <alignment horizontal="left" vertical="center"/>
    </xf>
    <xf numFmtId="0" fontId="33" fillId="0" borderId="11" xfId="0" applyFont="1" applyBorder="1" applyAlignment="1">
      <alignment horizontal="center"/>
    </xf>
    <xf numFmtId="0" fontId="33" fillId="0" borderId="12" xfId="0" applyFont="1" applyBorder="1" applyAlignment="1">
      <alignment horizontal="center"/>
    </xf>
    <xf numFmtId="0" fontId="30" fillId="3" borderId="21" xfId="0" applyFont="1" applyFill="1" applyBorder="1" applyAlignment="1">
      <alignment horizontal="center" vertical="top" wrapText="1"/>
    </xf>
    <xf numFmtId="0" fontId="30" fillId="3" borderId="39" xfId="0" applyFont="1" applyFill="1" applyBorder="1" applyAlignment="1">
      <alignment horizontal="center" vertical="top" wrapText="1"/>
    </xf>
    <xf numFmtId="0" fontId="30" fillId="13" borderId="21" xfId="0" applyFont="1" applyFill="1" applyBorder="1" applyAlignment="1">
      <alignment horizontal="center" vertical="top" wrapText="1"/>
    </xf>
    <xf numFmtId="0" fontId="30" fillId="13" borderId="9" xfId="0" applyFont="1" applyFill="1" applyBorder="1" applyAlignment="1">
      <alignment horizontal="center" vertical="top" wrapText="1"/>
    </xf>
    <xf numFmtId="0" fontId="30" fillId="14" borderId="21" xfId="0" applyFont="1" applyFill="1" applyBorder="1" applyAlignment="1">
      <alignment horizontal="center" vertical="top" wrapText="1"/>
    </xf>
    <xf numFmtId="0" fontId="30" fillId="14" borderId="9" xfId="0" applyFont="1" applyFill="1" applyBorder="1" applyAlignment="1">
      <alignment horizontal="center" vertical="top" wrapText="1"/>
    </xf>
    <xf numFmtId="0" fontId="33" fillId="0" borderId="6" xfId="0" applyFont="1" applyBorder="1" applyAlignment="1">
      <alignment horizontal="center"/>
    </xf>
    <xf numFmtId="0" fontId="33" fillId="0" borderId="5" xfId="0" applyFont="1" applyBorder="1" applyAlignment="1">
      <alignment horizontal="center"/>
    </xf>
    <xf numFmtId="0" fontId="33" fillId="0" borderId="7" xfId="0" applyFont="1" applyBorder="1" applyAlignment="1">
      <alignment horizontal="center"/>
    </xf>
    <xf numFmtId="0" fontId="30" fillId="0" borderId="43" xfId="0" applyFont="1" applyBorder="1" applyAlignment="1">
      <alignment horizontal="center" vertical="top" wrapText="1"/>
    </xf>
    <xf numFmtId="0" fontId="30" fillId="0" borderId="44" xfId="0" applyFont="1" applyBorder="1" applyAlignment="1">
      <alignment horizontal="center" vertical="top" wrapText="1"/>
    </xf>
    <xf numFmtId="0" fontId="30" fillId="0" borderId="45" xfId="0" applyFont="1" applyBorder="1" applyAlignment="1">
      <alignment horizontal="center" vertical="top" wrapText="1"/>
    </xf>
    <xf numFmtId="0" fontId="30" fillId="0" borderId="17" xfId="0" applyFont="1" applyBorder="1" applyAlignment="1">
      <alignment horizontal="center" vertical="top" wrapText="1"/>
    </xf>
    <xf numFmtId="0" fontId="30" fillId="0" borderId="30" xfId="0" applyFont="1" applyBorder="1" applyAlignment="1">
      <alignment horizontal="center" vertical="top" wrapText="1"/>
    </xf>
    <xf numFmtId="0" fontId="30" fillId="0" borderId="38" xfId="0" applyFont="1" applyBorder="1" applyAlignment="1">
      <alignment horizontal="center" vertical="top" wrapText="1"/>
    </xf>
    <xf numFmtId="0" fontId="30" fillId="0" borderId="6" xfId="0" applyFont="1" applyBorder="1" applyAlignment="1">
      <alignment horizontal="center"/>
    </xf>
    <xf numFmtId="0" fontId="30" fillId="0" borderId="5" xfId="0" applyFont="1" applyBorder="1" applyAlignment="1">
      <alignment horizontal="center"/>
    </xf>
    <xf numFmtId="0" fontId="30" fillId="0" borderId="7" xfId="0" applyFont="1" applyBorder="1" applyAlignment="1">
      <alignment horizontal="center"/>
    </xf>
    <xf numFmtId="2" fontId="35" fillId="18" borderId="30" xfId="0" applyNumberFormat="1" applyFont="1" applyFill="1" applyBorder="1" applyAlignment="1">
      <alignment horizontal="center"/>
    </xf>
    <xf numFmtId="0" fontId="35" fillId="18" borderId="30" xfId="0" applyFont="1" applyFill="1" applyBorder="1" applyAlignment="1">
      <alignment horizontal="center"/>
    </xf>
    <xf numFmtId="2" fontId="35" fillId="20" borderId="30" xfId="0" applyNumberFormat="1" applyFont="1" applyFill="1" applyBorder="1" applyAlignment="1">
      <alignment horizontal="center"/>
    </xf>
    <xf numFmtId="2" fontId="35" fillId="20" borderId="0" xfId="0" applyNumberFormat="1" applyFont="1" applyFill="1" applyBorder="1" applyAlignment="1">
      <alignment horizontal="center"/>
    </xf>
    <xf numFmtId="0" fontId="0" fillId="0" borderId="21"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30" fillId="0" borderId="0" xfId="0" applyFont="1" applyAlignment="1">
      <alignment horizontal="left" vertical="center"/>
    </xf>
    <xf numFmtId="0" fontId="32" fillId="0" borderId="0" xfId="0" applyFont="1" applyFill="1" applyAlignment="1">
      <alignment horizontal="left"/>
    </xf>
    <xf numFmtId="0" fontId="30" fillId="0" borderId="0" xfId="0" applyFont="1" applyAlignment="1">
      <alignment horizontal="left" vertical="center" wrapText="1"/>
    </xf>
    <xf numFmtId="0" fontId="30" fillId="0" borderId="30" xfId="0" applyFont="1" applyFill="1" applyBorder="1" applyAlignment="1">
      <alignment horizontal="left" vertical="top" wrapText="1"/>
    </xf>
    <xf numFmtId="0" fontId="30" fillId="0" borderId="0" xfId="0" applyFont="1" applyBorder="1" applyAlignment="1">
      <alignment horizontal="center"/>
    </xf>
    <xf numFmtId="0" fontId="30" fillId="0" borderId="67" xfId="0" applyFont="1" applyBorder="1" applyAlignment="1">
      <alignment horizontal="center"/>
    </xf>
    <xf numFmtId="0" fontId="30" fillId="0" borderId="64" xfId="0" applyFont="1" applyBorder="1" applyAlignment="1">
      <alignment horizontal="center"/>
    </xf>
    <xf numFmtId="0" fontId="30" fillId="0" borderId="21" xfId="0" applyFont="1" applyBorder="1" applyAlignment="1">
      <alignment horizontal="center"/>
    </xf>
    <xf numFmtId="0" fontId="30" fillId="0" borderId="37" xfId="0" applyFont="1" applyBorder="1" applyAlignment="1">
      <alignment horizontal="center"/>
    </xf>
    <xf numFmtId="0" fontId="30" fillId="0" borderId="0" xfId="0" applyFont="1" applyAlignment="1">
      <alignment horizontal="left" vertical="top"/>
    </xf>
    <xf numFmtId="0" fontId="30" fillId="6" borderId="52" xfId="0" applyFont="1" applyFill="1" applyBorder="1" applyAlignment="1">
      <alignment horizontal="center" vertical="top" wrapText="1"/>
    </xf>
    <xf numFmtId="0" fontId="30" fillId="6" borderId="53" xfId="0" applyFont="1" applyFill="1" applyBorder="1" applyAlignment="1">
      <alignment horizontal="center" vertical="top" wrapText="1"/>
    </xf>
    <xf numFmtId="0" fontId="30" fillId="6" borderId="54" xfId="0" applyFont="1" applyFill="1" applyBorder="1" applyAlignment="1">
      <alignment horizontal="center" vertical="top" wrapText="1"/>
    </xf>
    <xf numFmtId="0" fontId="30" fillId="5" borderId="52" xfId="0" applyFont="1" applyFill="1" applyBorder="1" applyAlignment="1">
      <alignment horizontal="center" vertical="top" wrapText="1"/>
    </xf>
    <xf numFmtId="0" fontId="30" fillId="5" borderId="53" xfId="0" applyFont="1" applyFill="1" applyBorder="1" applyAlignment="1">
      <alignment horizontal="center" vertical="top" wrapText="1"/>
    </xf>
    <xf numFmtId="0" fontId="30" fillId="5" borderId="54" xfId="0" applyFont="1" applyFill="1" applyBorder="1" applyAlignment="1">
      <alignment horizontal="center" vertical="top" wrapText="1"/>
    </xf>
    <xf numFmtId="0" fontId="30" fillId="16" borderId="52" xfId="0" applyFont="1" applyFill="1" applyBorder="1" applyAlignment="1">
      <alignment horizontal="center" vertical="top" wrapText="1"/>
    </xf>
    <xf numFmtId="0" fontId="30" fillId="16" borderId="53" xfId="0" applyFont="1" applyFill="1" applyBorder="1" applyAlignment="1">
      <alignment horizontal="center" vertical="top" wrapText="1"/>
    </xf>
    <xf numFmtId="0" fontId="30" fillId="16" borderId="54" xfId="0" applyFont="1" applyFill="1" applyBorder="1" applyAlignment="1">
      <alignment horizontal="center" vertical="top" wrapText="1"/>
    </xf>
    <xf numFmtId="0" fontId="30" fillId="24" borderId="52" xfId="0" applyFont="1" applyFill="1" applyBorder="1" applyAlignment="1">
      <alignment horizontal="center" vertical="top"/>
    </xf>
    <xf numFmtId="0" fontId="30" fillId="24" borderId="53" xfId="0" applyFont="1" applyFill="1" applyBorder="1" applyAlignment="1">
      <alignment horizontal="center" vertical="top"/>
    </xf>
    <xf numFmtId="0" fontId="30" fillId="24" borderId="54" xfId="0" applyFont="1" applyFill="1" applyBorder="1" applyAlignment="1">
      <alignment horizontal="center" vertical="top"/>
    </xf>
    <xf numFmtId="0" fontId="30" fillId="15" borderId="52" xfId="0" applyFont="1" applyFill="1" applyBorder="1" applyAlignment="1">
      <alignment horizontal="center" vertical="top" wrapText="1"/>
    </xf>
    <xf numFmtId="0" fontId="30" fillId="15" borderId="53" xfId="0" applyFont="1" applyFill="1" applyBorder="1" applyAlignment="1">
      <alignment horizontal="center" vertical="top" wrapText="1"/>
    </xf>
    <xf numFmtId="0" fontId="30" fillId="15" borderId="54" xfId="0" applyFont="1" applyFill="1" applyBorder="1" applyAlignment="1">
      <alignment horizontal="center" vertical="top" wrapText="1"/>
    </xf>
    <xf numFmtId="2" fontId="33" fillId="0" borderId="6" xfId="0" applyNumberFormat="1" applyFont="1" applyBorder="1" applyAlignment="1">
      <alignment horizontal="center"/>
    </xf>
    <xf numFmtId="2" fontId="33" fillId="0" borderId="64" xfId="0" applyNumberFormat="1" applyFont="1" applyBorder="1" applyAlignment="1">
      <alignment horizontal="center"/>
    </xf>
    <xf numFmtId="2" fontId="33" fillId="0" borderId="66" xfId="0" applyNumberFormat="1" applyFont="1" applyBorder="1" applyAlignment="1">
      <alignment horizontal="center"/>
    </xf>
    <xf numFmtId="2" fontId="33" fillId="0" borderId="40" xfId="0" applyNumberFormat="1" applyFont="1" applyBorder="1" applyAlignment="1">
      <alignment horizontal="center"/>
    </xf>
    <xf numFmtId="0" fontId="30" fillId="0" borderId="11" xfId="0" applyFont="1" applyBorder="1" applyAlignment="1">
      <alignment horizontal="center"/>
    </xf>
    <xf numFmtId="0" fontId="0" fillId="0" borderId="70" xfId="0" applyBorder="1" applyAlignment="1">
      <alignment horizontal="center"/>
    </xf>
    <xf numFmtId="0" fontId="0" fillId="0" borderId="33" xfId="0" applyBorder="1" applyAlignment="1">
      <alignment horizontal="center"/>
    </xf>
    <xf numFmtId="0" fontId="0" fillId="0" borderId="47" xfId="0" applyBorder="1" applyAlignment="1">
      <alignment horizontal="center"/>
    </xf>
    <xf numFmtId="2" fontId="33" fillId="0" borderId="1" xfId="0" applyNumberFormat="1" applyFont="1" applyBorder="1" applyAlignment="1">
      <alignment horizontal="center"/>
    </xf>
    <xf numFmtId="2" fontId="33" fillId="0" borderId="9" xfId="0" applyNumberFormat="1" applyFont="1" applyBorder="1" applyAlignment="1">
      <alignment horizontal="center"/>
    </xf>
    <xf numFmtId="2" fontId="33" fillId="0" borderId="35" xfId="0" applyNumberFormat="1" applyFont="1" applyBorder="1" applyAlignment="1">
      <alignment horizontal="center"/>
    </xf>
    <xf numFmtId="0" fontId="30" fillId="14" borderId="39" xfId="0" applyFont="1" applyFill="1" applyBorder="1" applyAlignment="1">
      <alignment horizontal="center" vertical="top" wrapText="1"/>
    </xf>
    <xf numFmtId="0" fontId="30" fillId="0" borderId="38" xfId="0" applyFont="1" applyFill="1" applyBorder="1" applyAlignment="1">
      <alignment horizontal="center" vertical="top" wrapText="1"/>
    </xf>
    <xf numFmtId="0" fontId="30" fillId="0" borderId="17" xfId="0" applyFont="1" applyFill="1" applyBorder="1" applyAlignment="1">
      <alignment horizontal="center" vertical="top" wrapText="1"/>
    </xf>
    <xf numFmtId="2" fontId="32" fillId="0" borderId="21" xfId="0" applyNumberFormat="1" applyFont="1" applyBorder="1" applyAlignment="1">
      <alignment horizontal="center"/>
    </xf>
    <xf numFmtId="2" fontId="32" fillId="0" borderId="39" xfId="0" applyNumberFormat="1" applyFont="1" applyBorder="1" applyAlignment="1">
      <alignment horizontal="center"/>
    </xf>
    <xf numFmtId="0" fontId="30" fillId="13" borderId="39" xfId="0" applyFont="1" applyFill="1" applyBorder="1" applyAlignment="1">
      <alignment horizontal="center" vertical="top" wrapText="1"/>
    </xf>
    <xf numFmtId="2" fontId="35" fillId="19" borderId="0" xfId="0" applyNumberFormat="1" applyFont="1" applyFill="1" applyBorder="1" applyAlignment="1">
      <alignment horizontal="center"/>
    </xf>
    <xf numFmtId="2" fontId="35" fillId="21" borderId="0" xfId="0" applyNumberFormat="1" applyFont="1" applyFill="1" applyBorder="1" applyAlignment="1">
      <alignment horizontal="center"/>
    </xf>
    <xf numFmtId="0" fontId="33" fillId="0" borderId="0" xfId="0" applyFont="1" applyAlignment="1">
      <alignment horizontal="center" wrapText="1"/>
    </xf>
    <xf numFmtId="0" fontId="33" fillId="0" borderId="0" xfId="0" applyFont="1" applyAlignment="1">
      <alignment horizontal="center"/>
    </xf>
    <xf numFmtId="0" fontId="0" fillId="0" borderId="30" xfId="0" applyBorder="1" applyAlignment="1">
      <alignment horizontal="center"/>
    </xf>
    <xf numFmtId="0" fontId="0" fillId="0" borderId="0" xfId="0" applyAlignment="1">
      <alignment horizontal="center"/>
    </xf>
    <xf numFmtId="2" fontId="35" fillId="18" borderId="0" xfId="0" applyNumberFormat="1" applyFont="1" applyFill="1" applyBorder="1" applyAlignment="1">
      <alignment horizontal="center"/>
    </xf>
    <xf numFmtId="0" fontId="35" fillId="18" borderId="0" xfId="0" applyFont="1" applyFill="1" applyBorder="1" applyAlignment="1">
      <alignment horizontal="center"/>
    </xf>
    <xf numFmtId="0" fontId="48" fillId="0" borderId="21" xfId="0" applyFont="1" applyBorder="1" applyAlignment="1">
      <alignment horizontal="center"/>
    </xf>
    <xf numFmtId="0" fontId="48" fillId="0" borderId="0" xfId="0" applyFont="1" applyBorder="1" applyAlignment="1">
      <alignment horizontal="center"/>
    </xf>
    <xf numFmtId="0" fontId="48" fillId="0" borderId="39" xfId="0" applyFont="1" applyBorder="1" applyAlignment="1">
      <alignment horizontal="center"/>
    </xf>
    <xf numFmtId="0" fontId="45" fillId="0" borderId="0" xfId="0" applyFont="1" applyBorder="1" applyAlignment="1">
      <alignment horizontal="center"/>
    </xf>
    <xf numFmtId="0" fontId="45" fillId="0" borderId="39" xfId="0" applyFont="1" applyBorder="1" applyAlignment="1">
      <alignment horizontal="center"/>
    </xf>
    <xf numFmtId="0" fontId="45" fillId="0" borderId="17" xfId="0" applyFont="1" applyBorder="1" applyAlignment="1">
      <alignment horizontal="center"/>
    </xf>
    <xf numFmtId="0" fontId="45" fillId="0" borderId="30" xfId="0" applyFont="1" applyBorder="1" applyAlignment="1">
      <alignment horizontal="center"/>
    </xf>
    <xf numFmtId="0" fontId="45" fillId="0" borderId="38" xfId="0" applyFont="1" applyBorder="1" applyAlignment="1">
      <alignment horizontal="center"/>
    </xf>
    <xf numFmtId="0" fontId="45" fillId="0" borderId="21" xfId="0" applyFont="1" applyBorder="1" applyAlignment="1">
      <alignment horizontal="center"/>
    </xf>
    <xf numFmtId="0" fontId="9" fillId="0" borderId="5" xfId="0" applyFont="1" applyBorder="1" applyAlignment="1">
      <alignment horizontal="center" vertical="center"/>
    </xf>
    <xf numFmtId="0" fontId="9" fillId="0" borderId="0" xfId="0" applyFont="1" applyBorder="1" applyAlignment="1">
      <alignment horizontal="center" vertical="center"/>
    </xf>
    <xf numFmtId="0" fontId="9" fillId="0" borderId="13" xfId="0" applyFont="1" applyBorder="1" applyAlignment="1">
      <alignment horizontal="center" vertical="center"/>
    </xf>
    <xf numFmtId="0" fontId="9" fillId="0" borderId="0" xfId="0" applyFont="1" applyAlignment="1">
      <alignment horizontal="center" vertical="center"/>
    </xf>
    <xf numFmtId="0" fontId="0" fillId="0" borderId="5" xfId="0" applyBorder="1" applyAlignment="1">
      <alignment horizontal="center" vertical="center"/>
    </xf>
    <xf numFmtId="0" fontId="0" fillId="0" borderId="0" xfId="0" applyBorder="1" applyAlignment="1">
      <alignment horizontal="center" vertical="center"/>
    </xf>
    <xf numFmtId="0" fontId="0" fillId="0" borderId="13" xfId="0" applyBorder="1" applyAlignment="1">
      <alignment horizontal="center" vertical="center"/>
    </xf>
    <xf numFmtId="0" fontId="10" fillId="0" borderId="0" xfId="0" applyFont="1" applyAlignment="1">
      <alignment horizontal="center" vertical="center"/>
    </xf>
    <xf numFmtId="0" fontId="5" fillId="0" borderId="0" xfId="0" applyFont="1" applyAlignment="1">
      <alignment horizontal="center"/>
    </xf>
    <xf numFmtId="1" fontId="3" fillId="0" borderId="0" xfId="0" applyNumberFormat="1" applyFont="1" applyAlignment="1">
      <alignment horizontal="center"/>
    </xf>
    <xf numFmtId="0" fontId="5" fillId="0" borderId="24" xfId="0" applyFont="1" applyBorder="1" applyAlignment="1">
      <alignment horizontal="center"/>
    </xf>
    <xf numFmtId="0" fontId="48" fillId="0" borderId="0" xfId="0" applyFont="1" applyAlignment="1">
      <alignment horizontal="center"/>
    </xf>
    <xf numFmtId="0" fontId="0" fillId="0" borderId="0" xfId="0" applyAlignment="1">
      <alignment horizontal="center" wrapText="1"/>
    </xf>
    <xf numFmtId="0" fontId="0" fillId="0" borderId="0" xfId="0" applyFill="1" applyAlignment="1">
      <alignment horizontal="center"/>
    </xf>
    <xf numFmtId="0" fontId="0" fillId="2" borderId="0" xfId="0" applyFill="1" applyAlignment="1">
      <alignment horizontal="center"/>
    </xf>
    <xf numFmtId="0" fontId="0" fillId="0" borderId="0" xfId="0" applyFill="1" applyBorder="1" applyAlignment="1">
      <alignment horizontal="left" vertical="top" wrapText="1"/>
    </xf>
    <xf numFmtId="0" fontId="0" fillId="0" borderId="5" xfId="0" applyFill="1" applyBorder="1" applyAlignment="1">
      <alignment horizontal="left" vertical="top" wrapText="1"/>
    </xf>
    <xf numFmtId="0" fontId="44" fillId="0" borderId="13" xfId="0" applyFont="1" applyBorder="1" applyAlignment="1">
      <alignment horizontal="left"/>
    </xf>
    <xf numFmtId="0" fontId="44" fillId="0" borderId="0" xfId="0" applyFont="1" applyAlignment="1">
      <alignment horizontal="left"/>
    </xf>
    <xf numFmtId="0" fontId="0" fillId="0" borderId="6" xfId="0"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0" borderId="0" xfId="0" applyFill="1" applyAlignment="1">
      <alignment horizontal="left" vertical="top" wrapText="1"/>
    </xf>
    <xf numFmtId="0" fontId="44" fillId="0" borderId="0" xfId="0" applyFont="1" applyFill="1" applyAlignment="1">
      <alignment horizontal="left"/>
    </xf>
    <xf numFmtId="0" fontId="0" fillId="0" borderId="8" xfId="0" applyBorder="1" applyAlignment="1">
      <alignment horizontal="center" vertical="center"/>
    </xf>
    <xf numFmtId="0" fontId="0" fillId="0" borderId="14" xfId="0" applyBorder="1" applyAlignment="1">
      <alignment horizontal="center" vertical="center"/>
    </xf>
    <xf numFmtId="0" fontId="0" fillId="0" borderId="60" xfId="0" applyBorder="1" applyAlignment="1">
      <alignment horizontal="center" wrapText="1"/>
    </xf>
    <xf numFmtId="0" fontId="0" fillId="0" borderId="61" xfId="0" applyBorder="1" applyAlignment="1">
      <alignment horizontal="center" wrapText="1"/>
    </xf>
    <xf numFmtId="2" fontId="0" fillId="0" borderId="0" xfId="0" applyNumberFormat="1" applyAlignment="1">
      <alignment horizontal="center" wrapText="1"/>
    </xf>
    <xf numFmtId="0" fontId="9" fillId="0" borderId="24" xfId="0" applyFont="1" applyBorder="1" applyAlignment="1">
      <alignment horizontal="center"/>
    </xf>
    <xf numFmtId="0" fontId="3" fillId="0" borderId="52" xfId="0" applyFont="1" applyBorder="1" applyAlignment="1">
      <alignment horizontal="center" wrapText="1"/>
    </xf>
    <xf numFmtId="0" fontId="3" fillId="0" borderId="53" xfId="0" applyFont="1" applyBorder="1" applyAlignment="1">
      <alignment horizontal="center" wrapText="1"/>
    </xf>
    <xf numFmtId="0" fontId="3" fillId="0" borderId="54" xfId="0" applyFont="1" applyBorder="1" applyAlignment="1">
      <alignment horizontal="center" wrapText="1"/>
    </xf>
    <xf numFmtId="0" fontId="9" fillId="0" borderId="17" xfId="0" applyFont="1" applyBorder="1" applyAlignment="1">
      <alignment horizontal="center" wrapText="1"/>
    </xf>
    <xf numFmtId="0" fontId="9" fillId="0" borderId="30" xfId="0" applyFont="1" applyBorder="1" applyAlignment="1">
      <alignment horizontal="center"/>
    </xf>
    <xf numFmtId="0" fontId="9" fillId="0" borderId="38" xfId="0" applyFont="1" applyBorder="1" applyAlignment="1">
      <alignment horizontal="center"/>
    </xf>
    <xf numFmtId="0" fontId="9" fillId="0" borderId="30" xfId="0" applyFont="1" applyBorder="1" applyAlignment="1">
      <alignment horizontal="center" wrapText="1"/>
    </xf>
    <xf numFmtId="0" fontId="9" fillId="0" borderId="38" xfId="0" applyFont="1" applyBorder="1" applyAlignment="1">
      <alignment horizontal="center" wrapText="1"/>
    </xf>
    <xf numFmtId="0" fontId="9" fillId="0" borderId="52" xfId="0" applyFont="1" applyBorder="1" applyAlignment="1">
      <alignment horizontal="center"/>
    </xf>
    <xf numFmtId="0" fontId="9" fillId="0" borderId="53" xfId="0" applyFont="1" applyBorder="1" applyAlignment="1">
      <alignment horizontal="center"/>
    </xf>
    <xf numFmtId="0" fontId="9" fillId="0" borderId="54" xfId="0" applyFont="1" applyBorder="1" applyAlignment="1">
      <alignment horizontal="center"/>
    </xf>
    <xf numFmtId="0" fontId="9" fillId="0" borderId="53" xfId="0" applyFont="1" applyBorder="1" applyAlignment="1">
      <alignment horizontal="center" wrapText="1"/>
    </xf>
    <xf numFmtId="0" fontId="9" fillId="0" borderId="54" xfId="0" applyFont="1" applyBorder="1" applyAlignment="1">
      <alignment horizontal="center" wrapText="1"/>
    </xf>
    <xf numFmtId="9" fontId="47" fillId="0" borderId="0" xfId="2" applyFont="1" applyFill="1" applyBorder="1" applyAlignment="1">
      <alignment horizontal="center" vertical="center" wrapText="1"/>
    </xf>
    <xf numFmtId="0" fontId="8" fillId="0" borderId="0" xfId="0" applyFont="1" applyAlignment="1">
      <alignment horizontal="left" vertical="top" wrapText="1"/>
    </xf>
    <xf numFmtId="0" fontId="0" fillId="0" borderId="14" xfId="0" applyBorder="1" applyAlignment="1">
      <alignment horizontal="left" vertical="center"/>
    </xf>
    <xf numFmtId="0" fontId="0" fillId="0" borderId="52" xfId="0" applyBorder="1" applyAlignment="1">
      <alignment horizontal="center" wrapText="1"/>
    </xf>
    <xf numFmtId="0" fontId="0" fillId="0" borderId="53" xfId="0" applyBorder="1" applyAlignment="1">
      <alignment horizontal="center" wrapText="1"/>
    </xf>
    <xf numFmtId="0" fontId="0" fillId="0" borderId="54" xfId="0" applyBorder="1" applyAlignment="1">
      <alignment horizontal="center" wrapText="1"/>
    </xf>
    <xf numFmtId="0" fontId="59" fillId="0" borderId="0" xfId="0" applyFont="1" applyFill="1" applyAlignment="1">
      <alignment horizontal="center"/>
    </xf>
    <xf numFmtId="0" fontId="3" fillId="0" borderId="17" xfId="0" applyFont="1" applyBorder="1" applyAlignment="1">
      <alignment horizontal="center"/>
    </xf>
    <xf numFmtId="0" fontId="3" fillId="0" borderId="30" xfId="0" applyFont="1" applyBorder="1" applyAlignment="1">
      <alignment horizontal="center"/>
    </xf>
    <xf numFmtId="0" fontId="3" fillId="0" borderId="38" xfId="0" applyFont="1" applyBorder="1" applyAlignment="1">
      <alignment horizontal="center"/>
    </xf>
    <xf numFmtId="0" fontId="3" fillId="0" borderId="18" xfId="0" applyFont="1" applyBorder="1" applyAlignment="1">
      <alignment horizontal="center"/>
    </xf>
    <xf numFmtId="0" fontId="10" fillId="0" borderId="30" xfId="0" applyFont="1" applyBorder="1" applyAlignment="1">
      <alignment horizontal="center"/>
    </xf>
    <xf numFmtId="0" fontId="10" fillId="0" borderId="38" xfId="0" applyFont="1" applyBorder="1" applyAlignment="1">
      <alignment horizontal="center"/>
    </xf>
    <xf numFmtId="0" fontId="45" fillId="0" borderId="0" xfId="0" applyFont="1" applyAlignment="1">
      <alignment horizontal="center" vertical="top" wrapText="1"/>
    </xf>
    <xf numFmtId="0" fontId="45" fillId="0" borderId="0" xfId="0" applyFont="1" applyAlignment="1">
      <alignment horizontal="center" vertical="top"/>
    </xf>
    <xf numFmtId="0" fontId="30" fillId="26" borderId="30" xfId="0" applyFont="1" applyFill="1" applyBorder="1" applyAlignment="1">
      <alignment horizontal="left" vertical="top" wrapText="1"/>
    </xf>
    <xf numFmtId="0" fontId="30" fillId="26" borderId="0" xfId="0" applyFont="1" applyFill="1" applyBorder="1" applyAlignment="1">
      <alignment horizontal="left" vertical="top" wrapText="1"/>
    </xf>
    <xf numFmtId="0" fontId="34" fillId="0" borderId="30" xfId="0" applyFont="1" applyFill="1" applyBorder="1" applyAlignment="1">
      <alignment horizontal="left" vertical="top" wrapText="1"/>
    </xf>
    <xf numFmtId="0" fontId="34" fillId="0" borderId="0" xfId="0" applyFont="1" applyFill="1" applyBorder="1" applyAlignment="1">
      <alignment horizontal="left" vertical="top" wrapText="1"/>
    </xf>
    <xf numFmtId="0" fontId="31" fillId="26" borderId="30" xfId="0" applyFont="1" applyFill="1" applyBorder="1" applyAlignment="1">
      <alignment wrapText="1"/>
    </xf>
    <xf numFmtId="0" fontId="31" fillId="26" borderId="30" xfId="0" applyFont="1" applyFill="1" applyBorder="1" applyAlignment="1">
      <alignment horizontal="left" vertical="center" wrapText="1"/>
    </xf>
    <xf numFmtId="0" fontId="31" fillId="26" borderId="0" xfId="0" applyFont="1" applyFill="1" applyBorder="1" applyAlignment="1">
      <alignment horizontal="left" vertical="center" wrapText="1"/>
    </xf>
    <xf numFmtId="0" fontId="31" fillId="26" borderId="13" xfId="0" applyFont="1" applyFill="1" applyBorder="1" applyAlignment="1">
      <alignment horizontal="left" vertical="center" wrapText="1"/>
    </xf>
    <xf numFmtId="0" fontId="34" fillId="26" borderId="30" xfId="0" applyFont="1" applyFill="1" applyBorder="1" applyAlignment="1">
      <alignment horizontal="left" vertical="top" wrapText="1"/>
    </xf>
    <xf numFmtId="0" fontId="34" fillId="26" borderId="0" xfId="0" applyFont="1" applyFill="1" applyBorder="1" applyAlignment="1">
      <alignment horizontal="left" vertical="top" wrapText="1"/>
    </xf>
    <xf numFmtId="0" fontId="34" fillId="26" borderId="13" xfId="0" applyFont="1" applyFill="1" applyBorder="1" applyAlignment="1">
      <alignment horizontal="left" vertical="top" wrapText="1"/>
    </xf>
    <xf numFmtId="0" fontId="30" fillId="26" borderId="13" xfId="0" applyFont="1" applyFill="1" applyBorder="1" applyAlignment="1">
      <alignment horizontal="left" vertical="top" wrapText="1"/>
    </xf>
    <xf numFmtId="0" fontId="30" fillId="0" borderId="0" xfId="0" applyFont="1" applyFill="1" applyBorder="1" applyAlignment="1">
      <alignment horizontal="left" vertical="top" wrapText="1"/>
    </xf>
    <xf numFmtId="0" fontId="30" fillId="0" borderId="13" xfId="0" applyFont="1" applyFill="1" applyBorder="1" applyAlignment="1">
      <alignment horizontal="left" vertical="top" wrapText="1"/>
    </xf>
    <xf numFmtId="0" fontId="30" fillId="26" borderId="30" xfId="0" applyFont="1" applyFill="1" applyBorder="1" applyAlignment="1">
      <alignment horizontal="center" vertical="center" wrapText="1"/>
    </xf>
    <xf numFmtId="0" fontId="34" fillId="0" borderId="24" xfId="0" applyFont="1" applyFill="1" applyBorder="1" applyAlignment="1">
      <alignment horizontal="left" vertical="top" wrapText="1"/>
    </xf>
    <xf numFmtId="0" fontId="31" fillId="26" borderId="24" xfId="0" applyFont="1" applyFill="1" applyBorder="1" applyAlignment="1">
      <alignment horizontal="left" vertical="center" wrapText="1"/>
    </xf>
    <xf numFmtId="14" fontId="30" fillId="26" borderId="44" xfId="0" quotePrefix="1" applyNumberFormat="1" applyFont="1" applyFill="1" applyBorder="1" applyAlignment="1">
      <alignment horizontal="center" vertical="center" wrapText="1"/>
    </xf>
    <xf numFmtId="0" fontId="33" fillId="26" borderId="30" xfId="0" applyFont="1" applyFill="1" applyBorder="1" applyAlignment="1">
      <alignment horizontal="center" vertical="top" wrapText="1"/>
    </xf>
    <xf numFmtId="0" fontId="33" fillId="26" borderId="0" xfId="0" applyFont="1" applyFill="1" applyBorder="1" applyAlignment="1">
      <alignment horizontal="center" vertical="top" wrapText="1"/>
    </xf>
    <xf numFmtId="0" fontId="30" fillId="26" borderId="5" xfId="0" applyFont="1" applyFill="1" applyBorder="1" applyAlignment="1">
      <alignment horizontal="center"/>
    </xf>
    <xf numFmtId="0" fontId="30" fillId="26" borderId="0" xfId="0" applyFont="1" applyFill="1" applyBorder="1" applyAlignment="1">
      <alignment horizontal="center"/>
    </xf>
    <xf numFmtId="0" fontId="30" fillId="26" borderId="13" xfId="0" applyFont="1" applyFill="1" applyBorder="1" applyAlignment="1">
      <alignment horizontal="center"/>
    </xf>
    <xf numFmtId="2" fontId="32" fillId="26" borderId="0" xfId="0" applyNumberFormat="1" applyFont="1" applyFill="1" applyBorder="1" applyAlignment="1">
      <alignment horizontal="center" vertical="center"/>
    </xf>
    <xf numFmtId="0" fontId="30" fillId="26" borderId="53" xfId="0" applyFont="1" applyFill="1" applyBorder="1" applyAlignment="1">
      <alignment horizontal="center"/>
    </xf>
    <xf numFmtId="0" fontId="30" fillId="26" borderId="0" xfId="0" applyFont="1" applyFill="1" applyBorder="1" applyAlignment="1">
      <alignment horizontal="center" vertical="center"/>
    </xf>
    <xf numFmtId="0" fontId="30" fillId="26" borderId="13" xfId="0" applyFont="1" applyFill="1" applyBorder="1" applyAlignment="1">
      <alignment horizontal="center" vertical="center"/>
    </xf>
    <xf numFmtId="9" fontId="30" fillId="26" borderId="0" xfId="2" applyFont="1" applyFill="1" applyBorder="1" applyAlignment="1">
      <alignment horizontal="center" vertical="center" wrapText="1"/>
    </xf>
    <xf numFmtId="0" fontId="31" fillId="0" borderId="30" xfId="0" applyFont="1" applyFill="1" applyBorder="1" applyAlignment="1">
      <alignment horizontal="left" vertical="center" wrapText="1"/>
    </xf>
    <xf numFmtId="0" fontId="31" fillId="0" borderId="0" xfId="0" applyFont="1" applyFill="1" applyBorder="1" applyAlignment="1">
      <alignment horizontal="left" vertical="center" wrapText="1"/>
    </xf>
    <xf numFmtId="0" fontId="31" fillId="0" borderId="13" xfId="0" applyFont="1" applyFill="1" applyBorder="1" applyAlignment="1">
      <alignment horizontal="left" vertical="center" wrapText="1"/>
    </xf>
    <xf numFmtId="2" fontId="30" fillId="26" borderId="30" xfId="0" applyNumberFormat="1" applyFont="1" applyFill="1" applyBorder="1" applyAlignment="1">
      <alignment horizontal="center" vertical="center" wrapText="1"/>
    </xf>
    <xf numFmtId="2" fontId="30" fillId="26" borderId="0" xfId="0" applyNumberFormat="1" applyFont="1" applyFill="1" applyBorder="1" applyAlignment="1">
      <alignment horizontal="center" vertical="center" wrapText="1"/>
    </xf>
    <xf numFmtId="2" fontId="30" fillId="26" borderId="13" xfId="0" applyNumberFormat="1" applyFont="1" applyFill="1" applyBorder="1" applyAlignment="1">
      <alignment horizontal="center" vertical="center" wrapText="1"/>
    </xf>
    <xf numFmtId="1" fontId="30" fillId="26" borderId="0" xfId="1" applyNumberFormat="1" applyFont="1" applyFill="1" applyBorder="1" applyAlignment="1">
      <alignment horizontal="center" vertical="center" wrapText="1"/>
    </xf>
    <xf numFmtId="0" fontId="30" fillId="14" borderId="5" xfId="0" applyFont="1" applyFill="1" applyBorder="1" applyAlignment="1">
      <alignment horizontal="center" vertical="top" wrapText="1"/>
    </xf>
    <xf numFmtId="0" fontId="33" fillId="26" borderId="0" xfId="0" applyFont="1" applyFill="1" applyBorder="1" applyAlignment="1">
      <alignment horizontal="center" vertical="center"/>
    </xf>
    <xf numFmtId="0" fontId="33" fillId="26" borderId="53" xfId="0" applyFont="1" applyFill="1" applyBorder="1" applyAlignment="1">
      <alignment vertical="top" wrapText="1"/>
    </xf>
    <xf numFmtId="0" fontId="31" fillId="0" borderId="30" xfId="0" applyFont="1" applyBorder="1" applyAlignment="1">
      <alignment horizontal="left" vertical="center" wrapText="1"/>
    </xf>
    <xf numFmtId="0" fontId="31" fillId="0" borderId="0" xfId="0" applyFont="1" applyBorder="1" applyAlignment="1">
      <alignment horizontal="left" vertical="center" wrapText="1"/>
    </xf>
    <xf numFmtId="0" fontId="33" fillId="26" borderId="13" xfId="0" applyFont="1" applyFill="1" applyBorder="1" applyAlignment="1">
      <alignment horizontal="center" vertical="top" wrapText="1"/>
    </xf>
    <xf numFmtId="0" fontId="33" fillId="26" borderId="53" xfId="0" applyFont="1" applyFill="1" applyBorder="1" applyAlignment="1">
      <alignment horizontal="center" vertical="top" wrapText="1"/>
    </xf>
    <xf numFmtId="2" fontId="33" fillId="26" borderId="0" xfId="0" applyNumberFormat="1" applyFont="1" applyFill="1" applyBorder="1" applyAlignment="1">
      <alignment horizontal="center" vertical="center"/>
    </xf>
    <xf numFmtId="2" fontId="32" fillId="26" borderId="5" xfId="0" applyNumberFormat="1" applyFont="1" applyFill="1" applyBorder="1" applyAlignment="1">
      <alignment horizontal="center" vertical="center"/>
    </xf>
    <xf numFmtId="0" fontId="30" fillId="0" borderId="13" xfId="0" applyFont="1" applyBorder="1" applyAlignment="1">
      <alignment horizontal="left" vertical="top" wrapText="1"/>
    </xf>
    <xf numFmtId="2" fontId="33" fillId="26" borderId="5" xfId="0" applyNumberFormat="1" applyFont="1" applyFill="1" applyBorder="1" applyAlignment="1">
      <alignment horizontal="center" vertical="center"/>
    </xf>
    <xf numFmtId="0" fontId="30" fillId="28" borderId="5" xfId="0" applyFont="1" applyFill="1" applyBorder="1" applyAlignment="1">
      <alignment horizontal="center" vertical="top" wrapText="1"/>
    </xf>
    <xf numFmtId="0" fontId="30" fillId="13" borderId="5" xfId="0" applyFont="1" applyFill="1" applyBorder="1" applyAlignment="1">
      <alignment horizontal="center" vertical="top" wrapText="1"/>
    </xf>
    <xf numFmtId="0" fontId="30" fillId="3" borderId="5" xfId="0" applyFont="1" applyFill="1" applyBorder="1" applyAlignment="1">
      <alignment horizontal="center" vertical="top" wrapText="1"/>
    </xf>
    <xf numFmtId="0" fontId="33" fillId="0" borderId="53" xfId="0" applyFont="1" applyFill="1" applyBorder="1" applyAlignment="1">
      <alignment horizontal="center" vertical="top" wrapText="1"/>
    </xf>
    <xf numFmtId="0" fontId="31" fillId="26" borderId="30" xfId="0" applyFont="1" applyFill="1" applyBorder="1" applyAlignment="1">
      <alignment vertical="center" wrapText="1"/>
    </xf>
    <xf numFmtId="0" fontId="31" fillId="26" borderId="0" xfId="0" applyFont="1" applyFill="1" applyBorder="1" applyAlignment="1">
      <alignment vertical="center" wrapText="1"/>
    </xf>
    <xf numFmtId="0" fontId="31" fillId="26" borderId="13" xfId="0" applyFont="1" applyFill="1" applyBorder="1" applyAlignment="1">
      <alignment vertical="center" wrapText="1"/>
    </xf>
    <xf numFmtId="0" fontId="31" fillId="26" borderId="53" xfId="0" applyFont="1" applyFill="1" applyBorder="1" applyAlignment="1">
      <alignment vertical="center" wrapText="1"/>
    </xf>
    <xf numFmtId="0" fontId="31" fillId="26" borderId="3" xfId="0" applyFont="1" applyFill="1" applyBorder="1" applyAlignment="1">
      <alignment vertical="center" wrapText="1"/>
    </xf>
    <xf numFmtId="0" fontId="30" fillId="26" borderId="53" xfId="0" applyFont="1" applyFill="1" applyBorder="1" applyAlignment="1">
      <alignment horizontal="left" vertical="top" wrapText="1"/>
    </xf>
    <xf numFmtId="0" fontId="30" fillId="26" borderId="3" xfId="0" applyFont="1" applyFill="1" applyBorder="1" applyAlignment="1">
      <alignment horizontal="left" vertical="top" wrapText="1"/>
    </xf>
    <xf numFmtId="0" fontId="30" fillId="26" borderId="5" xfId="0" applyFont="1" applyFill="1" applyBorder="1" applyAlignment="1">
      <alignment horizontal="center" vertical="center"/>
    </xf>
    <xf numFmtId="0" fontId="33" fillId="26" borderId="13" xfId="0" applyFont="1" applyFill="1" applyBorder="1" applyAlignment="1">
      <alignment horizontal="center"/>
    </xf>
    <xf numFmtId="2" fontId="32" fillId="26" borderId="13" xfId="0" applyNumberFormat="1" applyFont="1" applyFill="1" applyBorder="1" applyAlignment="1">
      <alignment horizontal="center" vertical="center"/>
    </xf>
    <xf numFmtId="0" fontId="33" fillId="26" borderId="0" xfId="0" applyFont="1" applyFill="1" applyAlignment="1">
      <alignment horizontal="left" vertical="top" wrapText="1"/>
    </xf>
    <xf numFmtId="0" fontId="30" fillId="26" borderId="0" xfId="0" applyFont="1" applyFill="1" applyBorder="1" applyAlignment="1">
      <alignment horizontal="left" vertical="center" wrapText="1"/>
    </xf>
    <xf numFmtId="0" fontId="30" fillId="26" borderId="24" xfId="0" applyFont="1" applyFill="1" applyBorder="1" applyAlignment="1">
      <alignment horizontal="left" vertical="center" wrapText="1"/>
    </xf>
    <xf numFmtId="0" fontId="33" fillId="26" borderId="30" xfId="0" applyFont="1" applyFill="1" applyBorder="1" applyAlignment="1">
      <alignment vertical="top" wrapText="1"/>
    </xf>
    <xf numFmtId="0" fontId="33" fillId="26" borderId="13" xfId="0" applyFont="1" applyFill="1" applyBorder="1" applyAlignment="1">
      <alignment horizontal="center" vertical="center"/>
    </xf>
    <xf numFmtId="0" fontId="33" fillId="26" borderId="5" xfId="0" applyFont="1" applyFill="1" applyBorder="1" applyAlignment="1">
      <alignment horizontal="center" vertical="center"/>
    </xf>
    <xf numFmtId="0" fontId="30" fillId="26" borderId="30" xfId="0" applyFont="1" applyFill="1" applyBorder="1" applyAlignment="1">
      <alignment horizontal="center" vertical="center"/>
    </xf>
    <xf numFmtId="0" fontId="31" fillId="0" borderId="44" xfId="0" applyFont="1" applyFill="1" applyBorder="1" applyAlignment="1">
      <alignment wrapText="1"/>
    </xf>
    <xf numFmtId="0" fontId="0" fillId="0" borderId="6" xfId="0" applyBorder="1" applyAlignment="1">
      <alignment horizontal="left" vertical="center"/>
    </xf>
    <xf numFmtId="0" fontId="0" fillId="0" borderId="1" xfId="0" applyBorder="1" applyAlignment="1">
      <alignment horizontal="left" vertical="center"/>
    </xf>
    <xf numFmtId="0" fontId="0" fillId="0" borderId="11" xfId="0" applyBorder="1" applyAlignment="1">
      <alignment horizontal="left" vertical="center"/>
    </xf>
    <xf numFmtId="0" fontId="9" fillId="0" borderId="0" xfId="0" applyFont="1" applyAlignment="1">
      <alignment horizontal="left" vertical="top" wrapText="1"/>
    </xf>
    <xf numFmtId="0" fontId="3" fillId="0" borderId="52" xfId="0" applyFont="1" applyBorder="1" applyAlignment="1">
      <alignment horizontal="center"/>
    </xf>
    <xf numFmtId="0" fontId="3" fillId="0" borderId="53" xfId="0" applyFont="1" applyBorder="1" applyAlignment="1">
      <alignment horizontal="center"/>
    </xf>
    <xf numFmtId="0" fontId="3" fillId="0" borderId="54" xfId="0" applyFont="1" applyBorder="1" applyAlignment="1">
      <alignment horizontal="center"/>
    </xf>
    <xf numFmtId="0" fontId="0" fillId="0" borderId="14" xfId="0" applyBorder="1" applyAlignment="1">
      <alignment horizontal="center"/>
    </xf>
    <xf numFmtId="0" fontId="0" fillId="0" borderId="14" xfId="0" applyBorder="1" applyAlignment="1">
      <alignment horizontal="left" vertical="top"/>
    </xf>
    <xf numFmtId="0" fontId="0" fillId="0" borderId="40" xfId="0" applyBorder="1" applyAlignment="1">
      <alignment horizontal="center"/>
    </xf>
    <xf numFmtId="0" fontId="31" fillId="0" borderId="6" xfId="0" applyFont="1" applyBorder="1" applyAlignment="1">
      <alignment horizontal="center"/>
    </xf>
    <xf numFmtId="0" fontId="31" fillId="0" borderId="11" xfId="0" applyFont="1" applyBorder="1" applyAlignment="1">
      <alignment horizontal="center"/>
    </xf>
    <xf numFmtId="0" fontId="31" fillId="0" borderId="2" xfId="0" applyFont="1" applyBorder="1" applyAlignment="1">
      <alignment horizontal="center" vertical="top" wrapText="1"/>
    </xf>
    <xf numFmtId="0" fontId="31" fillId="0" borderId="3" xfId="0" applyFont="1" applyBorder="1" applyAlignment="1">
      <alignment horizontal="center" vertical="top" wrapText="1"/>
    </xf>
    <xf numFmtId="0" fontId="31" fillId="0" borderId="4" xfId="0" applyFont="1" applyBorder="1" applyAlignment="1">
      <alignment horizontal="center" vertical="top" wrapText="1"/>
    </xf>
    <xf numFmtId="168" fontId="34" fillId="0" borderId="6" xfId="0" applyNumberFormat="1" applyFont="1" applyFill="1" applyBorder="1" applyAlignment="1">
      <alignment horizontal="center" vertical="top" wrapText="1"/>
    </xf>
    <xf numFmtId="168" fontId="34" fillId="0" borderId="5" xfId="0" applyNumberFormat="1" applyFont="1" applyFill="1" applyBorder="1" applyAlignment="1">
      <alignment horizontal="center" vertical="top" wrapText="1"/>
    </xf>
    <xf numFmtId="168" fontId="34" fillId="0" borderId="7" xfId="0" applyNumberFormat="1" applyFont="1" applyFill="1" applyBorder="1" applyAlignment="1">
      <alignment horizontal="center" vertical="top" wrapText="1"/>
    </xf>
    <xf numFmtId="168" fontId="34" fillId="0" borderId="1" xfId="0" applyNumberFormat="1" applyFont="1" applyFill="1" applyBorder="1" applyAlignment="1">
      <alignment horizontal="center" vertical="top" wrapText="1"/>
    </xf>
    <xf numFmtId="168" fontId="34" fillId="0" borderId="0" xfId="0" applyNumberFormat="1" applyFont="1" applyFill="1" applyBorder="1" applyAlignment="1">
      <alignment horizontal="center" vertical="top" wrapText="1"/>
    </xf>
    <xf numFmtId="168" fontId="34" fillId="0" borderId="9" xfId="0" applyNumberFormat="1" applyFont="1" applyFill="1" applyBorder="1" applyAlignment="1">
      <alignment horizontal="center" vertical="top" wrapText="1"/>
    </xf>
    <xf numFmtId="0" fontId="34" fillId="0" borderId="1" xfId="0" applyFont="1" applyFill="1" applyBorder="1" applyAlignment="1">
      <alignment horizontal="left" vertical="top" wrapText="1"/>
    </xf>
    <xf numFmtId="0" fontId="34" fillId="0" borderId="9" xfId="0" applyFont="1" applyFill="1" applyBorder="1" applyAlignment="1">
      <alignment horizontal="left" vertical="top" wrapText="1"/>
    </xf>
    <xf numFmtId="0" fontId="55" fillId="0" borderId="6" xfId="0" applyFont="1" applyFill="1" applyBorder="1" applyAlignment="1">
      <alignment horizontal="center" vertical="top" wrapText="1"/>
    </xf>
    <xf numFmtId="0" fontId="55" fillId="0" borderId="5" xfId="0" applyFont="1" applyFill="1" applyBorder="1" applyAlignment="1">
      <alignment horizontal="center" vertical="top" wrapText="1"/>
    </xf>
    <xf numFmtId="0" fontId="55" fillId="0" borderId="7" xfId="0" applyFont="1" applyFill="1" applyBorder="1" applyAlignment="1">
      <alignment horizontal="center" vertical="top" wrapText="1"/>
    </xf>
    <xf numFmtId="0" fontId="31" fillId="9" borderId="2" xfId="0" applyFont="1" applyFill="1" applyBorder="1" applyAlignment="1">
      <alignment horizontal="center" vertical="top" wrapText="1"/>
    </xf>
    <xf numFmtId="0" fontId="31" fillId="9" borderId="3" xfId="0" applyFont="1" applyFill="1" applyBorder="1" applyAlignment="1">
      <alignment horizontal="center" vertical="top" wrapText="1"/>
    </xf>
    <xf numFmtId="0" fontId="31" fillId="9" borderId="4" xfId="0" applyFont="1" applyFill="1" applyBorder="1" applyAlignment="1">
      <alignment horizontal="center" vertical="top" wrapText="1"/>
    </xf>
    <xf numFmtId="168" fontId="34" fillId="9" borderId="6" xfId="0" applyNumberFormat="1" applyFont="1" applyFill="1" applyBorder="1" applyAlignment="1">
      <alignment horizontal="center" vertical="top" wrapText="1"/>
    </xf>
    <xf numFmtId="168" fontId="34" fillId="9" borderId="5" xfId="0" applyNumberFormat="1" applyFont="1" applyFill="1" applyBorder="1" applyAlignment="1">
      <alignment horizontal="center" vertical="top" wrapText="1"/>
    </xf>
    <xf numFmtId="168" fontId="34" fillId="9" borderId="7" xfId="0" applyNumberFormat="1" applyFont="1" applyFill="1" applyBorder="1" applyAlignment="1">
      <alignment horizontal="center" vertical="top" wrapText="1"/>
    </xf>
    <xf numFmtId="168" fontId="34" fillId="9" borderId="1" xfId="0" applyNumberFormat="1" applyFont="1" applyFill="1" applyBorder="1" applyAlignment="1">
      <alignment horizontal="center" vertical="top" wrapText="1"/>
    </xf>
    <xf numFmtId="168" fontId="34" fillId="9" borderId="0" xfId="0" applyNumberFormat="1" applyFont="1" applyFill="1" applyBorder="1" applyAlignment="1">
      <alignment horizontal="center" vertical="top" wrapText="1"/>
    </xf>
    <xf numFmtId="168" fontId="34" fillId="9" borderId="9" xfId="0" applyNumberFormat="1" applyFont="1" applyFill="1" applyBorder="1" applyAlignment="1">
      <alignment horizontal="center" vertical="top" wrapText="1"/>
    </xf>
    <xf numFmtId="0" fontId="34" fillId="9" borderId="11" xfId="0" applyFont="1" applyFill="1" applyBorder="1" applyAlignment="1">
      <alignment horizontal="left" vertical="top" wrapText="1"/>
    </xf>
    <xf numFmtId="0" fontId="34" fillId="9" borderId="13" xfId="0" applyFont="1" applyFill="1" applyBorder="1" applyAlignment="1">
      <alignment horizontal="left" vertical="top" wrapText="1"/>
    </xf>
    <xf numFmtId="0" fontId="34" fillId="9" borderId="12" xfId="0" applyFont="1" applyFill="1" applyBorder="1" applyAlignment="1">
      <alignment horizontal="left" vertical="top" wrapText="1"/>
    </xf>
    <xf numFmtId="0" fontId="55" fillId="9" borderId="6" xfId="0" applyFont="1" applyFill="1" applyBorder="1" applyAlignment="1">
      <alignment horizontal="center" vertical="top" wrapText="1"/>
    </xf>
    <xf numFmtId="0" fontId="55" fillId="9" borderId="5" xfId="0" applyFont="1" applyFill="1" applyBorder="1" applyAlignment="1">
      <alignment horizontal="center" vertical="top" wrapText="1"/>
    </xf>
    <xf numFmtId="0" fontId="55" fillId="9" borderId="7" xfId="0" applyFont="1" applyFill="1" applyBorder="1" applyAlignment="1">
      <alignment horizontal="center" vertical="top" wrapText="1"/>
    </xf>
    <xf numFmtId="0" fontId="34" fillId="9" borderId="1" xfId="0" applyFont="1" applyFill="1" applyBorder="1" applyAlignment="1">
      <alignment horizontal="left" vertical="top" wrapText="1"/>
    </xf>
    <xf numFmtId="0" fontId="34" fillId="9" borderId="0" xfId="0" applyFont="1" applyFill="1" applyBorder="1" applyAlignment="1">
      <alignment horizontal="left" vertical="top" wrapText="1"/>
    </xf>
    <xf numFmtId="0" fontId="34" fillId="9" borderId="9" xfId="0" applyFont="1" applyFill="1" applyBorder="1" applyAlignment="1">
      <alignment horizontal="left" vertical="top" wrapText="1"/>
    </xf>
    <xf numFmtId="0" fontId="33" fillId="0" borderId="13" xfId="0" applyFont="1" applyBorder="1" applyAlignment="1">
      <alignment horizontal="center"/>
    </xf>
    <xf numFmtId="0" fontId="0" fillId="0" borderId="6" xfId="0" applyBorder="1" applyAlignment="1">
      <alignment horizontal="center"/>
    </xf>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5" xfId="0" applyFont="1" applyBorder="1" applyAlignment="1">
      <alignment horizontal="center"/>
    </xf>
    <xf numFmtId="0" fontId="0" fillId="0" borderId="0" xfId="0" applyAlignment="1">
      <alignment horizontal="left" vertical="top" wrapText="1"/>
    </xf>
  </cellXfs>
  <cellStyles count="6">
    <cellStyle name="Comma" xfId="1" builtinId="3"/>
    <cellStyle name="Hyperlink" xfId="3" builtinId="8"/>
    <cellStyle name="Normal" xfId="0" builtinId="0"/>
    <cellStyle name="Normal 2" xfId="4" xr:uid="{FEE2ED9C-FC11-4589-83F5-62E3C1C8C235}"/>
    <cellStyle name="Percent" xfId="2" builtinId="5"/>
    <cellStyle name="Standard 2" xfId="5" xr:uid="{5B91996B-AF3C-47B4-B056-8D48670ECC2B}"/>
  </cellStyles>
  <dxfs count="0"/>
  <tableStyles count="0" defaultTableStyle="TableStyleMedium2" defaultPivotStyle="PivotStyleLight16"/>
  <colors>
    <mruColors>
      <color rgb="FF7D7D7D"/>
      <color rgb="FFFF66FF"/>
      <color rgb="FF5B9BD5"/>
      <color rgb="FFC55A11"/>
      <color rgb="FF1D6563"/>
      <color rgb="FFF8696B"/>
      <color rgb="FF5A8AC6"/>
      <color rgb="FFEB6E19"/>
      <color rgb="FFB1E9E8"/>
      <color rgb="FF3CC8C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4353714866954437"/>
          <c:y val="6.0185185185185182E-2"/>
          <c:w val="0.8286850796512597"/>
          <c:h val="0.8416746864975212"/>
        </c:manualLayout>
      </c:layout>
      <c:barChart>
        <c:barDir val="col"/>
        <c:grouping val="clustered"/>
        <c:varyColors val="0"/>
        <c:ser>
          <c:idx val="0"/>
          <c:order val="0"/>
          <c:tx>
            <c:strRef>
              <c:f>'S2.10 overall results'!$C$5</c:f>
              <c:strCache>
                <c:ptCount val="1"/>
                <c:pt idx="0">
                  <c:v>max</c:v>
                </c:pt>
              </c:strCache>
            </c:strRef>
          </c:tx>
          <c:spPr>
            <a:solidFill>
              <a:schemeClr val="accent1"/>
            </a:solidFill>
            <a:ln>
              <a:noFill/>
            </a:ln>
            <a:effectLst/>
          </c:spPr>
          <c:invertIfNegative val="0"/>
          <c:dPt>
            <c:idx val="0"/>
            <c:invertIfNegative val="0"/>
            <c:bubble3D val="0"/>
            <c:spPr>
              <a:solidFill>
                <a:schemeClr val="accent2">
                  <a:lumMod val="75000"/>
                </a:schemeClr>
              </a:solidFill>
              <a:ln>
                <a:noFill/>
              </a:ln>
              <a:effectLst/>
            </c:spPr>
            <c:extLst>
              <c:ext xmlns:c16="http://schemas.microsoft.com/office/drawing/2014/chart" uri="{C3380CC4-5D6E-409C-BE32-E72D297353CC}">
                <c16:uniqueId val="{00000006-24CD-49D8-8A57-BA843F49167B}"/>
              </c:ext>
            </c:extLst>
          </c:dPt>
          <c:dPt>
            <c:idx val="2"/>
            <c:invertIfNegative val="0"/>
            <c:bubble3D val="0"/>
            <c:spPr>
              <a:solidFill>
                <a:srgbClr val="FF66FF"/>
              </a:solidFill>
              <a:ln>
                <a:noFill/>
              </a:ln>
              <a:effectLst/>
            </c:spPr>
            <c:extLst>
              <c:ext xmlns:c16="http://schemas.microsoft.com/office/drawing/2014/chart" uri="{C3380CC4-5D6E-409C-BE32-E72D297353CC}">
                <c16:uniqueId val="{0000000A-24CD-49D8-8A57-BA843F49167B}"/>
              </c:ext>
            </c:extLst>
          </c:dPt>
          <c:dPt>
            <c:idx val="4"/>
            <c:invertIfNegative val="0"/>
            <c:bubble3D val="0"/>
            <c:spPr>
              <a:solidFill>
                <a:schemeClr val="accent2">
                  <a:lumMod val="75000"/>
                </a:schemeClr>
              </a:solidFill>
              <a:ln>
                <a:noFill/>
              </a:ln>
              <a:effectLst/>
            </c:spPr>
            <c:extLst>
              <c:ext xmlns:c16="http://schemas.microsoft.com/office/drawing/2014/chart" uri="{C3380CC4-5D6E-409C-BE32-E72D297353CC}">
                <c16:uniqueId val="{00000005-44B4-4550-B0B7-5E520C6F34CD}"/>
              </c:ext>
            </c:extLst>
          </c:dPt>
          <c:dPt>
            <c:idx val="6"/>
            <c:invertIfNegative val="0"/>
            <c:bubble3D val="0"/>
            <c:spPr>
              <a:solidFill>
                <a:srgbClr val="FF66FF"/>
              </a:solidFill>
              <a:ln>
                <a:noFill/>
              </a:ln>
              <a:effectLst/>
            </c:spPr>
            <c:extLst>
              <c:ext xmlns:c16="http://schemas.microsoft.com/office/drawing/2014/chart" uri="{C3380CC4-5D6E-409C-BE32-E72D297353CC}">
                <c16:uniqueId val="{00000008-24CD-49D8-8A57-BA843F49167B}"/>
              </c:ext>
            </c:extLst>
          </c:dPt>
          <c:dPt>
            <c:idx val="8"/>
            <c:invertIfNegative val="0"/>
            <c:bubble3D val="0"/>
            <c:spPr>
              <a:solidFill>
                <a:srgbClr val="C46200"/>
              </a:solidFill>
              <a:ln>
                <a:noFill/>
              </a:ln>
              <a:effectLst/>
            </c:spPr>
            <c:extLst>
              <c:ext xmlns:c16="http://schemas.microsoft.com/office/drawing/2014/chart" uri="{C3380CC4-5D6E-409C-BE32-E72D297353CC}">
                <c16:uniqueId val="{0000000C-24CD-49D8-8A57-BA843F49167B}"/>
              </c:ext>
            </c:extLst>
          </c:dPt>
          <c:dPt>
            <c:idx val="9"/>
            <c:invertIfNegative val="0"/>
            <c:bubble3D val="0"/>
            <c:spPr>
              <a:solidFill>
                <a:schemeClr val="accent1"/>
              </a:solidFill>
              <a:ln>
                <a:noFill/>
              </a:ln>
              <a:effectLst/>
            </c:spPr>
            <c:extLst>
              <c:ext xmlns:c16="http://schemas.microsoft.com/office/drawing/2014/chart" uri="{C3380CC4-5D6E-409C-BE32-E72D297353CC}">
                <c16:uniqueId val="{00000009-24CD-49D8-8A57-BA843F49167B}"/>
              </c:ext>
            </c:extLst>
          </c:dPt>
          <c:dPt>
            <c:idx val="10"/>
            <c:invertIfNegative val="0"/>
            <c:bubble3D val="0"/>
            <c:spPr>
              <a:solidFill>
                <a:srgbClr val="FF66FF"/>
              </a:solidFill>
              <a:ln>
                <a:noFill/>
              </a:ln>
              <a:effectLst/>
            </c:spPr>
            <c:extLst>
              <c:ext xmlns:c16="http://schemas.microsoft.com/office/drawing/2014/chart" uri="{C3380CC4-5D6E-409C-BE32-E72D297353CC}">
                <c16:uniqueId val="{00000012-24CD-49D8-8A57-BA843F49167B}"/>
              </c:ext>
            </c:extLst>
          </c:dPt>
          <c:dPt>
            <c:idx val="12"/>
            <c:invertIfNegative val="0"/>
            <c:bubble3D val="0"/>
            <c:spPr>
              <a:solidFill>
                <a:schemeClr val="accent2">
                  <a:lumMod val="75000"/>
                </a:schemeClr>
              </a:solidFill>
              <a:ln>
                <a:noFill/>
              </a:ln>
              <a:effectLst/>
            </c:spPr>
            <c:extLst>
              <c:ext xmlns:c16="http://schemas.microsoft.com/office/drawing/2014/chart" uri="{C3380CC4-5D6E-409C-BE32-E72D297353CC}">
                <c16:uniqueId val="{0000000F-44B4-4550-B0B7-5E520C6F34CD}"/>
              </c:ext>
            </c:extLst>
          </c:dPt>
          <c:dPt>
            <c:idx val="13"/>
            <c:invertIfNegative val="0"/>
            <c:bubble3D val="0"/>
            <c:spPr>
              <a:solidFill>
                <a:schemeClr val="accent1"/>
              </a:solidFill>
              <a:ln>
                <a:noFill/>
              </a:ln>
              <a:effectLst/>
            </c:spPr>
            <c:extLst>
              <c:ext xmlns:c16="http://schemas.microsoft.com/office/drawing/2014/chart" uri="{C3380CC4-5D6E-409C-BE32-E72D297353CC}">
                <c16:uniqueId val="{00000014-24CD-49D8-8A57-BA843F49167B}"/>
              </c:ext>
            </c:extLst>
          </c:dPt>
          <c:dPt>
            <c:idx val="14"/>
            <c:invertIfNegative val="0"/>
            <c:bubble3D val="0"/>
            <c:spPr>
              <a:solidFill>
                <a:srgbClr val="FF66FF"/>
              </a:solidFill>
              <a:ln>
                <a:noFill/>
              </a:ln>
              <a:effectLst/>
            </c:spPr>
            <c:extLst>
              <c:ext xmlns:c16="http://schemas.microsoft.com/office/drawing/2014/chart" uri="{C3380CC4-5D6E-409C-BE32-E72D297353CC}">
                <c16:uniqueId val="{00000013-24CD-49D8-8A57-BA843F49167B}"/>
              </c:ext>
            </c:extLst>
          </c:dPt>
          <c:dPt>
            <c:idx val="16"/>
            <c:invertIfNegative val="0"/>
            <c:bubble3D val="0"/>
            <c:spPr>
              <a:solidFill>
                <a:srgbClr val="C55A11">
                  <a:alpha val="50196"/>
                </a:srgbClr>
              </a:solidFill>
              <a:ln>
                <a:noFill/>
              </a:ln>
              <a:effectLst/>
            </c:spPr>
            <c:extLst>
              <c:ext xmlns:c16="http://schemas.microsoft.com/office/drawing/2014/chart" uri="{C3380CC4-5D6E-409C-BE32-E72D297353CC}">
                <c16:uniqueId val="{00000021-3B60-416E-8C67-E78B7687CCB4}"/>
              </c:ext>
            </c:extLst>
          </c:dPt>
          <c:dPt>
            <c:idx val="17"/>
            <c:invertIfNegative val="0"/>
            <c:bubble3D val="0"/>
            <c:spPr>
              <a:solidFill>
                <a:srgbClr val="5B9BD5">
                  <a:alpha val="50196"/>
                </a:srgbClr>
              </a:solidFill>
              <a:ln>
                <a:noFill/>
              </a:ln>
              <a:effectLst/>
            </c:spPr>
            <c:extLst>
              <c:ext xmlns:c16="http://schemas.microsoft.com/office/drawing/2014/chart" uri="{C3380CC4-5D6E-409C-BE32-E72D297353CC}">
                <c16:uniqueId val="{00000024-3B60-416E-8C67-E78B7687CCB4}"/>
              </c:ext>
            </c:extLst>
          </c:dPt>
          <c:dPt>
            <c:idx val="18"/>
            <c:invertIfNegative val="0"/>
            <c:bubble3D val="0"/>
            <c:spPr>
              <a:solidFill>
                <a:srgbClr val="FF66FF">
                  <a:alpha val="50000"/>
                </a:srgbClr>
              </a:solidFill>
              <a:ln>
                <a:noFill/>
              </a:ln>
              <a:effectLst/>
            </c:spPr>
            <c:extLst>
              <c:ext xmlns:c16="http://schemas.microsoft.com/office/drawing/2014/chart" uri="{C3380CC4-5D6E-409C-BE32-E72D297353CC}">
                <c16:uniqueId val="{00000022-3B60-416E-8C67-E78B7687CCB4}"/>
              </c:ext>
            </c:extLst>
          </c:dPt>
          <c:val>
            <c:numRef>
              <c:f>('S2.10 overall results'!$D$5,'S2.10 overall results'!$E$5,'S2.10 overall results'!$F$5,'S2.10 overall results'!$G$5,'S2.10 overall results'!$D$8,'S2.10 overall results'!$E$8,'S2.10 overall results'!$F$8,'S2.10 overall results'!$G$8,'S2.10 overall results'!$D$11,'S2.10 overall results'!$E$13,'S2.10 overall results'!$F$13,'S2.10 overall results'!$G$11,'S2.10 overall results'!$D$14,'S2.10 overall results'!$E$16,'S2.10 overall results'!$F$16,'S2.10 overall results'!$G$14,'S2.10 overall results'!$D$17,'S2.10 overall results'!$E$17,'S2.10 overall results'!$F$17)</c:f>
              <c:numCache>
                <c:formatCode>0.00</c:formatCode>
                <c:ptCount val="19"/>
                <c:pt idx="0" formatCode="_(* #,##0.00_);_(* \(#,##0.00\);_(* &quot;-&quot;??_);_(@_)">
                  <c:v>2.2604126143624419</c:v>
                </c:pt>
                <c:pt idx="1">
                  <c:v>6.9679558647103707E-2</c:v>
                </c:pt>
                <c:pt idx="2" formatCode="_(* #,##0.00_);_(* \(#,##0.00\);_(* &quot;-&quot;??_);_(@_)">
                  <c:v>1.7121908221993518</c:v>
                </c:pt>
                <c:pt idx="4">
                  <c:v>1.3458634402082004</c:v>
                </c:pt>
                <c:pt idx="5">
                  <c:v>0.3189818756264402</c:v>
                </c:pt>
                <c:pt idx="6">
                  <c:v>1.5125280098836371</c:v>
                </c:pt>
                <c:pt idx="8" formatCode="_(* #,##0.00_);_(* \(#,##0.00\);_(* &quot;-&quot;??_);_(@_)">
                  <c:v>0.84378947207572219</c:v>
                </c:pt>
                <c:pt idx="9">
                  <c:v>-3.8385194920710934</c:v>
                </c:pt>
                <c:pt idx="10" formatCode="_(* #,##0.00_);_(* \(#,##0.00\);_(* &quot;-&quot;??_);_(@_)">
                  <c:v>-3.2904113883301251</c:v>
                </c:pt>
                <c:pt idx="12">
                  <c:v>0.52519517315999997</c:v>
                </c:pt>
                <c:pt idx="13">
                  <c:v>-6.2853283641832576</c:v>
                </c:pt>
                <c:pt idx="14">
                  <c:v>-6.2214077874287792</c:v>
                </c:pt>
                <c:pt idx="16">
                  <c:v>3.1901299999999999</c:v>
                </c:pt>
                <c:pt idx="17">
                  <c:v>-2.3736899999999999</c:v>
                </c:pt>
                <c:pt idx="18">
                  <c:v>3.0537239999999999</c:v>
                </c:pt>
              </c:numCache>
            </c:numRef>
          </c:val>
          <c:extLst>
            <c:ext xmlns:c16="http://schemas.microsoft.com/office/drawing/2014/chart" uri="{C3380CC4-5D6E-409C-BE32-E72D297353CC}">
              <c16:uniqueId val="{00000000-24CD-49D8-8A57-BA843F49167B}"/>
            </c:ext>
          </c:extLst>
        </c:ser>
        <c:ser>
          <c:idx val="1"/>
          <c:order val="1"/>
          <c:tx>
            <c:strRef>
              <c:f>'S2.10 overall results'!$C$7</c:f>
              <c:strCache>
                <c:ptCount val="1"/>
                <c:pt idx="0">
                  <c:v>min</c:v>
                </c:pt>
              </c:strCache>
            </c:strRef>
          </c:tx>
          <c:spPr>
            <a:solidFill>
              <a:schemeClr val="bg1"/>
            </a:solidFill>
            <a:ln>
              <a:noFill/>
            </a:ln>
            <a:effectLst/>
          </c:spPr>
          <c:invertIfNegative val="0"/>
          <c:dPt>
            <c:idx val="1"/>
            <c:invertIfNegative val="0"/>
            <c:bubble3D val="0"/>
            <c:spPr>
              <a:solidFill>
                <a:schemeClr val="accent1"/>
              </a:solidFill>
              <a:ln>
                <a:noFill/>
              </a:ln>
              <a:effectLst/>
            </c:spPr>
            <c:extLst>
              <c:ext xmlns:c16="http://schemas.microsoft.com/office/drawing/2014/chart" uri="{C3380CC4-5D6E-409C-BE32-E72D297353CC}">
                <c16:uniqueId val="{00000002-24CD-49D8-8A57-BA843F49167B}"/>
              </c:ext>
            </c:extLst>
          </c:dPt>
          <c:dPt>
            <c:idx val="2"/>
            <c:invertIfNegative val="0"/>
            <c:bubble3D val="0"/>
            <c:spPr>
              <a:solidFill>
                <a:srgbClr val="FF66FF"/>
              </a:solidFill>
              <a:ln>
                <a:noFill/>
              </a:ln>
              <a:effectLst/>
            </c:spPr>
            <c:extLst>
              <c:ext xmlns:c16="http://schemas.microsoft.com/office/drawing/2014/chart" uri="{C3380CC4-5D6E-409C-BE32-E72D297353CC}">
                <c16:uniqueId val="{00000003-24CD-49D8-8A57-BA843F49167B}"/>
              </c:ext>
            </c:extLst>
          </c:dPt>
          <c:dPt>
            <c:idx val="5"/>
            <c:invertIfNegative val="0"/>
            <c:bubble3D val="0"/>
            <c:spPr>
              <a:solidFill>
                <a:schemeClr val="accent1"/>
              </a:solidFill>
              <a:ln>
                <a:noFill/>
              </a:ln>
              <a:effectLst/>
            </c:spPr>
            <c:extLst>
              <c:ext xmlns:c16="http://schemas.microsoft.com/office/drawing/2014/chart" uri="{C3380CC4-5D6E-409C-BE32-E72D297353CC}">
                <c16:uniqueId val="{00000005-24CD-49D8-8A57-BA843F49167B}"/>
              </c:ext>
            </c:extLst>
          </c:dPt>
          <c:dPt>
            <c:idx val="6"/>
            <c:invertIfNegative val="0"/>
            <c:bubble3D val="0"/>
            <c:spPr>
              <a:solidFill>
                <a:srgbClr val="FF66FF"/>
              </a:solidFill>
              <a:ln>
                <a:noFill/>
              </a:ln>
              <a:effectLst/>
            </c:spPr>
            <c:extLst>
              <c:ext xmlns:c16="http://schemas.microsoft.com/office/drawing/2014/chart" uri="{C3380CC4-5D6E-409C-BE32-E72D297353CC}">
                <c16:uniqueId val="{0000001B-44B4-4550-B0B7-5E520C6F34CD}"/>
              </c:ext>
            </c:extLst>
          </c:dPt>
          <c:dPt>
            <c:idx val="9"/>
            <c:invertIfNegative val="0"/>
            <c:bubble3D val="0"/>
            <c:extLst>
              <c:ext xmlns:c16="http://schemas.microsoft.com/office/drawing/2014/chart" uri="{C3380CC4-5D6E-409C-BE32-E72D297353CC}">
                <c16:uniqueId val="{0000000F-24CD-49D8-8A57-BA843F49167B}"/>
              </c:ext>
            </c:extLst>
          </c:dPt>
          <c:dPt>
            <c:idx val="10"/>
            <c:invertIfNegative val="0"/>
            <c:bubble3D val="0"/>
            <c:extLst>
              <c:ext xmlns:c16="http://schemas.microsoft.com/office/drawing/2014/chart" uri="{C3380CC4-5D6E-409C-BE32-E72D297353CC}">
                <c16:uniqueId val="{0000001D-44B4-4550-B0B7-5E520C6F34CD}"/>
              </c:ext>
            </c:extLst>
          </c:dPt>
          <c:dPt>
            <c:idx val="13"/>
            <c:invertIfNegative val="0"/>
            <c:bubble3D val="0"/>
            <c:extLst>
              <c:ext xmlns:c16="http://schemas.microsoft.com/office/drawing/2014/chart" uri="{C3380CC4-5D6E-409C-BE32-E72D297353CC}">
                <c16:uniqueId val="{00000011-24CD-49D8-8A57-BA843F49167B}"/>
              </c:ext>
            </c:extLst>
          </c:dPt>
          <c:dPt>
            <c:idx val="14"/>
            <c:invertIfNegative val="0"/>
            <c:bubble3D val="0"/>
            <c:extLst>
              <c:ext xmlns:c16="http://schemas.microsoft.com/office/drawing/2014/chart" uri="{C3380CC4-5D6E-409C-BE32-E72D297353CC}">
                <c16:uniqueId val="{0000001F-44B4-4550-B0B7-5E520C6F34CD}"/>
              </c:ext>
            </c:extLst>
          </c:dPt>
          <c:val>
            <c:numRef>
              <c:f>('S2.10 overall results'!$D$7,'S2.10 overall results'!$E$7,'S2.10 overall results'!$F$7,'S2.10 overall results'!$G$7,'S2.10 overall results'!$D$10,'S2.10 overall results'!$E$10,'S2.10 overall results'!$F$10,'S2.10 overall results'!$G$10,'S2.10 overall results'!$D$13,'S2.10 overall results'!$E$11,'S2.10 overall results'!$F$11,'S2.10 overall results'!$G$13,'S2.10 overall results'!$D$16,'S2.10 overall results'!$E$14,'S2.10 overall results'!$F$14,'S2.10 overall results'!$G$16,'S2.10 overall results'!$D$19,'S2.10 overall results'!$E$19,'S2.10 overall results'!$F$19,'S2.10 overall results'!$G$19)</c:f>
              <c:numCache>
                <c:formatCode>0.00</c:formatCode>
                <c:ptCount val="20"/>
                <c:pt idx="0" formatCode="_(* #,##0.00_);_(* \(#,##0.00\);_(* &quot;-&quot;??_);_(@_)">
                  <c:v>0.6261512854941369</c:v>
                </c:pt>
                <c:pt idx="1">
                  <c:v>-1.8129065910855091</c:v>
                </c:pt>
                <c:pt idx="2" formatCode="_(* #,##0.00_);_(* \(#,##0.00\);_(* &quot;-&quot;??_);_(@_)">
                  <c:v>-0.44086346298306278</c:v>
                </c:pt>
                <c:pt idx="4">
                  <c:v>0.26462761597950046</c:v>
                </c:pt>
                <c:pt idx="5">
                  <c:v>-1.1742401604946995</c:v>
                </c:pt>
                <c:pt idx="6">
                  <c:v>-0.80421178109385838</c:v>
                </c:pt>
                <c:pt idx="8" formatCode="_(* #,##0.00_);_(* \(#,##0.00\);_(* &quot;-&quot;??_);_(@_)">
                  <c:v>0.27103810322385707</c:v>
                </c:pt>
                <c:pt idx="9">
                  <c:v>-1.8196306907718196</c:v>
                </c:pt>
                <c:pt idx="10" formatCode="_(* #,##0.00_);_(* \(#,##0.00\);_(* &quot;-&quot;??_);_(@_)">
                  <c:v>-1.1553337286404854</c:v>
                </c:pt>
                <c:pt idx="12">
                  <c:v>6.392057675447832E-2</c:v>
                </c:pt>
                <c:pt idx="13">
                  <c:v>-1.2320238135897525</c:v>
                </c:pt>
                <c:pt idx="14">
                  <c:v>-0.70682864042975257</c:v>
                </c:pt>
                <c:pt idx="16">
                  <c:v>1.83199</c:v>
                </c:pt>
                <c:pt idx="17">
                  <c:v>-7.9355599999999998E-2</c:v>
                </c:pt>
                <c:pt idx="18">
                  <c:v>0.33740000000000014</c:v>
                </c:pt>
              </c:numCache>
            </c:numRef>
          </c:val>
          <c:extLst>
            <c:ext xmlns:c16="http://schemas.microsoft.com/office/drawing/2014/chart" uri="{C3380CC4-5D6E-409C-BE32-E72D297353CC}">
              <c16:uniqueId val="{00000001-24CD-49D8-8A57-BA843F49167B}"/>
            </c:ext>
          </c:extLst>
        </c:ser>
        <c:ser>
          <c:idx val="2"/>
          <c:order val="2"/>
          <c:tx>
            <c:strRef>
              <c:f>'S2.10 overall results'!$C$6</c:f>
              <c:strCache>
                <c:ptCount val="1"/>
                <c:pt idx="0">
                  <c:v>intermediate</c:v>
                </c:pt>
              </c:strCache>
            </c:strRef>
          </c:tx>
          <c:spPr>
            <a:noFill/>
            <a:ln>
              <a:solidFill>
                <a:schemeClr val="tx1"/>
              </a:solidFill>
            </a:ln>
            <a:effectLst/>
          </c:spPr>
          <c:invertIfNegative val="0"/>
          <c:dPt>
            <c:idx val="0"/>
            <c:invertIfNegative val="0"/>
            <c:bubble3D val="0"/>
            <c:extLst>
              <c:ext xmlns:c16="http://schemas.microsoft.com/office/drawing/2014/chart" uri="{C3380CC4-5D6E-409C-BE32-E72D297353CC}">
                <c16:uniqueId val="{00000020-44B4-4550-B0B7-5E520C6F34CD}"/>
              </c:ext>
            </c:extLst>
          </c:dPt>
          <c:dPt>
            <c:idx val="16"/>
            <c:invertIfNegative val="0"/>
            <c:bubble3D val="0"/>
            <c:spPr>
              <a:noFill/>
              <a:ln>
                <a:solidFill>
                  <a:srgbClr val="7D7D7D"/>
                </a:solidFill>
              </a:ln>
              <a:effectLst/>
            </c:spPr>
            <c:extLst>
              <c:ext xmlns:c16="http://schemas.microsoft.com/office/drawing/2014/chart" uri="{C3380CC4-5D6E-409C-BE32-E72D297353CC}">
                <c16:uniqueId val="{00000025-3B60-416E-8C67-E78B7687CCB4}"/>
              </c:ext>
            </c:extLst>
          </c:dPt>
          <c:dPt>
            <c:idx val="17"/>
            <c:invertIfNegative val="0"/>
            <c:bubble3D val="0"/>
            <c:spPr>
              <a:noFill/>
              <a:ln>
                <a:solidFill>
                  <a:srgbClr val="7D7D7D"/>
                </a:solidFill>
              </a:ln>
              <a:effectLst/>
            </c:spPr>
            <c:extLst>
              <c:ext xmlns:c16="http://schemas.microsoft.com/office/drawing/2014/chart" uri="{C3380CC4-5D6E-409C-BE32-E72D297353CC}">
                <c16:uniqueId val="{00000026-3B60-416E-8C67-E78B7687CCB4}"/>
              </c:ext>
            </c:extLst>
          </c:dPt>
          <c:dPt>
            <c:idx val="18"/>
            <c:invertIfNegative val="0"/>
            <c:bubble3D val="0"/>
            <c:spPr>
              <a:noFill/>
              <a:ln>
                <a:solidFill>
                  <a:srgbClr val="7D7D7D"/>
                </a:solidFill>
              </a:ln>
              <a:effectLst/>
            </c:spPr>
            <c:extLst>
              <c:ext xmlns:c16="http://schemas.microsoft.com/office/drawing/2014/chart" uri="{C3380CC4-5D6E-409C-BE32-E72D297353CC}">
                <c16:uniqueId val="{00000027-3B60-416E-8C67-E78B7687CCB4}"/>
              </c:ext>
            </c:extLst>
          </c:dPt>
          <c:val>
            <c:numRef>
              <c:f>('S2.10 overall results'!$D$6,'S2.10 overall results'!$E$6,'S2.10 overall results'!$F$6,'S2.10 overall results'!$G$6,'S2.10 overall results'!$D$9,'S2.10 overall results'!$E$9,'S2.10 overall results'!$F$9,'S2.10 overall results'!$G$9,'S2.10 overall results'!$D$12,'S2.10 overall results'!$E$12,'S2.10 overall results'!$F$12,'S2.10 overall results'!$G$12,'S2.10 overall results'!$D$15,'S2.10 overall results'!$E$15,'S2.10 overall results'!$F$15,'S2.10 overall results'!$G$15,'S2.10 overall results'!$D$18,'S2.10 overall results'!$E$18,'S2.10 overall results'!$F$18,'S2.10 overall results'!$G$18)</c:f>
              <c:numCache>
                <c:formatCode>0.00</c:formatCode>
                <c:ptCount val="20"/>
                <c:pt idx="0" formatCode="_(* #,##0.00_);_(* \(#,##0.00\);_(* &quot;-&quot;??_);_(@_)">
                  <c:v>2.0525515146090227</c:v>
                </c:pt>
                <c:pt idx="1">
                  <c:v>-1.2927707310922745</c:v>
                </c:pt>
                <c:pt idx="2" formatCode="_(* #,##0.00_);_(* \(#,##0.00\);_(* &quot;-&quot;??_);_(@_)">
                  <c:v>0.75978078351674827</c:v>
                </c:pt>
                <c:pt idx="4" formatCode="_(* #,##0.00_);_(* \(#,##0.00\);_(* &quot;-&quot;??_);_(@_)">
                  <c:v>0.69286348327542924</c:v>
                </c:pt>
                <c:pt idx="5">
                  <c:v>-0.50319677031516563</c:v>
                </c:pt>
                <c:pt idx="6" formatCode="_(* #,##0.00_);_(* \(#,##0.00\);_(* &quot;-&quot;??_);_(@_)">
                  <c:v>0.18966671296026361</c:v>
                </c:pt>
                <c:pt idx="8" formatCode="_(* #,##0.00_);_(* \(#,##0.00\);_(* &quot;-&quot;??_);_(@_)">
                  <c:v>0.58782951332885647</c:v>
                </c:pt>
                <c:pt idx="9">
                  <c:v>-2.5139261933774169</c:v>
                </c:pt>
                <c:pt idx="10" formatCode="_(* #,##0.00_);_(* \(#,##0.00\);_(* &quot;-&quot;??_);_(@_)">
                  <c:v>-1.9260966800485604</c:v>
                </c:pt>
                <c:pt idx="12">
                  <c:v>0.32646673088400002</c:v>
                </c:pt>
                <c:pt idx="13">
                  <c:v>-2.6124087962473141</c:v>
                </c:pt>
                <c:pt idx="14">
                  <c:v>-2.2859420653633138</c:v>
                </c:pt>
                <c:pt idx="16">
                  <c:v>2.5110600000000001</c:v>
                </c:pt>
                <c:pt idx="17">
                  <c:v>-1.2265227999999999</c:v>
                </c:pt>
                <c:pt idx="18">
                  <c:v>1.7661337090909095</c:v>
                </c:pt>
              </c:numCache>
            </c:numRef>
          </c:val>
          <c:extLst>
            <c:ext xmlns:c16="http://schemas.microsoft.com/office/drawing/2014/chart" uri="{C3380CC4-5D6E-409C-BE32-E72D297353CC}">
              <c16:uniqueId val="{0000000E-24CD-49D8-8A57-BA843F49167B}"/>
            </c:ext>
          </c:extLst>
        </c:ser>
        <c:dLbls>
          <c:showLegendKey val="0"/>
          <c:showVal val="0"/>
          <c:showCatName val="0"/>
          <c:showSerName val="0"/>
          <c:showPercent val="0"/>
          <c:showBubbleSize val="0"/>
        </c:dLbls>
        <c:gapWidth val="40"/>
        <c:overlap val="100"/>
        <c:axId val="1852228208"/>
        <c:axId val="1540771792"/>
      </c:barChart>
      <c:catAx>
        <c:axId val="1852228208"/>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CH"/>
          </a:p>
        </c:txPr>
        <c:crossAx val="1540771792"/>
        <c:crosses val="autoZero"/>
        <c:auto val="1"/>
        <c:lblAlgn val="ctr"/>
        <c:lblOffset val="100"/>
        <c:noMultiLvlLbl val="0"/>
      </c:catAx>
      <c:valAx>
        <c:axId val="1540771792"/>
        <c:scaling>
          <c:orientation val="minMax"/>
          <c:max val="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de-CH"/>
                  <a:t>kg</a:t>
                </a:r>
                <a:r>
                  <a:rPr lang="de-CH" baseline="0"/>
                  <a:t> CO</a:t>
                </a:r>
                <a:r>
                  <a:rPr lang="de-CH" baseline="-25000"/>
                  <a:t>2</a:t>
                </a:r>
                <a:r>
                  <a:rPr lang="de-CH" baseline="0"/>
                  <a:t>-eq / kg plastic input</a:t>
                </a:r>
                <a:endParaRPr lang="de-CH"/>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CH"/>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CH"/>
          </a:p>
        </c:txPr>
        <c:crossAx val="1852228208"/>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en-CH"/>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676269626966227"/>
          <c:y val="5.1355632750265091E-2"/>
          <c:w val="0.85017611510130697"/>
          <c:h val="0.86954998809802819"/>
        </c:manualLayout>
      </c:layout>
      <c:barChart>
        <c:barDir val="col"/>
        <c:grouping val="clustered"/>
        <c:varyColors val="0"/>
        <c:ser>
          <c:idx val="0"/>
          <c:order val="0"/>
          <c:tx>
            <c:strRef>
              <c:f>'S2.10 overall results'!$C$27</c:f>
              <c:strCache>
                <c:ptCount val="1"/>
                <c:pt idx="0">
                  <c:v>max</c:v>
                </c:pt>
              </c:strCache>
            </c:strRef>
          </c:tx>
          <c:spPr>
            <a:solidFill>
              <a:schemeClr val="accent1"/>
            </a:solidFill>
            <a:ln>
              <a:noFill/>
            </a:ln>
            <a:effectLst/>
          </c:spPr>
          <c:invertIfNegative val="0"/>
          <c:dPt>
            <c:idx val="0"/>
            <c:invertIfNegative val="0"/>
            <c:bubble3D val="0"/>
            <c:spPr>
              <a:solidFill>
                <a:schemeClr val="accent2">
                  <a:lumMod val="75000"/>
                </a:schemeClr>
              </a:solidFill>
              <a:ln>
                <a:noFill/>
              </a:ln>
              <a:effectLst/>
            </c:spPr>
            <c:extLst>
              <c:ext xmlns:c16="http://schemas.microsoft.com/office/drawing/2014/chart" uri="{C3380CC4-5D6E-409C-BE32-E72D297353CC}">
                <c16:uniqueId val="{00000000-B56C-49BE-8FD6-EDA2889219A3}"/>
              </c:ext>
            </c:extLst>
          </c:dPt>
          <c:dPt>
            <c:idx val="2"/>
            <c:invertIfNegative val="0"/>
            <c:bubble3D val="0"/>
            <c:spPr>
              <a:solidFill>
                <a:srgbClr val="FF66FF"/>
              </a:solidFill>
              <a:ln>
                <a:noFill/>
              </a:ln>
              <a:effectLst/>
            </c:spPr>
            <c:extLst>
              <c:ext xmlns:c16="http://schemas.microsoft.com/office/drawing/2014/chart" uri="{C3380CC4-5D6E-409C-BE32-E72D297353CC}">
                <c16:uniqueId val="{0000000B-B56C-49BE-8FD6-EDA2889219A3}"/>
              </c:ext>
            </c:extLst>
          </c:dPt>
          <c:dPt>
            <c:idx val="4"/>
            <c:invertIfNegative val="0"/>
            <c:bubble3D val="0"/>
            <c:spPr>
              <a:solidFill>
                <a:schemeClr val="accent2">
                  <a:lumMod val="75000"/>
                </a:schemeClr>
              </a:solidFill>
              <a:ln>
                <a:noFill/>
              </a:ln>
              <a:effectLst/>
            </c:spPr>
            <c:extLst>
              <c:ext xmlns:c16="http://schemas.microsoft.com/office/drawing/2014/chart" uri="{C3380CC4-5D6E-409C-BE32-E72D297353CC}">
                <c16:uniqueId val="{00000006-B56C-49BE-8FD6-EDA2889219A3}"/>
              </c:ext>
            </c:extLst>
          </c:dPt>
          <c:dPt>
            <c:idx val="6"/>
            <c:invertIfNegative val="0"/>
            <c:bubble3D val="0"/>
            <c:spPr>
              <a:solidFill>
                <a:srgbClr val="FF66FF"/>
              </a:solidFill>
              <a:ln>
                <a:noFill/>
              </a:ln>
              <a:effectLst/>
            </c:spPr>
            <c:extLst>
              <c:ext xmlns:c16="http://schemas.microsoft.com/office/drawing/2014/chart" uri="{C3380CC4-5D6E-409C-BE32-E72D297353CC}">
                <c16:uniqueId val="{0000000C-B56C-49BE-8FD6-EDA2889219A3}"/>
              </c:ext>
            </c:extLst>
          </c:dPt>
          <c:dPt>
            <c:idx val="8"/>
            <c:invertIfNegative val="0"/>
            <c:bubble3D val="0"/>
            <c:spPr>
              <a:solidFill>
                <a:schemeClr val="accent2">
                  <a:lumMod val="75000"/>
                </a:schemeClr>
              </a:solidFill>
              <a:ln>
                <a:noFill/>
              </a:ln>
              <a:effectLst/>
            </c:spPr>
            <c:extLst>
              <c:ext xmlns:c16="http://schemas.microsoft.com/office/drawing/2014/chart" uri="{C3380CC4-5D6E-409C-BE32-E72D297353CC}">
                <c16:uniqueId val="{00000005-B56C-49BE-8FD6-EDA2889219A3}"/>
              </c:ext>
            </c:extLst>
          </c:dPt>
          <c:dPt>
            <c:idx val="10"/>
            <c:invertIfNegative val="0"/>
            <c:bubble3D val="0"/>
            <c:spPr>
              <a:solidFill>
                <a:srgbClr val="FF66FF"/>
              </a:solidFill>
              <a:ln>
                <a:noFill/>
              </a:ln>
              <a:effectLst/>
            </c:spPr>
            <c:extLst>
              <c:ext xmlns:c16="http://schemas.microsoft.com/office/drawing/2014/chart" uri="{C3380CC4-5D6E-409C-BE32-E72D297353CC}">
                <c16:uniqueId val="{00000010-B56C-49BE-8FD6-EDA2889219A3}"/>
              </c:ext>
            </c:extLst>
          </c:dPt>
          <c:dPt>
            <c:idx val="12"/>
            <c:invertIfNegative val="0"/>
            <c:bubble3D val="0"/>
            <c:spPr>
              <a:solidFill>
                <a:schemeClr val="accent2">
                  <a:lumMod val="75000"/>
                </a:schemeClr>
              </a:solidFill>
              <a:ln>
                <a:noFill/>
              </a:ln>
              <a:effectLst/>
            </c:spPr>
            <c:extLst>
              <c:ext xmlns:c16="http://schemas.microsoft.com/office/drawing/2014/chart" uri="{C3380CC4-5D6E-409C-BE32-E72D297353CC}">
                <c16:uniqueId val="{00000004-B56C-49BE-8FD6-EDA2889219A3}"/>
              </c:ext>
            </c:extLst>
          </c:dPt>
          <c:dPt>
            <c:idx val="14"/>
            <c:invertIfNegative val="0"/>
            <c:bubble3D val="0"/>
            <c:spPr>
              <a:solidFill>
                <a:srgbClr val="FF66FF"/>
              </a:solidFill>
              <a:ln>
                <a:noFill/>
              </a:ln>
              <a:effectLst/>
            </c:spPr>
            <c:extLst>
              <c:ext xmlns:c16="http://schemas.microsoft.com/office/drawing/2014/chart" uri="{C3380CC4-5D6E-409C-BE32-E72D297353CC}">
                <c16:uniqueId val="{0000000F-B56C-49BE-8FD6-EDA2889219A3}"/>
              </c:ext>
            </c:extLst>
          </c:dPt>
          <c:dPt>
            <c:idx val="16"/>
            <c:invertIfNegative val="0"/>
            <c:bubble3D val="0"/>
            <c:spPr>
              <a:solidFill>
                <a:schemeClr val="accent2">
                  <a:lumMod val="75000"/>
                  <a:alpha val="50000"/>
                </a:schemeClr>
              </a:solidFill>
              <a:ln>
                <a:noFill/>
              </a:ln>
              <a:effectLst/>
            </c:spPr>
            <c:extLst>
              <c:ext xmlns:c16="http://schemas.microsoft.com/office/drawing/2014/chart" uri="{C3380CC4-5D6E-409C-BE32-E72D297353CC}">
                <c16:uniqueId val="{00000029-5A7F-4B0F-BB38-3C3AEBC72E7C}"/>
              </c:ext>
            </c:extLst>
          </c:dPt>
          <c:dPt>
            <c:idx val="17"/>
            <c:invertIfNegative val="0"/>
            <c:bubble3D val="0"/>
            <c:spPr>
              <a:solidFill>
                <a:schemeClr val="accent1">
                  <a:alpha val="50000"/>
                </a:schemeClr>
              </a:solidFill>
              <a:ln>
                <a:noFill/>
              </a:ln>
              <a:effectLst/>
            </c:spPr>
            <c:extLst>
              <c:ext xmlns:c16="http://schemas.microsoft.com/office/drawing/2014/chart" uri="{C3380CC4-5D6E-409C-BE32-E72D297353CC}">
                <c16:uniqueId val="{0000002B-5A7F-4B0F-BB38-3C3AEBC72E7C}"/>
              </c:ext>
            </c:extLst>
          </c:dPt>
          <c:dPt>
            <c:idx val="18"/>
            <c:invertIfNegative val="0"/>
            <c:bubble3D val="0"/>
            <c:spPr>
              <a:solidFill>
                <a:srgbClr val="FF66FF">
                  <a:alpha val="50000"/>
                </a:srgbClr>
              </a:solidFill>
              <a:ln>
                <a:noFill/>
              </a:ln>
              <a:effectLst/>
            </c:spPr>
            <c:extLst>
              <c:ext xmlns:c16="http://schemas.microsoft.com/office/drawing/2014/chart" uri="{C3380CC4-5D6E-409C-BE32-E72D297353CC}">
                <c16:uniqueId val="{0000002D-5A7F-4B0F-BB38-3C3AEBC72E7C}"/>
              </c:ext>
            </c:extLst>
          </c:dPt>
          <c:val>
            <c:numRef>
              <c:f>('S2.10 overall results'!$D$27:$G$27,'S2.10 overall results'!$D$30:$G$30,'S2.10 overall results'!$D$33:$G$33,'S2.10 overall results'!$D$36:$G$36,'S2.10 overall results'!$D$39:$G$39)</c:f>
              <c:numCache>
                <c:formatCode>0.00</c:formatCode>
                <c:ptCount val="20"/>
                <c:pt idx="0" formatCode="_(* #,##0.00_);_(* \(#,##0.00\);_(* &quot;-&quot;??_);_(@_)">
                  <c:v>0.66989112291708564</c:v>
                </c:pt>
                <c:pt idx="1">
                  <c:v>0.4605990964127607</c:v>
                </c:pt>
                <c:pt idx="2" formatCode="_(* #,##0.00_);_(* \(#,##0.00\);_(* &quot;-&quot;??_);_(@_)">
                  <c:v>1.4465764393509928</c:v>
                </c:pt>
                <c:pt idx="4">
                  <c:v>0.44688819578011485</c:v>
                </c:pt>
                <c:pt idx="5">
                  <c:v>1.40086907877827</c:v>
                </c:pt>
                <c:pt idx="6">
                  <c:v>1.803292413289868</c:v>
                </c:pt>
                <c:pt idx="8" formatCode="_(* #,##0.00_);_(* \(#,##0.00\);_(* &quot;-&quot;??_);_(@_)">
                  <c:v>0.54530556088992688</c:v>
                </c:pt>
                <c:pt idx="9">
                  <c:v>-2.4818128203121779</c:v>
                </c:pt>
                <c:pt idx="10" formatCode="_(* #,##0.00_);_(* \(#,##0.00\);_(* &quot;-&quot;??_);_(@_)">
                  <c:v>-2.1105954784533498</c:v>
                </c:pt>
                <c:pt idx="12">
                  <c:v>0.2122158920580316</c:v>
                </c:pt>
                <c:pt idx="13">
                  <c:v>-4.3409011096638084</c:v>
                </c:pt>
                <c:pt idx="14">
                  <c:v>-4.2883519896918099</c:v>
                </c:pt>
                <c:pt idx="16">
                  <c:v>3.1901299999999999</c:v>
                </c:pt>
                <c:pt idx="17">
                  <c:v>-2.3736899999999999</c:v>
                </c:pt>
                <c:pt idx="18">
                  <c:v>3.0537239999999999</c:v>
                </c:pt>
              </c:numCache>
            </c:numRef>
          </c:val>
          <c:extLst>
            <c:ext xmlns:c16="http://schemas.microsoft.com/office/drawing/2014/chart" uri="{C3380CC4-5D6E-409C-BE32-E72D297353CC}">
              <c16:uniqueId val="{00000000-99E5-4358-8971-C9942F648FB7}"/>
            </c:ext>
          </c:extLst>
        </c:ser>
        <c:ser>
          <c:idx val="2"/>
          <c:order val="1"/>
          <c:tx>
            <c:strRef>
              <c:f>'S2.10 overall results'!$C$29</c:f>
              <c:strCache>
                <c:ptCount val="1"/>
                <c:pt idx="0">
                  <c:v>min</c:v>
                </c:pt>
              </c:strCache>
            </c:strRef>
          </c:tx>
          <c:spPr>
            <a:solidFill>
              <a:schemeClr val="accent3"/>
            </a:solidFill>
            <a:ln>
              <a:noFill/>
            </a:ln>
            <a:effectLst/>
          </c:spPr>
          <c:invertIfNegative val="0"/>
          <c:dPt>
            <c:idx val="0"/>
            <c:invertIfNegative val="0"/>
            <c:bubble3D val="0"/>
            <c:spPr>
              <a:solidFill>
                <a:schemeClr val="bg1"/>
              </a:solidFill>
              <a:ln>
                <a:noFill/>
              </a:ln>
              <a:effectLst/>
            </c:spPr>
            <c:extLst>
              <c:ext xmlns:c16="http://schemas.microsoft.com/office/drawing/2014/chart" uri="{C3380CC4-5D6E-409C-BE32-E72D297353CC}">
                <c16:uniqueId val="{00000001-B56C-49BE-8FD6-EDA2889219A3}"/>
              </c:ext>
            </c:extLst>
          </c:dPt>
          <c:dPt>
            <c:idx val="1"/>
            <c:invertIfNegative val="0"/>
            <c:bubble3D val="0"/>
            <c:spPr>
              <a:solidFill>
                <a:schemeClr val="accent1"/>
              </a:solidFill>
              <a:ln>
                <a:noFill/>
              </a:ln>
              <a:effectLst/>
            </c:spPr>
            <c:extLst>
              <c:ext xmlns:c16="http://schemas.microsoft.com/office/drawing/2014/chart" uri="{C3380CC4-5D6E-409C-BE32-E72D297353CC}">
                <c16:uniqueId val="{00000007-B56C-49BE-8FD6-EDA2889219A3}"/>
              </c:ext>
            </c:extLst>
          </c:dPt>
          <c:dPt>
            <c:idx val="2"/>
            <c:invertIfNegative val="0"/>
            <c:bubble3D val="0"/>
            <c:spPr>
              <a:solidFill>
                <a:srgbClr val="FF66FF"/>
              </a:solidFill>
              <a:ln>
                <a:noFill/>
              </a:ln>
              <a:effectLst/>
            </c:spPr>
            <c:extLst>
              <c:ext xmlns:c16="http://schemas.microsoft.com/office/drawing/2014/chart" uri="{C3380CC4-5D6E-409C-BE32-E72D297353CC}">
                <c16:uniqueId val="{0000000D-B56C-49BE-8FD6-EDA2889219A3}"/>
              </c:ext>
            </c:extLst>
          </c:dPt>
          <c:dPt>
            <c:idx val="4"/>
            <c:invertIfNegative val="0"/>
            <c:bubble3D val="0"/>
            <c:spPr>
              <a:solidFill>
                <a:schemeClr val="bg1"/>
              </a:solidFill>
              <a:ln>
                <a:noFill/>
              </a:ln>
              <a:effectLst/>
            </c:spPr>
            <c:extLst>
              <c:ext xmlns:c16="http://schemas.microsoft.com/office/drawing/2014/chart" uri="{C3380CC4-5D6E-409C-BE32-E72D297353CC}">
                <c16:uniqueId val="{00000002-B56C-49BE-8FD6-EDA2889219A3}"/>
              </c:ext>
            </c:extLst>
          </c:dPt>
          <c:dPt>
            <c:idx val="5"/>
            <c:invertIfNegative val="0"/>
            <c:bubble3D val="0"/>
            <c:spPr>
              <a:solidFill>
                <a:schemeClr val="accent1"/>
              </a:solidFill>
              <a:ln>
                <a:noFill/>
              </a:ln>
              <a:effectLst/>
            </c:spPr>
            <c:extLst>
              <c:ext xmlns:c16="http://schemas.microsoft.com/office/drawing/2014/chart" uri="{C3380CC4-5D6E-409C-BE32-E72D297353CC}">
                <c16:uniqueId val="{00000008-B56C-49BE-8FD6-EDA2889219A3}"/>
              </c:ext>
            </c:extLst>
          </c:dPt>
          <c:dPt>
            <c:idx val="6"/>
            <c:invertIfNegative val="0"/>
            <c:bubble3D val="0"/>
            <c:spPr>
              <a:solidFill>
                <a:srgbClr val="FF66FF"/>
              </a:solidFill>
              <a:ln>
                <a:noFill/>
              </a:ln>
              <a:effectLst/>
            </c:spPr>
            <c:extLst>
              <c:ext xmlns:c16="http://schemas.microsoft.com/office/drawing/2014/chart" uri="{C3380CC4-5D6E-409C-BE32-E72D297353CC}">
                <c16:uniqueId val="{0000000E-B56C-49BE-8FD6-EDA2889219A3}"/>
              </c:ext>
            </c:extLst>
          </c:dPt>
          <c:dPt>
            <c:idx val="8"/>
            <c:invertIfNegative val="0"/>
            <c:bubble3D val="0"/>
            <c:spPr>
              <a:solidFill>
                <a:schemeClr val="bg1"/>
              </a:solidFill>
              <a:ln>
                <a:noFill/>
              </a:ln>
              <a:effectLst/>
            </c:spPr>
            <c:extLst>
              <c:ext xmlns:c16="http://schemas.microsoft.com/office/drawing/2014/chart" uri="{C3380CC4-5D6E-409C-BE32-E72D297353CC}">
                <c16:uniqueId val="{00000003-B56C-49BE-8FD6-EDA2889219A3}"/>
              </c:ext>
            </c:extLst>
          </c:dPt>
          <c:dPt>
            <c:idx val="9"/>
            <c:invertIfNegative val="0"/>
            <c:bubble3D val="0"/>
            <c:spPr>
              <a:solidFill>
                <a:schemeClr val="bg1"/>
              </a:solidFill>
              <a:ln>
                <a:noFill/>
              </a:ln>
              <a:effectLst/>
            </c:spPr>
            <c:extLst>
              <c:ext xmlns:c16="http://schemas.microsoft.com/office/drawing/2014/chart" uri="{C3380CC4-5D6E-409C-BE32-E72D297353CC}">
                <c16:uniqueId val="{00000009-B56C-49BE-8FD6-EDA2889219A3}"/>
              </c:ext>
            </c:extLst>
          </c:dPt>
          <c:dPt>
            <c:idx val="10"/>
            <c:invertIfNegative val="0"/>
            <c:bubble3D val="0"/>
            <c:spPr>
              <a:solidFill>
                <a:schemeClr val="bg1"/>
              </a:solidFill>
              <a:ln>
                <a:noFill/>
              </a:ln>
              <a:effectLst/>
            </c:spPr>
            <c:extLst>
              <c:ext xmlns:c16="http://schemas.microsoft.com/office/drawing/2014/chart" uri="{C3380CC4-5D6E-409C-BE32-E72D297353CC}">
                <c16:uniqueId val="{00000011-B56C-49BE-8FD6-EDA2889219A3}"/>
              </c:ext>
            </c:extLst>
          </c:dPt>
          <c:dPt>
            <c:idx val="13"/>
            <c:invertIfNegative val="0"/>
            <c:bubble3D val="0"/>
            <c:spPr>
              <a:solidFill>
                <a:schemeClr val="bg1"/>
              </a:solidFill>
              <a:ln>
                <a:noFill/>
              </a:ln>
              <a:effectLst/>
            </c:spPr>
            <c:extLst>
              <c:ext xmlns:c16="http://schemas.microsoft.com/office/drawing/2014/chart" uri="{C3380CC4-5D6E-409C-BE32-E72D297353CC}">
                <c16:uniqueId val="{0000000A-B56C-49BE-8FD6-EDA2889219A3}"/>
              </c:ext>
            </c:extLst>
          </c:dPt>
          <c:dPt>
            <c:idx val="14"/>
            <c:invertIfNegative val="0"/>
            <c:bubble3D val="0"/>
            <c:spPr>
              <a:solidFill>
                <a:schemeClr val="bg1"/>
              </a:solidFill>
              <a:ln>
                <a:noFill/>
              </a:ln>
              <a:effectLst/>
            </c:spPr>
            <c:extLst>
              <c:ext xmlns:c16="http://schemas.microsoft.com/office/drawing/2014/chart" uri="{C3380CC4-5D6E-409C-BE32-E72D297353CC}">
                <c16:uniqueId val="{00000012-B56C-49BE-8FD6-EDA2889219A3}"/>
              </c:ext>
            </c:extLst>
          </c:dPt>
          <c:dPt>
            <c:idx val="16"/>
            <c:invertIfNegative val="0"/>
            <c:bubble3D val="0"/>
            <c:spPr>
              <a:solidFill>
                <a:schemeClr val="bg1"/>
              </a:solidFill>
              <a:ln>
                <a:noFill/>
              </a:ln>
              <a:effectLst/>
            </c:spPr>
            <c:extLst>
              <c:ext xmlns:c16="http://schemas.microsoft.com/office/drawing/2014/chart" uri="{C3380CC4-5D6E-409C-BE32-E72D297353CC}">
                <c16:uniqueId val="{00000026-5A7F-4B0F-BB38-3C3AEBC72E7C}"/>
              </c:ext>
            </c:extLst>
          </c:dPt>
          <c:dPt>
            <c:idx val="17"/>
            <c:invertIfNegative val="0"/>
            <c:bubble3D val="0"/>
            <c:spPr>
              <a:solidFill>
                <a:schemeClr val="bg1"/>
              </a:solidFill>
              <a:ln>
                <a:noFill/>
              </a:ln>
              <a:effectLst/>
            </c:spPr>
            <c:extLst>
              <c:ext xmlns:c16="http://schemas.microsoft.com/office/drawing/2014/chart" uri="{C3380CC4-5D6E-409C-BE32-E72D297353CC}">
                <c16:uniqueId val="{00000028-5A7F-4B0F-BB38-3C3AEBC72E7C}"/>
              </c:ext>
            </c:extLst>
          </c:dPt>
          <c:dPt>
            <c:idx val="18"/>
            <c:invertIfNegative val="0"/>
            <c:bubble3D val="0"/>
            <c:spPr>
              <a:solidFill>
                <a:schemeClr val="bg1"/>
              </a:solidFill>
              <a:ln>
                <a:noFill/>
              </a:ln>
              <a:effectLst/>
            </c:spPr>
            <c:extLst>
              <c:ext xmlns:c16="http://schemas.microsoft.com/office/drawing/2014/chart" uri="{C3380CC4-5D6E-409C-BE32-E72D297353CC}">
                <c16:uniqueId val="{00000027-5A7F-4B0F-BB38-3C3AEBC72E7C}"/>
              </c:ext>
            </c:extLst>
          </c:dPt>
          <c:val>
            <c:numRef>
              <c:f>('S2.10 overall results'!$D$29:$G$29,'S2.10 overall results'!$D$32:$G$32,'S2.10 overall results'!$D$35:$G$35,'S2.10 overall results'!$D$38:$G$38,'S2.10 overall results'!$D$41:$G$41)</c:f>
              <c:numCache>
                <c:formatCode>0.00</c:formatCode>
                <c:ptCount val="20"/>
                <c:pt idx="0" formatCode="_(* #,##0.00_);_(* \(#,##0.00\);_(* &quot;-&quot;??_);_(@_)">
                  <c:v>0.2724064253238439</c:v>
                </c:pt>
                <c:pt idx="1">
                  <c:v>-0.13341057104667151</c:v>
                </c:pt>
                <c:pt idx="2" formatCode="_(* #,##0.00_);_(* \(#,##0.00\);_(* &quot;-&quot;??_);_(@_)">
                  <c:v>0.2605148733403253</c:v>
                </c:pt>
                <c:pt idx="4">
                  <c:v>0.17959392451360323</c:v>
                </c:pt>
                <c:pt idx="5">
                  <c:v>-0.31313881775760588</c:v>
                </c:pt>
                <c:pt idx="6">
                  <c:v>-8.9080031975485752E-2</c:v>
                </c:pt>
                <c:pt idx="8" formatCode="_(* #,##0.00_);_(* \(#,##0.00\);_(* &quot;-&quot;??_);_(@_)">
                  <c:v>0.18061851961143299</c:v>
                </c:pt>
                <c:pt idx="9">
                  <c:v>-1.1859184339901294</c:v>
                </c:pt>
                <c:pt idx="10" formatCode="_(* #,##0.00_);_(* \(#,##0.00\);_(* &quot;-&quot;??_);_(@_)">
                  <c:v>-0.8979862188121468</c:v>
                </c:pt>
                <c:pt idx="12">
                  <c:v>5.2549119971998404E-2</c:v>
                </c:pt>
                <c:pt idx="13">
                  <c:v>-0.91018115627347007</c:v>
                </c:pt>
                <c:pt idx="14">
                  <c:v>-0.69796526421543847</c:v>
                </c:pt>
                <c:pt idx="16">
                  <c:v>1.83199</c:v>
                </c:pt>
                <c:pt idx="17">
                  <c:v>-7.9355599999999998E-2</c:v>
                </c:pt>
                <c:pt idx="18">
                  <c:v>0.33740000000000014</c:v>
                </c:pt>
              </c:numCache>
            </c:numRef>
          </c:val>
          <c:extLst>
            <c:ext xmlns:c16="http://schemas.microsoft.com/office/drawing/2014/chart" uri="{C3380CC4-5D6E-409C-BE32-E72D297353CC}">
              <c16:uniqueId val="{00000002-99E5-4358-8971-C9942F648FB7}"/>
            </c:ext>
          </c:extLst>
        </c:ser>
        <c:ser>
          <c:idx val="1"/>
          <c:order val="2"/>
          <c:tx>
            <c:strRef>
              <c:f>'S2.10 overall results'!$C$28</c:f>
              <c:strCache>
                <c:ptCount val="1"/>
                <c:pt idx="0">
                  <c:v>intermediate</c:v>
                </c:pt>
              </c:strCache>
            </c:strRef>
          </c:tx>
          <c:spPr>
            <a:noFill/>
            <a:ln>
              <a:solidFill>
                <a:schemeClr val="tx1"/>
              </a:solidFill>
            </a:ln>
            <a:effectLst/>
          </c:spPr>
          <c:invertIfNegative val="0"/>
          <c:dPt>
            <c:idx val="16"/>
            <c:invertIfNegative val="0"/>
            <c:bubble3D val="0"/>
            <c:spPr>
              <a:noFill/>
              <a:ln>
                <a:solidFill>
                  <a:srgbClr val="7D7D7D"/>
                </a:solidFill>
              </a:ln>
              <a:effectLst/>
            </c:spPr>
            <c:extLst>
              <c:ext xmlns:c16="http://schemas.microsoft.com/office/drawing/2014/chart" uri="{C3380CC4-5D6E-409C-BE32-E72D297353CC}">
                <c16:uniqueId val="{0000002A-5A7F-4B0F-BB38-3C3AEBC72E7C}"/>
              </c:ext>
            </c:extLst>
          </c:dPt>
          <c:dPt>
            <c:idx val="17"/>
            <c:invertIfNegative val="0"/>
            <c:bubble3D val="0"/>
            <c:spPr>
              <a:noFill/>
              <a:ln>
                <a:solidFill>
                  <a:srgbClr val="7D7D7D"/>
                </a:solidFill>
              </a:ln>
              <a:effectLst/>
            </c:spPr>
            <c:extLst>
              <c:ext xmlns:c16="http://schemas.microsoft.com/office/drawing/2014/chart" uri="{C3380CC4-5D6E-409C-BE32-E72D297353CC}">
                <c16:uniqueId val="{0000002C-5A7F-4B0F-BB38-3C3AEBC72E7C}"/>
              </c:ext>
            </c:extLst>
          </c:dPt>
          <c:dPt>
            <c:idx val="18"/>
            <c:invertIfNegative val="0"/>
            <c:bubble3D val="0"/>
            <c:spPr>
              <a:noFill/>
              <a:ln>
                <a:solidFill>
                  <a:srgbClr val="7D7D7D"/>
                </a:solidFill>
              </a:ln>
              <a:effectLst/>
            </c:spPr>
            <c:extLst>
              <c:ext xmlns:c16="http://schemas.microsoft.com/office/drawing/2014/chart" uri="{C3380CC4-5D6E-409C-BE32-E72D297353CC}">
                <c16:uniqueId val="{0000002E-5A7F-4B0F-BB38-3C3AEBC72E7C}"/>
              </c:ext>
            </c:extLst>
          </c:dPt>
          <c:val>
            <c:numRef>
              <c:f>('S2.10 overall results'!$D$28:$G$28,'S2.10 overall results'!$D$31:$G$31,'S2.10 overall results'!$D$34:$G$34,'S2.10 overall results'!$D$37:$G$37,'S2.10 overall results'!$D$40:$G$40)</c:f>
              <c:numCache>
                <c:formatCode>0.00</c:formatCode>
                <c:ptCount val="20"/>
                <c:pt idx="0" formatCode="_(* #,##0.00_);_(* \(#,##0.00\);_(* &quot;-&quot;??_);_(@_)">
                  <c:v>0.60944229047202914</c:v>
                </c:pt>
                <c:pt idx="1">
                  <c:v>0.3907681876150742</c:v>
                </c:pt>
                <c:pt idx="2" formatCode="_(* #,##0.00_);_(* \(#,##0.00\);_(* &quot;-&quot;??_);_(@_)">
                  <c:v>1.0002104780871033</c:v>
                </c:pt>
                <c:pt idx="4" formatCode="_(* #,##0.00_);_(* \(#,##0.00\);_(* &quot;-&quot;??_);_(@_)">
                  <c:v>0.2991477703450538</c:v>
                </c:pt>
                <c:pt idx="5">
                  <c:v>0.20494053280487357</c:v>
                </c:pt>
                <c:pt idx="6" formatCode="_(* #,##0.00_);_(* \(#,##0.00\);_(* &quot;-&quot;??_);_(@_)">
                  <c:v>0.50408830314992736</c:v>
                </c:pt>
                <c:pt idx="8" formatCode="_(* #,##0.00_);_(* \(#,##0.00\);_(* &quot;-&quot;??_);_(@_)">
                  <c:v>0.34275687488370776</c:v>
                </c:pt>
                <c:pt idx="9">
                  <c:v>-1.6875844697730953</c:v>
                </c:pt>
                <c:pt idx="10" formatCode="_(* #,##0.00_);_(* \(#,##0.00\);_(* &quot;-&quot;??_);_(@_)">
                  <c:v>-1.3448275948893875</c:v>
                </c:pt>
                <c:pt idx="12">
                  <c:v>0.13821581544576494</c:v>
                </c:pt>
                <c:pt idx="13">
                  <c:v>-1.6950032680481524</c:v>
                </c:pt>
                <c:pt idx="14">
                  <c:v>-1.5567874526023875</c:v>
                </c:pt>
                <c:pt idx="16">
                  <c:v>2.5110600000000001</c:v>
                </c:pt>
                <c:pt idx="17">
                  <c:v>-1.2265227999999999</c:v>
                </c:pt>
                <c:pt idx="18">
                  <c:v>1.7661337090909095</c:v>
                </c:pt>
              </c:numCache>
            </c:numRef>
          </c:val>
          <c:extLst>
            <c:ext xmlns:c16="http://schemas.microsoft.com/office/drawing/2014/chart" uri="{C3380CC4-5D6E-409C-BE32-E72D297353CC}">
              <c16:uniqueId val="{00000001-99E5-4358-8971-C9942F648FB7}"/>
            </c:ext>
          </c:extLst>
        </c:ser>
        <c:dLbls>
          <c:showLegendKey val="0"/>
          <c:showVal val="0"/>
          <c:showCatName val="0"/>
          <c:showSerName val="0"/>
          <c:showPercent val="0"/>
          <c:showBubbleSize val="0"/>
        </c:dLbls>
        <c:gapWidth val="40"/>
        <c:overlap val="100"/>
        <c:axId val="136679919"/>
        <c:axId val="2127264479"/>
      </c:barChart>
      <c:catAx>
        <c:axId val="136679919"/>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CH"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CH"/>
          </a:p>
        </c:txPr>
        <c:crossAx val="2127264479"/>
        <c:crosses val="autoZero"/>
        <c:auto val="1"/>
        <c:lblAlgn val="ctr"/>
        <c:lblOffset val="100"/>
        <c:noMultiLvlLbl val="0"/>
      </c:catAx>
      <c:valAx>
        <c:axId val="2127264479"/>
        <c:scaling>
          <c:orientation val="minMax"/>
          <c:max val="5"/>
          <c:min val="-7"/>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en-CH"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de-CH"/>
                  <a:t>kg CO2-eq / kg plastic input</a:t>
                </a:r>
                <a:endParaRPr lang="en-CH"/>
              </a:p>
            </c:rich>
          </c:tx>
          <c:overlay val="0"/>
          <c:spPr>
            <a:noFill/>
            <a:ln>
              <a:noFill/>
            </a:ln>
            <a:effectLst/>
          </c:spPr>
          <c:txPr>
            <a:bodyPr rot="-5400000" spcFirstLastPara="1" vertOverflow="ellipsis" vert="horz" wrap="square" anchor="ctr" anchorCtr="1"/>
            <a:lstStyle/>
            <a:p>
              <a:pPr>
                <a:defRPr lang="en-CH"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CH"/>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lang="en-CH"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CH"/>
          </a:p>
        </c:txPr>
        <c:crossAx val="136679919"/>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lang="en-CH"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CH"/>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52977999006360244"/>
          <c:y val="0.14663056693999005"/>
          <c:w val="0.44632626261797814"/>
          <c:h val="0.53934534956640223"/>
        </c:manualLayout>
      </c:layout>
      <c:barChart>
        <c:barDir val="bar"/>
        <c:grouping val="stacked"/>
        <c:varyColors val="0"/>
        <c:ser>
          <c:idx val="1"/>
          <c:order val="0"/>
          <c:tx>
            <c:strRef>
              <c:f>'S3.3.1 system impacts'!$B$48</c:f>
              <c:strCache>
                <c:ptCount val="1"/>
                <c:pt idx="0">
                  <c:v>primary and secondary (mechanical recycling) production</c:v>
                </c:pt>
              </c:strCache>
            </c:strRef>
          </c:tx>
          <c:spPr>
            <a:solidFill>
              <a:schemeClr val="accent2"/>
            </a:solidFill>
            <a:ln>
              <a:noFill/>
            </a:ln>
            <a:effectLst/>
          </c:spPr>
          <c:invertIfNegative val="0"/>
          <c:cat>
            <c:strRef>
              <c:f>'S3.3.1 system impacts'!$C$45:$L$45</c:f>
              <c:strCache>
                <c:ptCount val="10"/>
                <c:pt idx="0">
                  <c:v>no mech rec + WTE</c:v>
                </c:pt>
                <c:pt idx="2">
                  <c:v>max mech rec + WTE</c:v>
                </c:pt>
                <c:pt idx="3">
                  <c:v>max mech rec + max cem + WTE</c:v>
                </c:pt>
                <c:pt idx="4">
                  <c:v>max mech rec + WTE with CC</c:v>
                </c:pt>
                <c:pt idx="6">
                  <c:v>max mech rec + gasif + WTE</c:v>
                </c:pt>
                <c:pt idx="7">
                  <c:v>max mech rec + pyro + WTE</c:v>
                </c:pt>
                <c:pt idx="8">
                  <c:v>max mech rec + max depoly + dissol/pyro/gasif + WTE</c:v>
                </c:pt>
                <c:pt idx="9">
                  <c:v>max mech rec + max dissol + depoly/pyro/gasif + WTE</c:v>
                </c:pt>
              </c:strCache>
            </c:strRef>
          </c:cat>
          <c:val>
            <c:numRef>
              <c:f>'S3.3.1 system impacts'!$C$48:$L$48</c:f>
              <c:numCache>
                <c:formatCode>General</c:formatCode>
                <c:ptCount val="10"/>
                <c:pt idx="0" formatCode="0.0">
                  <c:v>3.523822951694989</c:v>
                </c:pt>
                <c:pt idx="2" formatCode="0.0">
                  <c:v>2.8856481090298605</c:v>
                </c:pt>
                <c:pt idx="3" formatCode="0.0">
                  <c:v>2.8856481090298605</c:v>
                </c:pt>
                <c:pt idx="4" formatCode="0.0">
                  <c:v>2.8856481090298605</c:v>
                </c:pt>
                <c:pt idx="6" formatCode="0.0">
                  <c:v>2.8856481090298605</c:v>
                </c:pt>
                <c:pt idx="7" formatCode="0.0">
                  <c:v>2.8856481090298605</c:v>
                </c:pt>
                <c:pt idx="8" formatCode="0.0">
                  <c:v>2.8856481090298605</c:v>
                </c:pt>
                <c:pt idx="9" formatCode="0.0">
                  <c:v>2.8856481090298605</c:v>
                </c:pt>
              </c:numCache>
            </c:numRef>
          </c:val>
          <c:extLst>
            <c:ext xmlns:c16="http://schemas.microsoft.com/office/drawing/2014/chart" uri="{C3380CC4-5D6E-409C-BE32-E72D297353CC}">
              <c16:uniqueId val="{00000001-D958-4FE3-941F-9F080FCEDCA9}"/>
            </c:ext>
          </c:extLst>
        </c:ser>
        <c:ser>
          <c:idx val="0"/>
          <c:order val="1"/>
          <c:tx>
            <c:strRef>
              <c:f>'S3.3.1 system impacts'!$B$46</c:f>
              <c:strCache>
                <c:ptCount val="1"/>
                <c:pt idx="0">
                  <c:v>(direct) incineration</c:v>
                </c:pt>
              </c:strCache>
            </c:strRef>
          </c:tx>
          <c:spPr>
            <a:solidFill>
              <a:schemeClr val="bg1">
                <a:lumMod val="75000"/>
              </a:schemeClr>
            </a:solidFill>
            <a:ln>
              <a:noFill/>
            </a:ln>
            <a:effectLst/>
          </c:spPr>
          <c:invertIfNegative val="0"/>
          <c:cat>
            <c:strRef>
              <c:f>'S3.3.1 system impacts'!$C$45:$L$45</c:f>
              <c:strCache>
                <c:ptCount val="10"/>
                <c:pt idx="0">
                  <c:v>no mech rec + WTE</c:v>
                </c:pt>
                <c:pt idx="2">
                  <c:v>max mech rec + WTE</c:v>
                </c:pt>
                <c:pt idx="3">
                  <c:v>max mech rec + max cem + WTE</c:v>
                </c:pt>
                <c:pt idx="4">
                  <c:v>max mech rec + WTE with CC</c:v>
                </c:pt>
                <c:pt idx="6">
                  <c:v>max mech rec + gasif + WTE</c:v>
                </c:pt>
                <c:pt idx="7">
                  <c:v>max mech rec + pyro + WTE</c:v>
                </c:pt>
                <c:pt idx="8">
                  <c:v>max mech rec + max depoly + dissol/pyro/gasif + WTE</c:v>
                </c:pt>
                <c:pt idx="9">
                  <c:v>max mech rec + max dissol + depoly/pyro/gasif + WTE</c:v>
                </c:pt>
              </c:strCache>
            </c:strRef>
          </c:cat>
          <c:val>
            <c:numRef>
              <c:f>'S3.3.1 system impacts'!$C$46:$L$46</c:f>
              <c:numCache>
                <c:formatCode>General</c:formatCode>
                <c:ptCount val="10"/>
                <c:pt idx="0" formatCode="0.0">
                  <c:v>1.5058085130726611</c:v>
                </c:pt>
                <c:pt idx="2" formatCode="0.0">
                  <c:v>1.0127603614370415</c:v>
                </c:pt>
                <c:pt idx="3" formatCode="0.0">
                  <c:v>0.78568383324976654</c:v>
                </c:pt>
                <c:pt idx="4" formatCode="0.00">
                  <c:v>-0.25845015489469103</c:v>
                </c:pt>
                <c:pt idx="6" formatCode="0.0">
                  <c:v>0.11505638599544019</c:v>
                </c:pt>
                <c:pt idx="7" formatCode="0.0">
                  <c:v>0.11505638599544019</c:v>
                </c:pt>
                <c:pt idx="8" formatCode="0.0">
                  <c:v>0.11505638599544019</c:v>
                </c:pt>
                <c:pt idx="9" formatCode="0.0">
                  <c:v>0.11505638599544019</c:v>
                </c:pt>
              </c:numCache>
            </c:numRef>
          </c:val>
          <c:extLst>
            <c:ext xmlns:c16="http://schemas.microsoft.com/office/drawing/2014/chart" uri="{C3380CC4-5D6E-409C-BE32-E72D297353CC}">
              <c16:uniqueId val="{00000002-D958-4FE3-941F-9F080FCEDCA9}"/>
            </c:ext>
          </c:extLst>
        </c:ser>
        <c:ser>
          <c:idx val="3"/>
          <c:order val="2"/>
          <c:tx>
            <c:strRef>
              <c:f>'S3.3.1 system impacts'!$B$47</c:f>
              <c:strCache>
                <c:ptCount val="1"/>
                <c:pt idx="0">
                  <c:v>incineration in cement kiln</c:v>
                </c:pt>
              </c:strCache>
            </c:strRef>
          </c:tx>
          <c:spPr>
            <a:solidFill>
              <a:schemeClr val="bg1">
                <a:lumMod val="50000"/>
              </a:schemeClr>
            </a:solidFill>
            <a:ln>
              <a:noFill/>
            </a:ln>
            <a:effectLst/>
          </c:spPr>
          <c:invertIfNegative val="0"/>
          <c:val>
            <c:numRef>
              <c:f>'S3.3.1 system impacts'!$C$47:$L$47</c:f>
              <c:numCache>
                <c:formatCode>General</c:formatCode>
                <c:ptCount val="10"/>
                <c:pt idx="0">
                  <c:v>0</c:v>
                </c:pt>
                <c:pt idx="2">
                  <c:v>0</c:v>
                </c:pt>
                <c:pt idx="3" formatCode="_(* #,##0.00_);_(* \(#,##0.00\);_(* &quot;-&quot;??_);_(@_)">
                  <c:v>-0.1893368303129766</c:v>
                </c:pt>
                <c:pt idx="4">
                  <c:v>0</c:v>
                </c:pt>
              </c:numCache>
            </c:numRef>
          </c:val>
          <c:extLst>
            <c:ext xmlns:c16="http://schemas.microsoft.com/office/drawing/2014/chart" uri="{C3380CC4-5D6E-409C-BE32-E72D297353CC}">
              <c16:uniqueId val="{00000003-D958-4FE3-941F-9F080FCEDCA9}"/>
            </c:ext>
          </c:extLst>
        </c:ser>
        <c:ser>
          <c:idx val="2"/>
          <c:order val="3"/>
          <c:tx>
            <c:strRef>
              <c:f>'S3.3.1 system impacts'!$B$49</c:f>
              <c:strCache>
                <c:ptCount val="1"/>
                <c:pt idx="0">
                  <c:v>chemical recycling net (including credits for avoided products)</c:v>
                </c:pt>
              </c:strCache>
            </c:strRef>
          </c:tx>
          <c:spPr>
            <a:solidFill>
              <a:srgbClr val="FF66FF"/>
            </a:solidFill>
            <a:ln>
              <a:noFill/>
            </a:ln>
            <a:effectLst/>
          </c:spPr>
          <c:invertIfNegative val="0"/>
          <c:errBars>
            <c:errBarType val="both"/>
            <c:errValType val="cust"/>
            <c:noEndCap val="0"/>
            <c:plus>
              <c:numRef>
                <c:f>'S3.3.1 system impacts'!$C$50:$L$50</c:f>
                <c:numCache>
                  <c:formatCode>General</c:formatCode>
                  <c:ptCount val="10"/>
                  <c:pt idx="6">
                    <c:v>0.54209131528821897</c:v>
                  </c:pt>
                  <c:pt idx="7">
                    <c:v>0.75294420603230616</c:v>
                  </c:pt>
                  <c:pt idx="8">
                    <c:v>0.25407384935734595</c:v>
                  </c:pt>
                  <c:pt idx="9">
                    <c:v>0.1986060332581927</c:v>
                  </c:pt>
                </c:numCache>
              </c:numRef>
            </c:plus>
            <c:minus>
              <c:numRef>
                <c:f>'S3.3.1 system impacts'!$C$51:$L$51</c:f>
                <c:numCache>
                  <c:formatCode>General</c:formatCode>
                  <c:ptCount val="10"/>
                  <c:pt idx="6">
                    <c:v>0.68338088884342185</c:v>
                  </c:pt>
                  <c:pt idx="7">
                    <c:v>0.56569426843055648</c:v>
                  </c:pt>
                  <c:pt idx="8">
                    <c:v>0.27266626313955283</c:v>
                  </c:pt>
                  <c:pt idx="9">
                    <c:v>0.21619113520352728</c:v>
                  </c:pt>
                </c:numCache>
              </c:numRef>
            </c:minus>
            <c:spPr>
              <a:noFill/>
              <a:ln w="9525" cap="flat" cmpd="sng" algn="ctr">
                <a:solidFill>
                  <a:schemeClr val="tx1">
                    <a:lumMod val="65000"/>
                    <a:lumOff val="35000"/>
                  </a:schemeClr>
                </a:solidFill>
                <a:round/>
              </a:ln>
              <a:effectLst/>
            </c:spPr>
          </c:errBars>
          <c:cat>
            <c:strRef>
              <c:f>'S3.3.1 system impacts'!$C$45:$L$45</c:f>
              <c:strCache>
                <c:ptCount val="10"/>
                <c:pt idx="0">
                  <c:v>no mech rec + WTE</c:v>
                </c:pt>
                <c:pt idx="2">
                  <c:v>max mech rec + WTE</c:v>
                </c:pt>
                <c:pt idx="3">
                  <c:v>max mech rec + max cem + WTE</c:v>
                </c:pt>
                <c:pt idx="4">
                  <c:v>max mech rec + WTE with CC</c:v>
                </c:pt>
                <c:pt idx="6">
                  <c:v>max mech rec + gasif + WTE</c:v>
                </c:pt>
                <c:pt idx="7">
                  <c:v>max mech rec + pyro + WTE</c:v>
                </c:pt>
                <c:pt idx="8">
                  <c:v>max mech rec + max depoly + dissol/pyro/gasif + WTE</c:v>
                </c:pt>
                <c:pt idx="9">
                  <c:v>max mech rec + max dissol + depoly/pyro/gasif + WTE</c:v>
                </c:pt>
              </c:strCache>
            </c:strRef>
          </c:cat>
          <c:val>
            <c:numRef>
              <c:f>'S3.3.1 system impacts'!$C$49:$L$49</c:f>
              <c:numCache>
                <c:formatCode>General</c:formatCode>
                <c:ptCount val="10"/>
                <c:pt idx="0" formatCode="0.0">
                  <c:v>0</c:v>
                </c:pt>
                <c:pt idx="2" formatCode="0.0">
                  <c:v>0</c:v>
                </c:pt>
                <c:pt idx="6" formatCode="0.0">
                  <c:v>0.46434264326317293</c:v>
                </c:pt>
                <c:pt idx="7" formatCode="0.0">
                  <c:v>0.13369882493447624</c:v>
                </c:pt>
                <c:pt idx="8" formatCode="0.0">
                  <c:v>-0.38849774518875829</c:v>
                </c:pt>
                <c:pt idx="9" formatCode="0.0">
                  <c:v>-0.39913187849164139</c:v>
                </c:pt>
              </c:numCache>
            </c:numRef>
          </c:val>
          <c:extLst>
            <c:ext xmlns:c16="http://schemas.microsoft.com/office/drawing/2014/chart" uri="{C3380CC4-5D6E-409C-BE32-E72D297353CC}">
              <c16:uniqueId val="{00000000-D958-4FE3-941F-9F080FCEDCA9}"/>
            </c:ext>
          </c:extLst>
        </c:ser>
        <c:dLbls>
          <c:showLegendKey val="0"/>
          <c:showVal val="0"/>
          <c:showCatName val="0"/>
          <c:showSerName val="0"/>
          <c:showPercent val="0"/>
          <c:showBubbleSize val="0"/>
        </c:dLbls>
        <c:gapWidth val="0"/>
        <c:overlap val="100"/>
        <c:axId val="1698371679"/>
        <c:axId val="1483904959"/>
      </c:barChart>
      <c:catAx>
        <c:axId val="1698371679"/>
        <c:scaling>
          <c:orientation val="maxMin"/>
        </c:scaling>
        <c:delete val="0"/>
        <c:axPos val="l"/>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0" spcFirstLastPara="1" vertOverflow="ellipsis" wrap="square" anchor="ctr" anchorCtr="1"/>
          <a:lstStyle/>
          <a:p>
            <a:pPr>
              <a:defRPr lang="en-CH" sz="16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CH"/>
          </a:p>
        </c:txPr>
        <c:crossAx val="1483904959"/>
        <c:crosses val="autoZero"/>
        <c:auto val="1"/>
        <c:lblAlgn val="ctr"/>
        <c:lblOffset val="100"/>
        <c:noMultiLvlLbl val="0"/>
      </c:catAx>
      <c:valAx>
        <c:axId val="1483904959"/>
        <c:scaling>
          <c:orientation val="minMax"/>
          <c:max val="6"/>
          <c:min val="-2"/>
        </c:scaling>
        <c:delete val="0"/>
        <c:axPos val="t"/>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lang="en-CH" sz="14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de-CH" sz="1400" b="0" i="1" baseline="0">
                    <a:effectLst/>
                  </a:rPr>
                  <a:t>climate change impact</a:t>
                </a:r>
                <a:endParaRPr lang="en-CH" sz="1400">
                  <a:effectLst/>
                </a:endParaRPr>
              </a:p>
              <a:p>
                <a:pPr>
                  <a:defRPr sz="1400"/>
                </a:pPr>
                <a:r>
                  <a:rPr lang="de-CH" sz="1400" b="0" i="1" baseline="0">
                    <a:effectLst/>
                  </a:rPr>
                  <a:t>[Mt CO2-eq]</a:t>
                </a:r>
                <a:endParaRPr lang="en-CH" sz="1400">
                  <a:effectLst/>
                </a:endParaRPr>
              </a:p>
            </c:rich>
          </c:tx>
          <c:overlay val="0"/>
          <c:spPr>
            <a:noFill/>
            <a:ln>
              <a:noFill/>
            </a:ln>
            <a:effectLst/>
          </c:spPr>
          <c:txPr>
            <a:bodyPr rot="0" spcFirstLastPara="1" vertOverflow="ellipsis" vert="horz" wrap="square" anchor="ctr" anchorCtr="1"/>
            <a:lstStyle/>
            <a:p>
              <a:pPr>
                <a:defRPr lang="en-CH" sz="14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CH"/>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lang="en-CH" sz="14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CH"/>
          </a:p>
        </c:txPr>
        <c:crossAx val="1698371679"/>
        <c:crosses val="autoZero"/>
        <c:crossBetween val="between"/>
        <c:majorUnit val="1"/>
      </c:valAx>
      <c:spPr>
        <a:noFill/>
        <a:ln>
          <a:noFill/>
        </a:ln>
        <a:effectLst/>
      </c:spPr>
    </c:plotArea>
    <c:legend>
      <c:legendPos val="b"/>
      <c:layout>
        <c:manualLayout>
          <c:xMode val="edge"/>
          <c:yMode val="edge"/>
          <c:x val="0.49638436577342643"/>
          <c:y val="0.75540132792418624"/>
          <c:w val="0.50260111759205484"/>
          <c:h val="0.24198545818487396"/>
        </c:manualLayout>
      </c:layout>
      <c:overlay val="0"/>
      <c:spPr>
        <a:noFill/>
        <a:ln>
          <a:noFill/>
        </a:ln>
        <a:effectLst/>
      </c:spPr>
      <c:txPr>
        <a:bodyPr rot="0" spcFirstLastPara="1" vertOverflow="ellipsis" vert="horz" wrap="square" anchor="ctr" anchorCtr="1"/>
        <a:lstStyle/>
        <a:p>
          <a:pPr>
            <a:defRPr lang="en-CH" sz="16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C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CH" sz="16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CH"/>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51797037268344381"/>
          <c:y val="0.14458961225092895"/>
          <c:w val="0.47212270749451563"/>
          <c:h val="0.6347016303573576"/>
        </c:manualLayout>
      </c:layout>
      <c:barChart>
        <c:barDir val="bar"/>
        <c:grouping val="stacked"/>
        <c:varyColors val="0"/>
        <c:ser>
          <c:idx val="1"/>
          <c:order val="0"/>
          <c:tx>
            <c:strRef>
              <c:f>'S3.3.1 system impacts'!$B$26</c:f>
              <c:strCache>
                <c:ptCount val="1"/>
                <c:pt idx="0">
                  <c:v>primary production and mechanical recycling</c:v>
                </c:pt>
              </c:strCache>
            </c:strRef>
          </c:tx>
          <c:spPr>
            <a:solidFill>
              <a:schemeClr val="accent2"/>
            </a:solidFill>
            <a:ln>
              <a:noFill/>
            </a:ln>
            <a:effectLst/>
          </c:spPr>
          <c:invertIfNegative val="0"/>
          <c:cat>
            <c:multiLvlStrRef>
              <c:f>'S3.3.1 system impacts'!$C$22:$L$23</c:f>
              <c:multiLvlStrCache>
                <c:ptCount val="10"/>
                <c:lvl>
                  <c:pt idx="0">
                    <c:v>no rec + WTE</c:v>
                  </c:pt>
                  <c:pt idx="2">
                    <c:v>max mech rec + WTE</c:v>
                  </c:pt>
                  <c:pt idx="3">
                    <c:v>max mech rec + max cem + WTE</c:v>
                  </c:pt>
                  <c:pt idx="4">
                    <c:v>max mech rec + WTE with CC</c:v>
                  </c:pt>
                  <c:pt idx="6">
                    <c:v>max mech rec + gasif + WTE</c:v>
                  </c:pt>
                  <c:pt idx="7">
                    <c:v>max mech rec + pyro + WTE</c:v>
                  </c:pt>
                  <c:pt idx="8">
                    <c:v>max mech rec + max depoly + dissol/pyro/gasif + WTE</c:v>
                  </c:pt>
                  <c:pt idx="9">
                    <c:v>max mech rec + max dissol + depoly/pyro/gasif + WTE</c:v>
                  </c:pt>
                </c:lvl>
                <c:lvl>
                  <c:pt idx="0">
                    <c:v>no recyc-ling</c:v>
                  </c:pt>
                  <c:pt idx="2">
                    <c:v>mechanical recycling</c:v>
                  </c:pt>
                  <c:pt idx="6">
                    <c:v>mechanical &amp; chemical recycling</c:v>
                  </c:pt>
                </c:lvl>
              </c:multiLvlStrCache>
            </c:multiLvlStrRef>
          </c:cat>
          <c:val>
            <c:numRef>
              <c:f>'S3.3.1 system impacts'!$C$26:$L$26</c:f>
              <c:numCache>
                <c:formatCode>General</c:formatCode>
                <c:ptCount val="10"/>
                <c:pt idx="0" formatCode="0.0">
                  <c:v>2.9816457264774963</c:v>
                </c:pt>
                <c:pt idx="2" formatCode="0.0">
                  <c:v>2.3760008153407792</c:v>
                </c:pt>
                <c:pt idx="3" formatCode="0.0">
                  <c:v>2.3760008153407792</c:v>
                </c:pt>
                <c:pt idx="4" formatCode="0.0">
                  <c:v>2.3760008153407792</c:v>
                </c:pt>
                <c:pt idx="6" formatCode="0.0">
                  <c:v>2.3760008153407792</c:v>
                </c:pt>
                <c:pt idx="7" formatCode="0.0">
                  <c:v>2.3760008153407792</c:v>
                </c:pt>
                <c:pt idx="8" formatCode="0.0">
                  <c:v>2.3760008153407792</c:v>
                </c:pt>
                <c:pt idx="9" formatCode="0.0">
                  <c:v>2.3760008153407792</c:v>
                </c:pt>
              </c:numCache>
            </c:numRef>
          </c:val>
          <c:extLst>
            <c:ext xmlns:c16="http://schemas.microsoft.com/office/drawing/2014/chart" uri="{C3380CC4-5D6E-409C-BE32-E72D297353CC}">
              <c16:uniqueId val="{00000000-ACC7-4E58-8CE1-953C07A60A98}"/>
            </c:ext>
          </c:extLst>
        </c:ser>
        <c:ser>
          <c:idx val="0"/>
          <c:order val="1"/>
          <c:tx>
            <c:strRef>
              <c:f>'S3.3.1 system impacts'!$B$24</c:f>
              <c:strCache>
                <c:ptCount val="1"/>
                <c:pt idx="0">
                  <c:v>incineration in WTE plants</c:v>
                </c:pt>
              </c:strCache>
            </c:strRef>
          </c:tx>
          <c:spPr>
            <a:solidFill>
              <a:schemeClr val="bg1">
                <a:lumMod val="75000"/>
              </a:schemeClr>
            </a:solidFill>
            <a:ln>
              <a:noFill/>
            </a:ln>
            <a:effectLst/>
          </c:spPr>
          <c:invertIfNegative val="0"/>
          <c:cat>
            <c:multiLvlStrRef>
              <c:f>'S3.3.1 system impacts'!$C$22:$L$23</c:f>
              <c:multiLvlStrCache>
                <c:ptCount val="10"/>
                <c:lvl>
                  <c:pt idx="0">
                    <c:v>no rec + WTE</c:v>
                  </c:pt>
                  <c:pt idx="2">
                    <c:v>max mech rec + WTE</c:v>
                  </c:pt>
                  <c:pt idx="3">
                    <c:v>max mech rec + max cem + WTE</c:v>
                  </c:pt>
                  <c:pt idx="4">
                    <c:v>max mech rec + WTE with CC</c:v>
                  </c:pt>
                  <c:pt idx="6">
                    <c:v>max mech rec + gasif + WTE</c:v>
                  </c:pt>
                  <c:pt idx="7">
                    <c:v>max mech rec + pyro + WTE</c:v>
                  </c:pt>
                  <c:pt idx="8">
                    <c:v>max mech rec + max depoly + dissol/pyro/gasif + WTE</c:v>
                  </c:pt>
                  <c:pt idx="9">
                    <c:v>max mech rec + max dissol + depoly/pyro/gasif + WTE</c:v>
                  </c:pt>
                </c:lvl>
                <c:lvl>
                  <c:pt idx="0">
                    <c:v>no recyc-ling</c:v>
                  </c:pt>
                  <c:pt idx="2">
                    <c:v>mechanical recycling</c:v>
                  </c:pt>
                  <c:pt idx="6">
                    <c:v>mechanical &amp; chemical recycling</c:v>
                  </c:pt>
                </c:lvl>
              </c:multiLvlStrCache>
            </c:multiLvlStrRef>
          </c:cat>
          <c:val>
            <c:numRef>
              <c:f>'S3.3.1 system impacts'!$C$24:$L$24</c:f>
              <c:numCache>
                <c:formatCode>General</c:formatCode>
                <c:ptCount val="10"/>
                <c:pt idx="0" formatCode="0.0">
                  <c:v>2.4041560140200042</c:v>
                </c:pt>
                <c:pt idx="2" formatCode="0.0">
                  <c:v>1.6102706137411509</c:v>
                </c:pt>
                <c:pt idx="3" formatCode="0.0">
                  <c:v>1.225685930388039</c:v>
                </c:pt>
                <c:pt idx="4" formatCode="0.00">
                  <c:v>0.1142348021050115</c:v>
                </c:pt>
                <c:pt idx="6" formatCode="0.0">
                  <c:v>0.18083348565117766</c:v>
                </c:pt>
                <c:pt idx="7" formatCode="0.0">
                  <c:v>0.18083348565117766</c:v>
                </c:pt>
                <c:pt idx="8" formatCode="0.0">
                  <c:v>0.18083348565117766</c:v>
                </c:pt>
                <c:pt idx="9" formatCode="0.0">
                  <c:v>0.18083348565117766</c:v>
                </c:pt>
              </c:numCache>
            </c:numRef>
          </c:val>
          <c:extLst>
            <c:ext xmlns:c16="http://schemas.microsoft.com/office/drawing/2014/chart" uri="{C3380CC4-5D6E-409C-BE32-E72D297353CC}">
              <c16:uniqueId val="{00000001-ACC7-4E58-8CE1-953C07A60A98}"/>
            </c:ext>
          </c:extLst>
        </c:ser>
        <c:ser>
          <c:idx val="2"/>
          <c:order val="2"/>
          <c:tx>
            <c:strRef>
              <c:f>'S3.3.1 system impacts'!$B$27</c:f>
              <c:strCache>
                <c:ptCount val="1"/>
                <c:pt idx="0">
                  <c:v>chemical recycling (net)</c:v>
                </c:pt>
              </c:strCache>
            </c:strRef>
          </c:tx>
          <c:spPr>
            <a:solidFill>
              <a:srgbClr val="FF66FF"/>
            </a:solidFill>
            <a:ln>
              <a:noFill/>
            </a:ln>
            <a:effectLst/>
          </c:spPr>
          <c:invertIfNegative val="0"/>
          <c:errBars>
            <c:errBarType val="both"/>
            <c:errValType val="cust"/>
            <c:noEndCap val="0"/>
            <c:plus>
              <c:numRef>
                <c:f>'S3.3.1 system impacts'!$C$28:$L$28</c:f>
                <c:numCache>
                  <c:formatCode>General</c:formatCode>
                  <c:ptCount val="10"/>
                  <c:pt idx="6">
                    <c:v>0.54209131528821897</c:v>
                  </c:pt>
                  <c:pt idx="7">
                    <c:v>0.75294420603230616</c:v>
                  </c:pt>
                  <c:pt idx="8">
                    <c:v>0.25407384935734595</c:v>
                  </c:pt>
                  <c:pt idx="9">
                    <c:v>0.1986060332581927</c:v>
                  </c:pt>
                </c:numCache>
              </c:numRef>
            </c:plus>
            <c:minus>
              <c:numRef>
                <c:f>'S3.3.1 system impacts'!$C$29:$L$29</c:f>
                <c:numCache>
                  <c:formatCode>General</c:formatCode>
                  <c:ptCount val="10"/>
                  <c:pt idx="6">
                    <c:v>0.68338088884342185</c:v>
                  </c:pt>
                  <c:pt idx="7">
                    <c:v>0.56569426843055648</c:v>
                  </c:pt>
                  <c:pt idx="8">
                    <c:v>0.27266626313955283</c:v>
                  </c:pt>
                  <c:pt idx="9">
                    <c:v>0.21619113520352728</c:v>
                  </c:pt>
                </c:numCache>
              </c:numRef>
            </c:minus>
            <c:spPr>
              <a:noFill/>
              <a:ln w="9525" cap="flat" cmpd="sng" algn="ctr">
                <a:solidFill>
                  <a:schemeClr val="tx1">
                    <a:lumMod val="65000"/>
                    <a:lumOff val="35000"/>
                  </a:schemeClr>
                </a:solidFill>
                <a:round/>
              </a:ln>
              <a:effectLst/>
            </c:spPr>
          </c:errBars>
          <c:cat>
            <c:multiLvlStrRef>
              <c:f>'S3.3.1 system impacts'!$C$22:$L$23</c:f>
              <c:multiLvlStrCache>
                <c:ptCount val="10"/>
                <c:lvl>
                  <c:pt idx="0">
                    <c:v>no rec + WTE</c:v>
                  </c:pt>
                  <c:pt idx="2">
                    <c:v>max mech rec + WTE</c:v>
                  </c:pt>
                  <c:pt idx="3">
                    <c:v>max mech rec + max cem + WTE</c:v>
                  </c:pt>
                  <c:pt idx="4">
                    <c:v>max mech rec + WTE with CC</c:v>
                  </c:pt>
                  <c:pt idx="6">
                    <c:v>max mech rec + gasif + WTE</c:v>
                  </c:pt>
                  <c:pt idx="7">
                    <c:v>max mech rec + pyro + WTE</c:v>
                  </c:pt>
                  <c:pt idx="8">
                    <c:v>max mech rec + max depoly + dissol/pyro/gasif + WTE</c:v>
                  </c:pt>
                  <c:pt idx="9">
                    <c:v>max mech rec + max dissol + depoly/pyro/gasif + WTE</c:v>
                  </c:pt>
                </c:lvl>
                <c:lvl>
                  <c:pt idx="0">
                    <c:v>no recyc-ling</c:v>
                  </c:pt>
                  <c:pt idx="2">
                    <c:v>mechanical recycling</c:v>
                  </c:pt>
                  <c:pt idx="6">
                    <c:v>mechanical &amp; chemical recycling</c:v>
                  </c:pt>
                </c:lvl>
              </c:multiLvlStrCache>
            </c:multiLvlStrRef>
          </c:cat>
          <c:val>
            <c:numRef>
              <c:f>'S3.3.1 system impacts'!$C$27:$L$27</c:f>
              <c:numCache>
                <c:formatCode>General</c:formatCode>
                <c:ptCount val="10"/>
                <c:pt idx="0" formatCode="0.0">
                  <c:v>0</c:v>
                </c:pt>
                <c:pt idx="2" formatCode="0.0">
                  <c:v>0</c:v>
                </c:pt>
                <c:pt idx="3" formatCode="0.0">
                  <c:v>0</c:v>
                </c:pt>
                <c:pt idx="4">
                  <c:v>0</c:v>
                </c:pt>
                <c:pt idx="6" formatCode="0.0">
                  <c:v>0.46434264326317293</c:v>
                </c:pt>
                <c:pt idx="7" formatCode="0.0">
                  <c:v>0.13369882493447624</c:v>
                </c:pt>
                <c:pt idx="8" formatCode="0.0">
                  <c:v>-0.38849774518875829</c:v>
                </c:pt>
                <c:pt idx="9" formatCode="0.0">
                  <c:v>-0.39913187849164139</c:v>
                </c:pt>
              </c:numCache>
            </c:numRef>
          </c:val>
          <c:extLst>
            <c:ext xmlns:c16="http://schemas.microsoft.com/office/drawing/2014/chart" uri="{C3380CC4-5D6E-409C-BE32-E72D297353CC}">
              <c16:uniqueId val="{00000002-ACC7-4E58-8CE1-953C07A60A98}"/>
            </c:ext>
          </c:extLst>
        </c:ser>
        <c:ser>
          <c:idx val="3"/>
          <c:order val="3"/>
          <c:tx>
            <c:strRef>
              <c:f>'S3.3.1 system impacts'!$B$25</c:f>
              <c:strCache>
                <c:ptCount val="1"/>
                <c:pt idx="0">
                  <c:v>incineration in cement kilns</c:v>
                </c:pt>
              </c:strCache>
            </c:strRef>
          </c:tx>
          <c:spPr>
            <a:solidFill>
              <a:schemeClr val="bg1">
                <a:lumMod val="50000"/>
              </a:schemeClr>
            </a:solidFill>
            <a:ln>
              <a:noFill/>
            </a:ln>
            <a:effectLst/>
          </c:spPr>
          <c:invertIfNegative val="0"/>
          <c:cat>
            <c:multiLvlStrRef>
              <c:f>'S3.3.1 system impacts'!$C$22:$L$23</c:f>
              <c:multiLvlStrCache>
                <c:ptCount val="10"/>
                <c:lvl>
                  <c:pt idx="0">
                    <c:v>no rec + WTE</c:v>
                  </c:pt>
                  <c:pt idx="2">
                    <c:v>max mech rec + WTE</c:v>
                  </c:pt>
                  <c:pt idx="3">
                    <c:v>max mech rec + max cem + WTE</c:v>
                  </c:pt>
                  <c:pt idx="4">
                    <c:v>max mech rec + WTE with CC</c:v>
                  </c:pt>
                  <c:pt idx="6">
                    <c:v>max mech rec + gasif + WTE</c:v>
                  </c:pt>
                  <c:pt idx="7">
                    <c:v>max mech rec + pyro + WTE</c:v>
                  </c:pt>
                  <c:pt idx="8">
                    <c:v>max mech rec + max depoly + dissol/pyro/gasif + WTE</c:v>
                  </c:pt>
                  <c:pt idx="9">
                    <c:v>max mech rec + max dissol + depoly/pyro/gasif + WTE</c:v>
                  </c:pt>
                </c:lvl>
                <c:lvl>
                  <c:pt idx="0">
                    <c:v>no recyc-ling</c:v>
                  </c:pt>
                  <c:pt idx="2">
                    <c:v>mechanical recycling</c:v>
                  </c:pt>
                  <c:pt idx="6">
                    <c:v>mechanical &amp; chemical recycling</c:v>
                  </c:pt>
                </c:lvl>
              </c:multiLvlStrCache>
            </c:multiLvlStrRef>
          </c:cat>
          <c:val>
            <c:numRef>
              <c:f>'S3.3.1 system impacts'!$C$25:$L$25</c:f>
              <c:numCache>
                <c:formatCode>General</c:formatCode>
                <c:ptCount val="10"/>
                <c:pt idx="0">
                  <c:v>0</c:v>
                </c:pt>
                <c:pt idx="2">
                  <c:v>0</c:v>
                </c:pt>
                <c:pt idx="3" formatCode="_(* #,##0.00_);_(* \(#,##0.00\);_(* &quot;-&quot;??_);_(@_)">
                  <c:v>-0.1800017252587984</c:v>
                </c:pt>
                <c:pt idx="4">
                  <c:v>0</c:v>
                </c:pt>
                <c:pt idx="6">
                  <c:v>0</c:v>
                </c:pt>
                <c:pt idx="7">
                  <c:v>0</c:v>
                </c:pt>
                <c:pt idx="8">
                  <c:v>0</c:v>
                </c:pt>
                <c:pt idx="9">
                  <c:v>0</c:v>
                </c:pt>
              </c:numCache>
            </c:numRef>
          </c:val>
          <c:extLst>
            <c:ext xmlns:c16="http://schemas.microsoft.com/office/drawing/2014/chart" uri="{C3380CC4-5D6E-409C-BE32-E72D297353CC}">
              <c16:uniqueId val="{00000003-ACC7-4E58-8CE1-953C07A60A98}"/>
            </c:ext>
          </c:extLst>
        </c:ser>
        <c:dLbls>
          <c:showLegendKey val="0"/>
          <c:showVal val="0"/>
          <c:showCatName val="0"/>
          <c:showSerName val="0"/>
          <c:showPercent val="0"/>
          <c:showBubbleSize val="0"/>
        </c:dLbls>
        <c:gapWidth val="0"/>
        <c:overlap val="100"/>
        <c:axId val="1698371679"/>
        <c:axId val="1483904959"/>
      </c:barChart>
      <c:catAx>
        <c:axId val="1698371679"/>
        <c:scaling>
          <c:orientation val="maxMin"/>
        </c:scaling>
        <c:delete val="0"/>
        <c:axPos val="l"/>
        <c:numFmt formatCode="General" sourceLinked="1"/>
        <c:majorTickMark val="none"/>
        <c:minorTickMark val="none"/>
        <c:tickLblPos val="low"/>
        <c:spPr>
          <a:noFill/>
          <a:ln w="9525" cap="flat" cmpd="sng" algn="ctr">
            <a:noFill/>
            <a:round/>
          </a:ln>
          <a:effectLst/>
        </c:spPr>
        <c:txPr>
          <a:bodyPr rot="0" spcFirstLastPara="1" vertOverflow="ellipsis" wrap="square" anchor="ctr" anchorCtr="0"/>
          <a:lstStyle/>
          <a:p>
            <a:pPr>
              <a:defRPr sz="16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CH"/>
          </a:p>
        </c:txPr>
        <c:crossAx val="1483904959"/>
        <c:crosses val="autoZero"/>
        <c:auto val="1"/>
        <c:lblAlgn val="ctr"/>
        <c:lblOffset val="100"/>
        <c:noMultiLvlLbl val="0"/>
      </c:catAx>
      <c:valAx>
        <c:axId val="1483904959"/>
        <c:scaling>
          <c:orientation val="minMax"/>
          <c:max val="6"/>
          <c:min val="-2"/>
        </c:scaling>
        <c:delete val="0"/>
        <c:axPos val="t"/>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1"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de-CH" sz="1400" i="1"/>
                  <a:t>climate change impact</a:t>
                </a:r>
              </a:p>
              <a:p>
                <a:pPr>
                  <a:defRPr sz="1400" i="1"/>
                </a:pPr>
                <a:r>
                  <a:rPr lang="de-CH" sz="1400" i="1"/>
                  <a:t>[Mt CO2-eq]</a:t>
                </a:r>
              </a:p>
            </c:rich>
          </c:tx>
          <c:layout>
            <c:manualLayout>
              <c:xMode val="edge"/>
              <c:yMode val="edge"/>
              <c:x val="0.68657379151112563"/>
              <c:y val="7.6389323303056285E-3"/>
            </c:manualLayout>
          </c:layout>
          <c:overlay val="0"/>
          <c:spPr>
            <a:noFill/>
            <a:ln>
              <a:noFill/>
            </a:ln>
            <a:effectLst/>
          </c:spPr>
          <c:txPr>
            <a:bodyPr rot="0" spcFirstLastPara="1" vertOverflow="ellipsis" vert="horz" wrap="square" anchor="ctr" anchorCtr="1"/>
            <a:lstStyle/>
            <a:p>
              <a:pPr>
                <a:defRPr sz="1400" b="0" i="1"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CH"/>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CH"/>
          </a:p>
        </c:txPr>
        <c:crossAx val="1698371679"/>
        <c:crosses val="autoZero"/>
        <c:crossBetween val="between"/>
        <c:majorUnit val="1"/>
        <c:minorUnit val="1"/>
      </c:valAx>
      <c:spPr>
        <a:noFill/>
        <a:ln w="25400">
          <a:noFill/>
        </a:ln>
        <a:effectLst/>
      </c:spPr>
    </c:plotArea>
    <c:legend>
      <c:legendPos val="r"/>
      <c:layout>
        <c:manualLayout>
          <c:xMode val="edge"/>
          <c:yMode val="edge"/>
          <c:x val="0.51708987468428735"/>
          <c:y val="0.81024801867324581"/>
          <c:w val="0.36236479023462925"/>
          <c:h val="0.17192954583155737"/>
        </c:manualLayout>
      </c:layout>
      <c:overlay val="0"/>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C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600">
          <a:solidFill>
            <a:sysClr val="windowText" lastClr="000000"/>
          </a:solidFill>
          <a:latin typeface="Arial" panose="020B0604020202020204" pitchFamily="34" charset="0"/>
          <a:cs typeface="Arial" panose="020B0604020202020204" pitchFamily="34" charset="0"/>
        </a:defRPr>
      </a:pPr>
      <a:endParaRPr lang="en-CH"/>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52977999006360244"/>
          <c:y val="0.14663056693999005"/>
          <c:w val="0.44632626261797814"/>
          <c:h val="0.53934534956640223"/>
        </c:manualLayout>
      </c:layout>
      <c:barChart>
        <c:barDir val="bar"/>
        <c:grouping val="stacked"/>
        <c:varyColors val="0"/>
        <c:ser>
          <c:idx val="1"/>
          <c:order val="0"/>
          <c:tx>
            <c:strRef>
              <c:f>'S3.3.1 system impacts'!$B$48</c:f>
              <c:strCache>
                <c:ptCount val="1"/>
                <c:pt idx="0">
                  <c:v>primary and secondary (mechanical recycling) production</c:v>
                </c:pt>
              </c:strCache>
            </c:strRef>
          </c:tx>
          <c:spPr>
            <a:solidFill>
              <a:schemeClr val="accent2"/>
            </a:solidFill>
            <a:ln>
              <a:noFill/>
            </a:ln>
            <a:effectLst/>
          </c:spPr>
          <c:invertIfNegative val="0"/>
          <c:cat>
            <c:strRef>
              <c:f>'S3.3.1 system impacts'!$C$45:$L$45</c:f>
              <c:strCache>
                <c:ptCount val="10"/>
                <c:pt idx="0">
                  <c:v>no mech rec + WTE</c:v>
                </c:pt>
                <c:pt idx="2">
                  <c:v>max mech rec + WTE</c:v>
                </c:pt>
                <c:pt idx="3">
                  <c:v>max mech rec + max cem + WTE</c:v>
                </c:pt>
                <c:pt idx="4">
                  <c:v>max mech rec + WTE with CC</c:v>
                </c:pt>
                <c:pt idx="6">
                  <c:v>max mech rec + gasif + WTE</c:v>
                </c:pt>
                <c:pt idx="7">
                  <c:v>max mech rec + pyro + WTE</c:v>
                </c:pt>
                <c:pt idx="8">
                  <c:v>max mech rec + max depoly + dissol/pyro/gasif + WTE</c:v>
                </c:pt>
                <c:pt idx="9">
                  <c:v>max mech rec + max dissol + depoly/pyro/gasif + WTE</c:v>
                </c:pt>
              </c:strCache>
            </c:strRef>
          </c:cat>
          <c:val>
            <c:numRef>
              <c:f>'S3.3.1 system impacts'!$C$74:$L$74</c:f>
              <c:numCache>
                <c:formatCode>General</c:formatCode>
                <c:ptCount val="10"/>
                <c:pt idx="0" formatCode="0.0">
                  <c:v>3.523822951694989</c:v>
                </c:pt>
                <c:pt idx="2" formatCode="0.0">
                  <c:v>2.8856481090298605</c:v>
                </c:pt>
                <c:pt idx="3" formatCode="0.0">
                  <c:v>2.8856481090298605</c:v>
                </c:pt>
                <c:pt idx="4" formatCode="0.0">
                  <c:v>2.8856481090298605</c:v>
                </c:pt>
                <c:pt idx="6" formatCode="0.0">
                  <c:v>2.8856481090298605</c:v>
                </c:pt>
                <c:pt idx="7" formatCode="0.0">
                  <c:v>2.8856481090298605</c:v>
                </c:pt>
                <c:pt idx="8" formatCode="0.0">
                  <c:v>2.8856481090298605</c:v>
                </c:pt>
                <c:pt idx="9" formatCode="0.0">
                  <c:v>2.8856481090298605</c:v>
                </c:pt>
              </c:numCache>
            </c:numRef>
          </c:val>
          <c:extLst>
            <c:ext xmlns:c16="http://schemas.microsoft.com/office/drawing/2014/chart" uri="{C3380CC4-5D6E-409C-BE32-E72D297353CC}">
              <c16:uniqueId val="{00000000-DCAD-4248-BD1F-C60F4A273EED}"/>
            </c:ext>
          </c:extLst>
        </c:ser>
        <c:ser>
          <c:idx val="0"/>
          <c:order val="1"/>
          <c:tx>
            <c:strRef>
              <c:f>'S3.3.1 system impacts'!$B$46</c:f>
              <c:strCache>
                <c:ptCount val="1"/>
                <c:pt idx="0">
                  <c:v>(direct) incineration</c:v>
                </c:pt>
              </c:strCache>
            </c:strRef>
          </c:tx>
          <c:spPr>
            <a:solidFill>
              <a:schemeClr val="bg1">
                <a:lumMod val="75000"/>
              </a:schemeClr>
            </a:solidFill>
            <a:ln>
              <a:noFill/>
            </a:ln>
            <a:effectLst/>
          </c:spPr>
          <c:invertIfNegative val="0"/>
          <c:cat>
            <c:strRef>
              <c:f>'S3.3.1 system impacts'!$C$45:$L$45</c:f>
              <c:strCache>
                <c:ptCount val="10"/>
                <c:pt idx="0">
                  <c:v>no mech rec + WTE</c:v>
                </c:pt>
                <c:pt idx="2">
                  <c:v>max mech rec + WTE</c:v>
                </c:pt>
                <c:pt idx="3">
                  <c:v>max mech rec + max cem + WTE</c:v>
                </c:pt>
                <c:pt idx="4">
                  <c:v>max mech rec + WTE with CC</c:v>
                </c:pt>
                <c:pt idx="6">
                  <c:v>max mech rec + gasif + WTE</c:v>
                </c:pt>
                <c:pt idx="7">
                  <c:v>max mech rec + pyro + WTE</c:v>
                </c:pt>
                <c:pt idx="8">
                  <c:v>max mech rec + max depoly + dissol/pyro/gasif + WTE</c:v>
                </c:pt>
                <c:pt idx="9">
                  <c:v>max mech rec + max dissol + depoly/pyro/gasif + WTE</c:v>
                </c:pt>
              </c:strCache>
            </c:strRef>
          </c:cat>
          <c:val>
            <c:numRef>
              <c:f>'S3.3.1 system impacts'!$C$72:$L$72</c:f>
              <c:numCache>
                <c:formatCode>General</c:formatCode>
                <c:ptCount val="10"/>
                <c:pt idx="0" formatCode="0.0">
                  <c:v>0.97504902456003839</c:v>
                </c:pt>
                <c:pt idx="2" formatCode="0.0">
                  <c:v>0.65988566006068317</c:v>
                </c:pt>
                <c:pt idx="3" formatCode="0.0">
                  <c:v>0.52081256193120806</c:v>
                </c:pt>
                <c:pt idx="4" formatCode="0.00">
                  <c:v>-0.25845015489469103</c:v>
                </c:pt>
                <c:pt idx="6" formatCode="0.0">
                  <c:v>7.5920105002421828E-2</c:v>
                </c:pt>
                <c:pt idx="7" formatCode="0.0">
                  <c:v>7.5920105002421828E-2</c:v>
                </c:pt>
                <c:pt idx="8" formatCode="0.0">
                  <c:v>7.5920105002421828E-2</c:v>
                </c:pt>
                <c:pt idx="9" formatCode="0.0">
                  <c:v>7.5920105002421828E-2</c:v>
                </c:pt>
              </c:numCache>
            </c:numRef>
          </c:val>
          <c:extLst>
            <c:ext xmlns:c16="http://schemas.microsoft.com/office/drawing/2014/chart" uri="{C3380CC4-5D6E-409C-BE32-E72D297353CC}">
              <c16:uniqueId val="{00000001-DCAD-4248-BD1F-C60F4A273EED}"/>
            </c:ext>
          </c:extLst>
        </c:ser>
        <c:ser>
          <c:idx val="3"/>
          <c:order val="2"/>
          <c:tx>
            <c:strRef>
              <c:f>'S3.3.1 system impacts'!$B$47</c:f>
              <c:strCache>
                <c:ptCount val="1"/>
                <c:pt idx="0">
                  <c:v>incineration in cement kiln</c:v>
                </c:pt>
              </c:strCache>
            </c:strRef>
          </c:tx>
          <c:spPr>
            <a:solidFill>
              <a:schemeClr val="bg1">
                <a:lumMod val="50000"/>
              </a:schemeClr>
            </a:solidFill>
            <a:ln>
              <a:noFill/>
            </a:ln>
            <a:effectLst/>
          </c:spPr>
          <c:invertIfNegative val="0"/>
          <c:val>
            <c:numRef>
              <c:f>'S3.3.1 system impacts'!$C$47:$L$47</c:f>
              <c:numCache>
                <c:formatCode>General</c:formatCode>
                <c:ptCount val="10"/>
                <c:pt idx="0">
                  <c:v>0</c:v>
                </c:pt>
                <c:pt idx="2">
                  <c:v>0</c:v>
                </c:pt>
                <c:pt idx="3" formatCode="_(* #,##0.00_);_(* \(#,##0.00\);_(* &quot;-&quot;??_);_(@_)">
                  <c:v>-0.1893368303129766</c:v>
                </c:pt>
                <c:pt idx="4">
                  <c:v>0</c:v>
                </c:pt>
              </c:numCache>
            </c:numRef>
          </c:val>
          <c:extLst>
            <c:ext xmlns:c16="http://schemas.microsoft.com/office/drawing/2014/chart" uri="{C3380CC4-5D6E-409C-BE32-E72D297353CC}">
              <c16:uniqueId val="{00000002-DCAD-4248-BD1F-C60F4A273EED}"/>
            </c:ext>
          </c:extLst>
        </c:ser>
        <c:ser>
          <c:idx val="2"/>
          <c:order val="3"/>
          <c:tx>
            <c:strRef>
              <c:f>'S3.3.1 system impacts'!$B$49</c:f>
              <c:strCache>
                <c:ptCount val="1"/>
                <c:pt idx="0">
                  <c:v>chemical recycling net (including credits for avoided products)</c:v>
                </c:pt>
              </c:strCache>
            </c:strRef>
          </c:tx>
          <c:spPr>
            <a:solidFill>
              <a:srgbClr val="FF66FF"/>
            </a:solidFill>
            <a:ln>
              <a:noFill/>
            </a:ln>
            <a:effectLst/>
          </c:spPr>
          <c:invertIfNegative val="0"/>
          <c:errBars>
            <c:errBarType val="both"/>
            <c:errValType val="cust"/>
            <c:noEndCap val="0"/>
            <c:plus>
              <c:numRef>
                <c:f>'S3.3.1 system impacts'!$C$50:$L$50</c:f>
                <c:numCache>
                  <c:formatCode>General</c:formatCode>
                  <c:ptCount val="10"/>
                  <c:pt idx="6">
                    <c:v>0.54209131528821897</c:v>
                  </c:pt>
                  <c:pt idx="7">
                    <c:v>0.75294420603230616</c:v>
                  </c:pt>
                  <c:pt idx="8">
                    <c:v>0.25407384935734595</c:v>
                  </c:pt>
                  <c:pt idx="9">
                    <c:v>0.1986060332581927</c:v>
                  </c:pt>
                </c:numCache>
              </c:numRef>
            </c:plus>
            <c:minus>
              <c:numRef>
                <c:f>'S3.3.1 system impacts'!$C$51:$L$51</c:f>
                <c:numCache>
                  <c:formatCode>General</c:formatCode>
                  <c:ptCount val="10"/>
                  <c:pt idx="6">
                    <c:v>0.68338088884342185</c:v>
                  </c:pt>
                  <c:pt idx="7">
                    <c:v>0.56569426843055648</c:v>
                  </c:pt>
                  <c:pt idx="8">
                    <c:v>0.27266626313955283</c:v>
                  </c:pt>
                  <c:pt idx="9">
                    <c:v>0.21619113520352728</c:v>
                  </c:pt>
                </c:numCache>
              </c:numRef>
            </c:minus>
            <c:spPr>
              <a:noFill/>
              <a:ln w="9525" cap="flat" cmpd="sng" algn="ctr">
                <a:solidFill>
                  <a:schemeClr val="tx1">
                    <a:lumMod val="65000"/>
                    <a:lumOff val="35000"/>
                  </a:schemeClr>
                </a:solidFill>
                <a:round/>
              </a:ln>
              <a:effectLst/>
            </c:spPr>
          </c:errBars>
          <c:cat>
            <c:strRef>
              <c:f>'S3.3.1 system impacts'!$C$45:$L$45</c:f>
              <c:strCache>
                <c:ptCount val="10"/>
                <c:pt idx="0">
                  <c:v>no mech rec + WTE</c:v>
                </c:pt>
                <c:pt idx="2">
                  <c:v>max mech rec + WTE</c:v>
                </c:pt>
                <c:pt idx="3">
                  <c:v>max mech rec + max cem + WTE</c:v>
                </c:pt>
                <c:pt idx="4">
                  <c:v>max mech rec + WTE with CC</c:v>
                </c:pt>
                <c:pt idx="6">
                  <c:v>max mech rec + gasif + WTE</c:v>
                </c:pt>
                <c:pt idx="7">
                  <c:v>max mech rec + pyro + WTE</c:v>
                </c:pt>
                <c:pt idx="8">
                  <c:v>max mech rec + max depoly + dissol/pyro/gasif + WTE</c:v>
                </c:pt>
                <c:pt idx="9">
                  <c:v>max mech rec + max dissol + depoly/pyro/gasif + WTE</c:v>
                </c:pt>
              </c:strCache>
            </c:strRef>
          </c:cat>
          <c:val>
            <c:numRef>
              <c:f>'S3.3.1 system impacts'!$C$49:$L$49</c:f>
              <c:numCache>
                <c:formatCode>General</c:formatCode>
                <c:ptCount val="10"/>
                <c:pt idx="0" formatCode="0.0">
                  <c:v>0</c:v>
                </c:pt>
                <c:pt idx="2" formatCode="0.0">
                  <c:v>0</c:v>
                </c:pt>
                <c:pt idx="6" formatCode="0.0">
                  <c:v>0.46434264326317293</c:v>
                </c:pt>
                <c:pt idx="7" formatCode="0.0">
                  <c:v>0.13369882493447624</c:v>
                </c:pt>
                <c:pt idx="8" formatCode="0.0">
                  <c:v>-0.38849774518875829</c:v>
                </c:pt>
                <c:pt idx="9" formatCode="0.0">
                  <c:v>-0.39913187849164139</c:v>
                </c:pt>
              </c:numCache>
            </c:numRef>
          </c:val>
          <c:extLst>
            <c:ext xmlns:c16="http://schemas.microsoft.com/office/drawing/2014/chart" uri="{C3380CC4-5D6E-409C-BE32-E72D297353CC}">
              <c16:uniqueId val="{00000003-DCAD-4248-BD1F-C60F4A273EED}"/>
            </c:ext>
          </c:extLst>
        </c:ser>
        <c:dLbls>
          <c:showLegendKey val="0"/>
          <c:showVal val="0"/>
          <c:showCatName val="0"/>
          <c:showSerName val="0"/>
          <c:showPercent val="0"/>
          <c:showBubbleSize val="0"/>
        </c:dLbls>
        <c:gapWidth val="0"/>
        <c:overlap val="100"/>
        <c:axId val="1698371679"/>
        <c:axId val="1483904959"/>
      </c:barChart>
      <c:catAx>
        <c:axId val="1698371679"/>
        <c:scaling>
          <c:orientation val="maxMin"/>
        </c:scaling>
        <c:delete val="0"/>
        <c:axPos val="l"/>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0" spcFirstLastPara="1" vertOverflow="ellipsis" wrap="square" anchor="ctr" anchorCtr="1"/>
          <a:lstStyle/>
          <a:p>
            <a:pPr>
              <a:defRPr lang="en-CH" sz="16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CH"/>
          </a:p>
        </c:txPr>
        <c:crossAx val="1483904959"/>
        <c:crosses val="autoZero"/>
        <c:auto val="1"/>
        <c:lblAlgn val="ctr"/>
        <c:lblOffset val="100"/>
        <c:noMultiLvlLbl val="0"/>
      </c:catAx>
      <c:valAx>
        <c:axId val="1483904959"/>
        <c:scaling>
          <c:orientation val="minMax"/>
          <c:max val="6"/>
          <c:min val="-2"/>
        </c:scaling>
        <c:delete val="0"/>
        <c:axPos val="t"/>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lang="en-CH" sz="14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de-CH" sz="1400" b="0" i="1" baseline="0">
                    <a:effectLst/>
                  </a:rPr>
                  <a:t>climate change impact</a:t>
                </a:r>
                <a:endParaRPr lang="en-CH" sz="1400">
                  <a:effectLst/>
                </a:endParaRPr>
              </a:p>
              <a:p>
                <a:pPr>
                  <a:defRPr sz="1400"/>
                </a:pPr>
                <a:r>
                  <a:rPr lang="de-CH" sz="1400" b="0" i="1" baseline="0">
                    <a:effectLst/>
                  </a:rPr>
                  <a:t>[Mt CO2-eq]</a:t>
                </a:r>
                <a:endParaRPr lang="en-CH" sz="1400">
                  <a:effectLst/>
                </a:endParaRPr>
              </a:p>
            </c:rich>
          </c:tx>
          <c:overlay val="0"/>
          <c:spPr>
            <a:noFill/>
            <a:ln>
              <a:noFill/>
            </a:ln>
            <a:effectLst/>
          </c:spPr>
          <c:txPr>
            <a:bodyPr rot="0" spcFirstLastPara="1" vertOverflow="ellipsis" vert="horz" wrap="square" anchor="ctr" anchorCtr="1"/>
            <a:lstStyle/>
            <a:p>
              <a:pPr>
                <a:defRPr lang="en-CH" sz="14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CH"/>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lang="en-CH" sz="14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CH"/>
          </a:p>
        </c:txPr>
        <c:crossAx val="1698371679"/>
        <c:crosses val="autoZero"/>
        <c:crossBetween val="between"/>
        <c:majorUnit val="1"/>
      </c:valAx>
      <c:spPr>
        <a:noFill/>
        <a:ln>
          <a:noFill/>
        </a:ln>
        <a:effectLst/>
      </c:spPr>
    </c:plotArea>
    <c:legend>
      <c:legendPos val="b"/>
      <c:layout>
        <c:manualLayout>
          <c:xMode val="edge"/>
          <c:yMode val="edge"/>
          <c:x val="0.47428967473748368"/>
          <c:y val="0.73906981870523558"/>
          <c:w val="0.52469580862799758"/>
          <c:h val="0.25535350217644176"/>
        </c:manualLayout>
      </c:layout>
      <c:overlay val="0"/>
      <c:spPr>
        <a:noFill/>
        <a:ln>
          <a:noFill/>
        </a:ln>
        <a:effectLst/>
      </c:spPr>
      <c:txPr>
        <a:bodyPr rot="0" spcFirstLastPara="1" vertOverflow="ellipsis" vert="horz" wrap="square" anchor="ctr" anchorCtr="1"/>
        <a:lstStyle/>
        <a:p>
          <a:pPr>
            <a:defRPr lang="en-CH" sz="16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C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CH" sz="16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CH"/>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52977999006360244"/>
          <c:y val="0.14663056693999005"/>
          <c:w val="0.44632626261797814"/>
          <c:h val="0.53934534956640223"/>
        </c:manualLayout>
      </c:layout>
      <c:barChart>
        <c:barDir val="bar"/>
        <c:grouping val="stacked"/>
        <c:varyColors val="0"/>
        <c:ser>
          <c:idx val="1"/>
          <c:order val="0"/>
          <c:tx>
            <c:strRef>
              <c:f>'S3.3.2 sys. imp. - sens.anal.'!$B$49</c:f>
              <c:strCache>
                <c:ptCount val="1"/>
                <c:pt idx="0">
                  <c:v>primary and secondary (mechanical recycling) production</c:v>
                </c:pt>
              </c:strCache>
            </c:strRef>
          </c:tx>
          <c:spPr>
            <a:solidFill>
              <a:schemeClr val="accent2"/>
            </a:solidFill>
            <a:ln>
              <a:noFill/>
            </a:ln>
            <a:effectLst/>
          </c:spPr>
          <c:invertIfNegative val="0"/>
          <c:cat>
            <c:strRef>
              <c:f>'S3.3.2 sys. imp. - sens.anal.'!$C$46:$L$46</c:f>
              <c:strCache>
                <c:ptCount val="9"/>
                <c:pt idx="0">
                  <c:v>no mech rec + WTE</c:v>
                </c:pt>
                <c:pt idx="1">
                  <c:v>max mech rec + WTE</c:v>
                </c:pt>
                <c:pt idx="2">
                  <c:v>max mech rec + max cem + WTE</c:v>
                </c:pt>
                <c:pt idx="3">
                  <c:v>max mech rec + WTE with CC</c:v>
                </c:pt>
                <c:pt idx="5">
                  <c:v>max mech rec + gasif + WTE</c:v>
                </c:pt>
                <c:pt idx="6">
                  <c:v>max mech rec + pyro + WTE</c:v>
                </c:pt>
                <c:pt idx="7">
                  <c:v>max mech rec + max depoly + dissol/pyro/gasif + WTE</c:v>
                </c:pt>
                <c:pt idx="8">
                  <c:v>max mech rec + max dissol + depoly/pyro/gasif + WTE</c:v>
                </c:pt>
              </c:strCache>
            </c:strRef>
          </c:cat>
          <c:val>
            <c:numRef>
              <c:f>'S3.3.2 sys. imp. - sens.anal.'!$C$49:$L$49</c:f>
              <c:numCache>
                <c:formatCode>0.0</c:formatCode>
                <c:ptCount val="10"/>
                <c:pt idx="0">
                  <c:v>3.523822951694989</c:v>
                </c:pt>
                <c:pt idx="1">
                  <c:v>2.8856481090298605</c:v>
                </c:pt>
                <c:pt idx="2">
                  <c:v>2.8856481090298605</c:v>
                </c:pt>
                <c:pt idx="3">
                  <c:v>2.8856481090298605</c:v>
                </c:pt>
                <c:pt idx="5">
                  <c:v>2.8856481090298605</c:v>
                </c:pt>
                <c:pt idx="6">
                  <c:v>2.8856481090298605</c:v>
                </c:pt>
                <c:pt idx="7">
                  <c:v>2.8856481090298605</c:v>
                </c:pt>
                <c:pt idx="8">
                  <c:v>2.8856481090298605</c:v>
                </c:pt>
              </c:numCache>
            </c:numRef>
          </c:val>
          <c:extLst>
            <c:ext xmlns:c16="http://schemas.microsoft.com/office/drawing/2014/chart" uri="{C3380CC4-5D6E-409C-BE32-E72D297353CC}">
              <c16:uniqueId val="{00000000-4881-4521-A10B-98CBF6694655}"/>
            </c:ext>
          </c:extLst>
        </c:ser>
        <c:ser>
          <c:idx val="0"/>
          <c:order val="1"/>
          <c:tx>
            <c:strRef>
              <c:f>'S3.3.2 sys. imp. - sens.anal.'!$B$47</c:f>
              <c:strCache>
                <c:ptCount val="1"/>
                <c:pt idx="0">
                  <c:v>(direct) incineration</c:v>
                </c:pt>
              </c:strCache>
            </c:strRef>
          </c:tx>
          <c:spPr>
            <a:solidFill>
              <a:schemeClr val="bg1">
                <a:lumMod val="75000"/>
              </a:schemeClr>
            </a:solidFill>
            <a:ln>
              <a:noFill/>
            </a:ln>
            <a:effectLst/>
          </c:spPr>
          <c:invertIfNegative val="0"/>
          <c:cat>
            <c:strRef>
              <c:f>'S3.3.2 sys. imp. - sens.anal.'!$C$46:$L$46</c:f>
              <c:strCache>
                <c:ptCount val="9"/>
                <c:pt idx="0">
                  <c:v>no mech rec + WTE</c:v>
                </c:pt>
                <c:pt idx="1">
                  <c:v>max mech rec + WTE</c:v>
                </c:pt>
                <c:pt idx="2">
                  <c:v>max mech rec + max cem + WTE</c:v>
                </c:pt>
                <c:pt idx="3">
                  <c:v>max mech rec + WTE with CC</c:v>
                </c:pt>
                <c:pt idx="5">
                  <c:v>max mech rec + gasif + WTE</c:v>
                </c:pt>
                <c:pt idx="6">
                  <c:v>max mech rec + pyro + WTE</c:v>
                </c:pt>
                <c:pt idx="7">
                  <c:v>max mech rec + max depoly + dissol/pyro/gasif + WTE</c:v>
                </c:pt>
                <c:pt idx="8">
                  <c:v>max mech rec + max dissol + depoly/pyro/gasif + WTE</c:v>
                </c:pt>
              </c:strCache>
            </c:strRef>
          </c:cat>
          <c:val>
            <c:numRef>
              <c:f>'S3.3.2 sys. imp. - sens.anal.'!$C$47:$L$47</c:f>
              <c:numCache>
                <c:formatCode>0.0</c:formatCode>
                <c:ptCount val="10"/>
                <c:pt idx="0">
                  <c:v>1.5058085130726611</c:v>
                </c:pt>
                <c:pt idx="1">
                  <c:v>1.0127603614370415</c:v>
                </c:pt>
                <c:pt idx="2">
                  <c:v>0.78568383324976654</c:v>
                </c:pt>
                <c:pt idx="3" formatCode="0.00">
                  <c:v>-0.25845015489469103</c:v>
                </c:pt>
                <c:pt idx="5">
                  <c:v>0.38352128665146723</c:v>
                </c:pt>
                <c:pt idx="6">
                  <c:v>0.38352128665146723</c:v>
                </c:pt>
                <c:pt idx="7">
                  <c:v>0.38352128665146723</c:v>
                </c:pt>
                <c:pt idx="8">
                  <c:v>0.38352128665146723</c:v>
                </c:pt>
              </c:numCache>
            </c:numRef>
          </c:val>
          <c:extLst>
            <c:ext xmlns:c16="http://schemas.microsoft.com/office/drawing/2014/chart" uri="{C3380CC4-5D6E-409C-BE32-E72D297353CC}">
              <c16:uniqueId val="{00000001-4881-4521-A10B-98CBF6694655}"/>
            </c:ext>
          </c:extLst>
        </c:ser>
        <c:ser>
          <c:idx val="3"/>
          <c:order val="2"/>
          <c:tx>
            <c:strRef>
              <c:f>'S3.3.2 sys. imp. - sens.anal.'!$B$48</c:f>
              <c:strCache>
                <c:ptCount val="1"/>
                <c:pt idx="0">
                  <c:v>incineration in cement kiln</c:v>
                </c:pt>
              </c:strCache>
            </c:strRef>
          </c:tx>
          <c:spPr>
            <a:solidFill>
              <a:schemeClr val="bg1">
                <a:lumMod val="50000"/>
              </a:schemeClr>
            </a:solidFill>
            <a:ln>
              <a:noFill/>
            </a:ln>
            <a:effectLst/>
          </c:spPr>
          <c:invertIfNegative val="0"/>
          <c:val>
            <c:numRef>
              <c:f>'S3.3.2 sys. imp. - sens.anal.'!$C$48:$L$48</c:f>
              <c:numCache>
                <c:formatCode>General</c:formatCode>
                <c:ptCount val="10"/>
                <c:pt idx="0">
                  <c:v>0</c:v>
                </c:pt>
                <c:pt idx="1">
                  <c:v>0</c:v>
                </c:pt>
                <c:pt idx="2" formatCode="_(* #,##0.00_);_(* \(#,##0.00\);_(* &quot;-&quot;??_);_(@_)">
                  <c:v>-0.1893368303129766</c:v>
                </c:pt>
                <c:pt idx="3">
                  <c:v>0</c:v>
                </c:pt>
              </c:numCache>
            </c:numRef>
          </c:val>
          <c:extLst>
            <c:ext xmlns:c16="http://schemas.microsoft.com/office/drawing/2014/chart" uri="{C3380CC4-5D6E-409C-BE32-E72D297353CC}">
              <c16:uniqueId val="{00000002-4881-4521-A10B-98CBF6694655}"/>
            </c:ext>
          </c:extLst>
        </c:ser>
        <c:ser>
          <c:idx val="2"/>
          <c:order val="3"/>
          <c:tx>
            <c:strRef>
              <c:f>'S3.3.2 sys. imp. - sens.anal.'!$B$50</c:f>
              <c:strCache>
                <c:ptCount val="1"/>
                <c:pt idx="0">
                  <c:v>chemical recycling net (including credits for avoided products)</c:v>
                </c:pt>
              </c:strCache>
            </c:strRef>
          </c:tx>
          <c:spPr>
            <a:solidFill>
              <a:srgbClr val="FF66FF"/>
            </a:solidFill>
            <a:ln>
              <a:noFill/>
            </a:ln>
            <a:effectLst/>
          </c:spPr>
          <c:invertIfNegative val="0"/>
          <c:errBars>
            <c:errBarType val="both"/>
            <c:errValType val="cust"/>
            <c:noEndCap val="0"/>
            <c:plus>
              <c:numRef>
                <c:f>'S3.3.2 sys. imp. - sens.anal.'!$C$51:$L$51</c:f>
                <c:numCache>
                  <c:formatCode>General</c:formatCode>
                  <c:ptCount val="10"/>
                  <c:pt idx="5">
                    <c:v>0.38137665636199525</c:v>
                  </c:pt>
                  <c:pt idx="6">
                    <c:v>0.52971766125982567</c:v>
                  </c:pt>
                  <c:pt idx="7">
                    <c:v>0.36635976119336866</c:v>
                  </c:pt>
                  <c:pt idx="8">
                    <c:v>0.32682491663869145</c:v>
                  </c:pt>
                </c:numCache>
              </c:numRef>
            </c:plus>
            <c:minus>
              <c:numRef>
                <c:f>'S3.3.2 sys. imp. - sens.anal.'!$C$52:$L$52</c:f>
                <c:numCache>
                  <c:formatCode>General</c:formatCode>
                  <c:ptCount val="10"/>
                  <c:pt idx="5">
                    <c:v>0.48077788936763022</c:v>
                  </c:pt>
                  <c:pt idx="6">
                    <c:v>0.39798200512119375</c:v>
                  </c:pt>
                  <c:pt idx="7">
                    <c:v>0.38319730238767752</c:v>
                  </c:pt>
                  <c:pt idx="8">
                    <c:v>0.34287456383386761</c:v>
                  </c:pt>
                </c:numCache>
              </c:numRef>
            </c:minus>
            <c:spPr>
              <a:noFill/>
              <a:ln w="9525" cap="flat" cmpd="sng" algn="ctr">
                <a:solidFill>
                  <a:schemeClr val="tx1">
                    <a:lumMod val="65000"/>
                    <a:lumOff val="35000"/>
                  </a:schemeClr>
                </a:solidFill>
                <a:round/>
              </a:ln>
              <a:effectLst/>
            </c:spPr>
          </c:errBars>
          <c:cat>
            <c:strRef>
              <c:f>'S3.3.2 sys. imp. - sens.anal.'!$C$46:$L$46</c:f>
              <c:strCache>
                <c:ptCount val="9"/>
                <c:pt idx="0">
                  <c:v>no mech rec + WTE</c:v>
                </c:pt>
                <c:pt idx="1">
                  <c:v>max mech rec + WTE</c:v>
                </c:pt>
                <c:pt idx="2">
                  <c:v>max mech rec + max cem + WTE</c:v>
                </c:pt>
                <c:pt idx="3">
                  <c:v>max mech rec + WTE with CC</c:v>
                </c:pt>
                <c:pt idx="5">
                  <c:v>max mech rec + gasif + WTE</c:v>
                </c:pt>
                <c:pt idx="6">
                  <c:v>max mech rec + pyro + WTE</c:v>
                </c:pt>
                <c:pt idx="7">
                  <c:v>max mech rec + max depoly + dissol/pyro/gasif + WTE</c:v>
                </c:pt>
                <c:pt idx="8">
                  <c:v>max mech rec + max dissol + depoly/pyro/gasif + WTE</c:v>
                </c:pt>
              </c:strCache>
            </c:strRef>
          </c:cat>
          <c:val>
            <c:numRef>
              <c:f>'S3.3.2 sys. imp. - sens.anal.'!$C$50:$L$50</c:f>
              <c:numCache>
                <c:formatCode>0.0</c:formatCode>
                <c:ptCount val="10"/>
                <c:pt idx="0">
                  <c:v>0</c:v>
                </c:pt>
                <c:pt idx="1">
                  <c:v>0</c:v>
                </c:pt>
                <c:pt idx="5">
                  <c:v>0.3239856891854771</c:v>
                </c:pt>
                <c:pt idx="6">
                  <c:v>9.2077084119014913E-2</c:v>
                </c:pt>
                <c:pt idx="7">
                  <c:v>-4.7013419176893876E-4</c:v>
                </c:pt>
                <c:pt idx="8">
                  <c:v>-1.5274908509820507E-2</c:v>
                </c:pt>
              </c:numCache>
            </c:numRef>
          </c:val>
          <c:extLst>
            <c:ext xmlns:c16="http://schemas.microsoft.com/office/drawing/2014/chart" uri="{C3380CC4-5D6E-409C-BE32-E72D297353CC}">
              <c16:uniqueId val="{00000003-4881-4521-A10B-98CBF6694655}"/>
            </c:ext>
          </c:extLst>
        </c:ser>
        <c:dLbls>
          <c:showLegendKey val="0"/>
          <c:showVal val="0"/>
          <c:showCatName val="0"/>
          <c:showSerName val="0"/>
          <c:showPercent val="0"/>
          <c:showBubbleSize val="0"/>
        </c:dLbls>
        <c:gapWidth val="0"/>
        <c:overlap val="100"/>
        <c:axId val="1698371679"/>
        <c:axId val="1483904959"/>
      </c:barChart>
      <c:catAx>
        <c:axId val="1698371679"/>
        <c:scaling>
          <c:orientation val="maxMin"/>
        </c:scaling>
        <c:delete val="0"/>
        <c:axPos val="l"/>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0" spcFirstLastPara="1" vertOverflow="ellipsis" wrap="square" anchor="ctr" anchorCtr="1"/>
          <a:lstStyle/>
          <a:p>
            <a:pPr>
              <a:defRPr lang="en-CH" sz="16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CH"/>
          </a:p>
        </c:txPr>
        <c:crossAx val="1483904959"/>
        <c:crosses val="autoZero"/>
        <c:auto val="1"/>
        <c:lblAlgn val="ctr"/>
        <c:lblOffset val="100"/>
        <c:noMultiLvlLbl val="0"/>
      </c:catAx>
      <c:valAx>
        <c:axId val="1483904959"/>
        <c:scaling>
          <c:orientation val="minMax"/>
          <c:max val="6"/>
          <c:min val="-2"/>
        </c:scaling>
        <c:delete val="0"/>
        <c:axPos val="t"/>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lang="en-CH" sz="14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de-CH" sz="1400" b="0" i="1" baseline="0">
                    <a:effectLst/>
                  </a:rPr>
                  <a:t>climate change impact</a:t>
                </a:r>
                <a:endParaRPr lang="en-CH" sz="1400">
                  <a:effectLst/>
                </a:endParaRPr>
              </a:p>
              <a:p>
                <a:pPr>
                  <a:defRPr sz="1400"/>
                </a:pPr>
                <a:r>
                  <a:rPr lang="de-CH" sz="1400" b="0" i="1" baseline="0">
                    <a:effectLst/>
                  </a:rPr>
                  <a:t>[Mt CO2-eq]</a:t>
                </a:r>
                <a:endParaRPr lang="en-CH" sz="1400">
                  <a:effectLst/>
                </a:endParaRPr>
              </a:p>
            </c:rich>
          </c:tx>
          <c:overlay val="0"/>
          <c:spPr>
            <a:noFill/>
            <a:ln>
              <a:noFill/>
            </a:ln>
            <a:effectLst/>
          </c:spPr>
          <c:txPr>
            <a:bodyPr rot="0" spcFirstLastPara="1" vertOverflow="ellipsis" vert="horz" wrap="square" anchor="ctr" anchorCtr="1"/>
            <a:lstStyle/>
            <a:p>
              <a:pPr>
                <a:defRPr lang="en-CH" sz="14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CH"/>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lang="en-CH" sz="14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CH"/>
          </a:p>
        </c:txPr>
        <c:crossAx val="1698371679"/>
        <c:crosses val="autoZero"/>
        <c:crossBetween val="between"/>
        <c:majorUnit val="1"/>
      </c:valAx>
      <c:spPr>
        <a:noFill/>
        <a:ln>
          <a:noFill/>
        </a:ln>
        <a:effectLst/>
      </c:spPr>
    </c:plotArea>
    <c:legend>
      <c:legendPos val="b"/>
      <c:layout>
        <c:manualLayout>
          <c:xMode val="edge"/>
          <c:yMode val="edge"/>
          <c:x val="0.43899070112620453"/>
          <c:y val="0.71426305031091109"/>
          <c:w val="0.5407049590945"/>
          <c:h val="0.28573694968908897"/>
        </c:manualLayout>
      </c:layout>
      <c:overlay val="0"/>
      <c:spPr>
        <a:noFill/>
        <a:ln>
          <a:noFill/>
        </a:ln>
        <a:effectLst/>
      </c:spPr>
      <c:txPr>
        <a:bodyPr rot="0" spcFirstLastPara="1" vertOverflow="ellipsis" vert="horz" wrap="square" anchor="ctr" anchorCtr="1"/>
        <a:lstStyle/>
        <a:p>
          <a:pPr>
            <a:defRPr lang="en-CH" sz="16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C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CH" sz="16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CH"/>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51797037268344381"/>
          <c:y val="0.14458961225092895"/>
          <c:w val="0.47212270749451563"/>
          <c:h val="0.6347016303573576"/>
        </c:manualLayout>
      </c:layout>
      <c:barChart>
        <c:barDir val="bar"/>
        <c:grouping val="stacked"/>
        <c:varyColors val="0"/>
        <c:ser>
          <c:idx val="1"/>
          <c:order val="0"/>
          <c:tx>
            <c:strRef>
              <c:f>'S3.3.2 sys. imp. - sens.anal.'!$B$27</c:f>
              <c:strCache>
                <c:ptCount val="1"/>
                <c:pt idx="0">
                  <c:v>primary production and mechanical recycling</c:v>
                </c:pt>
              </c:strCache>
            </c:strRef>
          </c:tx>
          <c:spPr>
            <a:solidFill>
              <a:schemeClr val="accent2"/>
            </a:solidFill>
            <a:ln>
              <a:noFill/>
            </a:ln>
            <a:effectLst/>
          </c:spPr>
          <c:invertIfNegative val="0"/>
          <c:cat>
            <c:multiLvlStrRef>
              <c:f>'S3.3.2 sys. imp. - sens.anal.'!$C$23:$L$24</c:f>
              <c:multiLvlStrCache>
                <c:ptCount val="10"/>
                <c:lvl>
                  <c:pt idx="0">
                    <c:v>no mech rec + WTE</c:v>
                  </c:pt>
                  <c:pt idx="2">
                    <c:v>max mech rec + WTE</c:v>
                  </c:pt>
                  <c:pt idx="3">
                    <c:v>max mech rec + max cem + WTE</c:v>
                  </c:pt>
                  <c:pt idx="4">
                    <c:v>max mech rec + WTE with CC</c:v>
                  </c:pt>
                  <c:pt idx="6">
                    <c:v>max mech rec + gasif + WTE</c:v>
                  </c:pt>
                  <c:pt idx="7">
                    <c:v>max mech rec + pyro + WTE</c:v>
                  </c:pt>
                  <c:pt idx="8">
                    <c:v>max mech rec + max depoly + dissol/pyro/gasif + WTE</c:v>
                  </c:pt>
                  <c:pt idx="9">
                    <c:v>max mech rec + max dissol + depoly/pyro/gasif + WTE</c:v>
                  </c:pt>
                </c:lvl>
                <c:lvl>
                  <c:pt idx="2">
                    <c:v>mechanical recycling</c:v>
                  </c:pt>
                  <c:pt idx="5">
                    <c:v>mechanical &amp; chemical recycling</c:v>
                  </c:pt>
                </c:lvl>
              </c:multiLvlStrCache>
            </c:multiLvlStrRef>
          </c:cat>
          <c:val>
            <c:numRef>
              <c:f>'S3.3.2 sys. imp. - sens.anal.'!$C$27:$L$27</c:f>
              <c:numCache>
                <c:formatCode>General</c:formatCode>
                <c:ptCount val="10"/>
                <c:pt idx="0" formatCode="0.0">
                  <c:v>2.9816457264774963</c:v>
                </c:pt>
                <c:pt idx="2" formatCode="0.0">
                  <c:v>2.3760008153407792</c:v>
                </c:pt>
                <c:pt idx="3" formatCode="0.0">
                  <c:v>2.3760008153407792</c:v>
                </c:pt>
                <c:pt idx="4" formatCode="0.0">
                  <c:v>2.3760008153407792</c:v>
                </c:pt>
                <c:pt idx="6" formatCode="0.0">
                  <c:v>2.3760008153407792</c:v>
                </c:pt>
                <c:pt idx="7" formatCode="0.0">
                  <c:v>2.3760008153407792</c:v>
                </c:pt>
                <c:pt idx="8" formatCode="0.0">
                  <c:v>2.3760008153407792</c:v>
                </c:pt>
                <c:pt idx="9" formatCode="0.0">
                  <c:v>2.3760008153407792</c:v>
                </c:pt>
              </c:numCache>
            </c:numRef>
          </c:val>
          <c:extLst>
            <c:ext xmlns:c16="http://schemas.microsoft.com/office/drawing/2014/chart" uri="{C3380CC4-5D6E-409C-BE32-E72D297353CC}">
              <c16:uniqueId val="{00000000-F4F5-4B61-8C18-5615761D7D15}"/>
            </c:ext>
          </c:extLst>
        </c:ser>
        <c:ser>
          <c:idx val="0"/>
          <c:order val="1"/>
          <c:tx>
            <c:strRef>
              <c:f>'S3.3.2 sys. imp. - sens.anal.'!$B$25</c:f>
              <c:strCache>
                <c:ptCount val="1"/>
                <c:pt idx="0">
                  <c:v>incineration in WTE plants</c:v>
                </c:pt>
              </c:strCache>
            </c:strRef>
          </c:tx>
          <c:spPr>
            <a:solidFill>
              <a:schemeClr val="bg1">
                <a:lumMod val="75000"/>
              </a:schemeClr>
            </a:solidFill>
            <a:ln>
              <a:noFill/>
            </a:ln>
            <a:effectLst/>
          </c:spPr>
          <c:invertIfNegative val="0"/>
          <c:cat>
            <c:multiLvlStrRef>
              <c:f>'S3.3.2 sys. imp. - sens.anal.'!$C$23:$L$24</c:f>
              <c:multiLvlStrCache>
                <c:ptCount val="10"/>
                <c:lvl>
                  <c:pt idx="0">
                    <c:v>no mech rec + WTE</c:v>
                  </c:pt>
                  <c:pt idx="2">
                    <c:v>max mech rec + WTE</c:v>
                  </c:pt>
                  <c:pt idx="3">
                    <c:v>max mech rec + max cem + WTE</c:v>
                  </c:pt>
                  <c:pt idx="4">
                    <c:v>max mech rec + WTE with CC</c:v>
                  </c:pt>
                  <c:pt idx="6">
                    <c:v>max mech rec + gasif + WTE</c:v>
                  </c:pt>
                  <c:pt idx="7">
                    <c:v>max mech rec + pyro + WTE</c:v>
                  </c:pt>
                  <c:pt idx="8">
                    <c:v>max mech rec + max depoly + dissol/pyro/gasif + WTE</c:v>
                  </c:pt>
                  <c:pt idx="9">
                    <c:v>max mech rec + max dissol + depoly/pyro/gasif + WTE</c:v>
                  </c:pt>
                </c:lvl>
                <c:lvl>
                  <c:pt idx="2">
                    <c:v>mechanical recycling</c:v>
                  </c:pt>
                  <c:pt idx="5">
                    <c:v>mechanical &amp; chemical recycling</c:v>
                  </c:pt>
                </c:lvl>
              </c:multiLvlStrCache>
            </c:multiLvlStrRef>
          </c:cat>
          <c:val>
            <c:numRef>
              <c:f>'S3.3.2 sys. imp. - sens.anal.'!$C$25:$L$25</c:f>
              <c:numCache>
                <c:formatCode>General</c:formatCode>
                <c:ptCount val="10"/>
                <c:pt idx="0" formatCode="0.0">
                  <c:v>2.4041560140200042</c:v>
                </c:pt>
                <c:pt idx="2" formatCode="0.0">
                  <c:v>1.6102706137411509</c:v>
                </c:pt>
                <c:pt idx="3" formatCode="0.0">
                  <c:v>1.225685930388039</c:v>
                </c:pt>
                <c:pt idx="4" formatCode="0.00">
                  <c:v>0.1142348021050115</c:v>
                </c:pt>
                <c:pt idx="6" formatCode="0.0">
                  <c:v>0.60277828550392565</c:v>
                </c:pt>
                <c:pt idx="7" formatCode="0.0">
                  <c:v>0.60277828550392565</c:v>
                </c:pt>
                <c:pt idx="8" formatCode="0.0">
                  <c:v>0.60277828550392565</c:v>
                </c:pt>
                <c:pt idx="9" formatCode="0.0">
                  <c:v>0.60277828550392565</c:v>
                </c:pt>
              </c:numCache>
            </c:numRef>
          </c:val>
          <c:extLst>
            <c:ext xmlns:c16="http://schemas.microsoft.com/office/drawing/2014/chart" uri="{C3380CC4-5D6E-409C-BE32-E72D297353CC}">
              <c16:uniqueId val="{00000001-F4F5-4B61-8C18-5615761D7D15}"/>
            </c:ext>
          </c:extLst>
        </c:ser>
        <c:ser>
          <c:idx val="2"/>
          <c:order val="2"/>
          <c:tx>
            <c:strRef>
              <c:f>'S3.3.2 sys. imp. - sens.anal.'!$B$28</c:f>
              <c:strCache>
                <c:ptCount val="1"/>
                <c:pt idx="0">
                  <c:v>chemical recycling (net)</c:v>
                </c:pt>
              </c:strCache>
            </c:strRef>
          </c:tx>
          <c:spPr>
            <a:solidFill>
              <a:srgbClr val="FF66FF"/>
            </a:solidFill>
            <a:ln>
              <a:noFill/>
            </a:ln>
            <a:effectLst/>
          </c:spPr>
          <c:invertIfNegative val="0"/>
          <c:errBars>
            <c:errBarType val="both"/>
            <c:errValType val="cust"/>
            <c:noEndCap val="0"/>
            <c:plus>
              <c:numRef>
                <c:f>'S3.3.2 sys. imp. - sens.anal.'!$C$29:$L$29</c:f>
                <c:numCache>
                  <c:formatCode>General</c:formatCode>
                  <c:ptCount val="10"/>
                  <c:pt idx="6">
                    <c:v>0.38137665636199525</c:v>
                  </c:pt>
                  <c:pt idx="7">
                    <c:v>0.52971766125982567</c:v>
                  </c:pt>
                  <c:pt idx="8">
                    <c:v>0.36635976119336866</c:v>
                  </c:pt>
                  <c:pt idx="9">
                    <c:v>0.32682491663869145</c:v>
                  </c:pt>
                </c:numCache>
              </c:numRef>
            </c:plus>
            <c:minus>
              <c:numRef>
                <c:f>'S3.3.2 sys. imp. - sens.anal.'!$C$30:$L$30</c:f>
                <c:numCache>
                  <c:formatCode>General</c:formatCode>
                  <c:ptCount val="10"/>
                  <c:pt idx="6">
                    <c:v>0.48077788936763022</c:v>
                  </c:pt>
                  <c:pt idx="7">
                    <c:v>0.39798200512119375</c:v>
                  </c:pt>
                  <c:pt idx="8">
                    <c:v>0.38319730238767752</c:v>
                  </c:pt>
                  <c:pt idx="9">
                    <c:v>0.34287456383386761</c:v>
                  </c:pt>
                </c:numCache>
              </c:numRef>
            </c:minus>
            <c:spPr>
              <a:noFill/>
              <a:ln w="9525" cap="flat" cmpd="sng" algn="ctr">
                <a:solidFill>
                  <a:schemeClr val="tx1">
                    <a:lumMod val="65000"/>
                    <a:lumOff val="35000"/>
                  </a:schemeClr>
                </a:solidFill>
                <a:round/>
              </a:ln>
              <a:effectLst/>
            </c:spPr>
          </c:errBars>
          <c:cat>
            <c:multiLvlStrRef>
              <c:f>'S3.3.2 sys. imp. - sens.anal.'!$C$23:$L$24</c:f>
              <c:multiLvlStrCache>
                <c:ptCount val="10"/>
                <c:lvl>
                  <c:pt idx="0">
                    <c:v>no mech rec + WTE</c:v>
                  </c:pt>
                  <c:pt idx="2">
                    <c:v>max mech rec + WTE</c:v>
                  </c:pt>
                  <c:pt idx="3">
                    <c:v>max mech rec + max cem + WTE</c:v>
                  </c:pt>
                  <c:pt idx="4">
                    <c:v>max mech rec + WTE with CC</c:v>
                  </c:pt>
                  <c:pt idx="6">
                    <c:v>max mech rec + gasif + WTE</c:v>
                  </c:pt>
                  <c:pt idx="7">
                    <c:v>max mech rec + pyro + WTE</c:v>
                  </c:pt>
                  <c:pt idx="8">
                    <c:v>max mech rec + max depoly + dissol/pyro/gasif + WTE</c:v>
                  </c:pt>
                  <c:pt idx="9">
                    <c:v>max mech rec + max dissol + depoly/pyro/gasif + WTE</c:v>
                  </c:pt>
                </c:lvl>
                <c:lvl>
                  <c:pt idx="2">
                    <c:v>mechanical recycling</c:v>
                  </c:pt>
                  <c:pt idx="5">
                    <c:v>mechanical &amp; chemical recycling</c:v>
                  </c:pt>
                </c:lvl>
              </c:multiLvlStrCache>
            </c:multiLvlStrRef>
          </c:cat>
          <c:val>
            <c:numRef>
              <c:f>'S3.3.2 sys. imp. - sens.anal.'!$C$28:$L$28</c:f>
              <c:numCache>
                <c:formatCode>General</c:formatCode>
                <c:ptCount val="10"/>
                <c:pt idx="0" formatCode="0.0">
                  <c:v>0</c:v>
                </c:pt>
                <c:pt idx="2" formatCode="0.0">
                  <c:v>0</c:v>
                </c:pt>
                <c:pt idx="3" formatCode="0.0">
                  <c:v>0</c:v>
                </c:pt>
                <c:pt idx="4">
                  <c:v>0</c:v>
                </c:pt>
                <c:pt idx="6" formatCode="0.0">
                  <c:v>0.3239856891854771</c:v>
                </c:pt>
                <c:pt idx="7" formatCode="0.0">
                  <c:v>9.2077084119014913E-2</c:v>
                </c:pt>
                <c:pt idx="8" formatCode="0.0">
                  <c:v>-4.7013419176893876E-4</c:v>
                </c:pt>
                <c:pt idx="9" formatCode="0.0">
                  <c:v>-1.5274908509820507E-2</c:v>
                </c:pt>
              </c:numCache>
            </c:numRef>
          </c:val>
          <c:extLst>
            <c:ext xmlns:c16="http://schemas.microsoft.com/office/drawing/2014/chart" uri="{C3380CC4-5D6E-409C-BE32-E72D297353CC}">
              <c16:uniqueId val="{00000002-F4F5-4B61-8C18-5615761D7D15}"/>
            </c:ext>
          </c:extLst>
        </c:ser>
        <c:ser>
          <c:idx val="3"/>
          <c:order val="3"/>
          <c:tx>
            <c:strRef>
              <c:f>'S3.3.2 sys. imp. - sens.anal.'!$B$26</c:f>
              <c:strCache>
                <c:ptCount val="1"/>
                <c:pt idx="0">
                  <c:v>incineration in cement kilns</c:v>
                </c:pt>
              </c:strCache>
            </c:strRef>
          </c:tx>
          <c:spPr>
            <a:solidFill>
              <a:schemeClr val="bg1">
                <a:lumMod val="50000"/>
              </a:schemeClr>
            </a:solidFill>
            <a:ln>
              <a:noFill/>
            </a:ln>
            <a:effectLst/>
          </c:spPr>
          <c:invertIfNegative val="0"/>
          <c:cat>
            <c:multiLvlStrRef>
              <c:f>'S3.3.2 sys. imp. - sens.anal.'!$C$23:$L$24</c:f>
              <c:multiLvlStrCache>
                <c:ptCount val="10"/>
                <c:lvl>
                  <c:pt idx="0">
                    <c:v>no mech rec + WTE</c:v>
                  </c:pt>
                  <c:pt idx="2">
                    <c:v>max mech rec + WTE</c:v>
                  </c:pt>
                  <c:pt idx="3">
                    <c:v>max mech rec + max cem + WTE</c:v>
                  </c:pt>
                  <c:pt idx="4">
                    <c:v>max mech rec + WTE with CC</c:v>
                  </c:pt>
                  <c:pt idx="6">
                    <c:v>max mech rec + gasif + WTE</c:v>
                  </c:pt>
                  <c:pt idx="7">
                    <c:v>max mech rec + pyro + WTE</c:v>
                  </c:pt>
                  <c:pt idx="8">
                    <c:v>max mech rec + max depoly + dissol/pyro/gasif + WTE</c:v>
                  </c:pt>
                  <c:pt idx="9">
                    <c:v>max mech rec + max dissol + depoly/pyro/gasif + WTE</c:v>
                  </c:pt>
                </c:lvl>
                <c:lvl>
                  <c:pt idx="2">
                    <c:v>mechanical recycling</c:v>
                  </c:pt>
                  <c:pt idx="5">
                    <c:v>mechanical &amp; chemical recycling</c:v>
                  </c:pt>
                </c:lvl>
              </c:multiLvlStrCache>
            </c:multiLvlStrRef>
          </c:cat>
          <c:val>
            <c:numRef>
              <c:f>'S3.3.2 sys. imp. - sens.anal.'!$C$26:$L$26</c:f>
              <c:numCache>
                <c:formatCode>General</c:formatCode>
                <c:ptCount val="10"/>
                <c:pt idx="0">
                  <c:v>0</c:v>
                </c:pt>
                <c:pt idx="2">
                  <c:v>0</c:v>
                </c:pt>
                <c:pt idx="3" formatCode="_(* #,##0.00_);_(* \(#,##0.00\);_(* &quot;-&quot;??_);_(@_)">
                  <c:v>-0.1800017252587984</c:v>
                </c:pt>
                <c:pt idx="4">
                  <c:v>0</c:v>
                </c:pt>
                <c:pt idx="6">
                  <c:v>0</c:v>
                </c:pt>
                <c:pt idx="7">
                  <c:v>0</c:v>
                </c:pt>
                <c:pt idx="8">
                  <c:v>0</c:v>
                </c:pt>
                <c:pt idx="9">
                  <c:v>0</c:v>
                </c:pt>
              </c:numCache>
            </c:numRef>
          </c:val>
          <c:extLst>
            <c:ext xmlns:c16="http://schemas.microsoft.com/office/drawing/2014/chart" uri="{C3380CC4-5D6E-409C-BE32-E72D297353CC}">
              <c16:uniqueId val="{00000003-F4F5-4B61-8C18-5615761D7D15}"/>
            </c:ext>
          </c:extLst>
        </c:ser>
        <c:dLbls>
          <c:showLegendKey val="0"/>
          <c:showVal val="0"/>
          <c:showCatName val="0"/>
          <c:showSerName val="0"/>
          <c:showPercent val="0"/>
          <c:showBubbleSize val="0"/>
        </c:dLbls>
        <c:gapWidth val="0"/>
        <c:overlap val="100"/>
        <c:axId val="1698371679"/>
        <c:axId val="1483904959"/>
      </c:barChart>
      <c:catAx>
        <c:axId val="1698371679"/>
        <c:scaling>
          <c:orientation val="maxMin"/>
        </c:scaling>
        <c:delete val="0"/>
        <c:axPos val="l"/>
        <c:numFmt formatCode="General" sourceLinked="1"/>
        <c:majorTickMark val="none"/>
        <c:minorTickMark val="none"/>
        <c:tickLblPos val="low"/>
        <c:spPr>
          <a:noFill/>
          <a:ln w="9525" cap="flat" cmpd="sng" algn="ctr">
            <a:noFill/>
            <a:round/>
          </a:ln>
          <a:effectLst/>
        </c:spPr>
        <c:txPr>
          <a:bodyPr rot="0" spcFirstLastPara="1" vertOverflow="ellipsis" wrap="square" anchor="ctr" anchorCtr="0"/>
          <a:lstStyle/>
          <a:p>
            <a:pPr>
              <a:defRPr sz="16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CH"/>
          </a:p>
        </c:txPr>
        <c:crossAx val="1483904959"/>
        <c:crosses val="autoZero"/>
        <c:auto val="1"/>
        <c:lblAlgn val="ctr"/>
        <c:lblOffset val="100"/>
        <c:noMultiLvlLbl val="0"/>
      </c:catAx>
      <c:valAx>
        <c:axId val="1483904959"/>
        <c:scaling>
          <c:orientation val="minMax"/>
          <c:max val="6"/>
          <c:min val="-2"/>
        </c:scaling>
        <c:delete val="0"/>
        <c:axPos val="t"/>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1"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de-CH" sz="1400" i="1"/>
                  <a:t>climate change impact</a:t>
                </a:r>
              </a:p>
              <a:p>
                <a:pPr>
                  <a:defRPr sz="1400" i="1"/>
                </a:pPr>
                <a:r>
                  <a:rPr lang="de-CH" sz="1400" i="1"/>
                  <a:t>[Mt CO2-eq]</a:t>
                </a:r>
              </a:p>
            </c:rich>
          </c:tx>
          <c:layout>
            <c:manualLayout>
              <c:xMode val="edge"/>
              <c:yMode val="edge"/>
              <c:x val="0.68657379151112563"/>
              <c:y val="7.6389323303056285E-3"/>
            </c:manualLayout>
          </c:layout>
          <c:overlay val="0"/>
          <c:spPr>
            <a:noFill/>
            <a:ln>
              <a:noFill/>
            </a:ln>
            <a:effectLst/>
          </c:spPr>
          <c:txPr>
            <a:bodyPr rot="0" spcFirstLastPara="1" vertOverflow="ellipsis" vert="horz" wrap="square" anchor="ctr" anchorCtr="1"/>
            <a:lstStyle/>
            <a:p>
              <a:pPr>
                <a:defRPr sz="1400" b="0" i="1"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CH"/>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CH"/>
          </a:p>
        </c:txPr>
        <c:crossAx val="1698371679"/>
        <c:crosses val="autoZero"/>
        <c:crossBetween val="between"/>
        <c:majorUnit val="1"/>
        <c:minorUnit val="1"/>
      </c:valAx>
      <c:spPr>
        <a:noFill/>
        <a:ln w="25400">
          <a:noFill/>
        </a:ln>
        <a:effectLst/>
      </c:spPr>
    </c:plotArea>
    <c:legend>
      <c:legendPos val="r"/>
      <c:layout>
        <c:manualLayout>
          <c:xMode val="edge"/>
          <c:yMode val="edge"/>
          <c:x val="0.59158934060462687"/>
          <c:y val="0.78582908419823783"/>
          <c:w val="0.36236479023462925"/>
          <c:h val="0.17192954583155737"/>
        </c:manualLayout>
      </c:layout>
      <c:overlay val="0"/>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C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600">
          <a:solidFill>
            <a:sysClr val="windowText" lastClr="000000"/>
          </a:solidFill>
          <a:latin typeface="Arial" panose="020B0604020202020204" pitchFamily="34" charset="0"/>
          <a:cs typeface="Arial" panose="020B0604020202020204" pitchFamily="34" charset="0"/>
        </a:defRPr>
      </a:pPr>
      <a:endParaRPr lang="en-CH"/>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1"/>
          <c:order val="0"/>
          <c:tx>
            <c:strRef>
              <c:f>'S4.1 LCA chem rec Schwarz'!$L$6</c:f>
              <c:strCache>
                <c:ptCount val="1"/>
                <c:pt idx="0">
                  <c:v>Gasification (Monomers)</c:v>
                </c:pt>
              </c:strCache>
            </c:strRef>
          </c:tx>
          <c:spPr>
            <a:solidFill>
              <a:schemeClr val="accent1">
                <a:lumMod val="20000"/>
                <a:lumOff val="80000"/>
              </a:schemeClr>
            </a:solidFill>
            <a:ln>
              <a:noFill/>
            </a:ln>
            <a:effectLst/>
          </c:spPr>
          <c:invertIfNegative val="0"/>
          <c:cat>
            <c:strRef>
              <c:f>'S4.1 LCA chem rec Schwarz'!$A$7:$A$17</c:f>
              <c:strCache>
                <c:ptCount val="11"/>
                <c:pt idx="0">
                  <c:v>HDPE</c:v>
                </c:pt>
                <c:pt idx="1">
                  <c:v>LDPE</c:v>
                </c:pt>
                <c:pt idx="2">
                  <c:v>PET</c:v>
                </c:pt>
                <c:pt idx="3">
                  <c:v>PP</c:v>
                </c:pt>
                <c:pt idx="4">
                  <c:v>PS</c:v>
                </c:pt>
                <c:pt idx="5">
                  <c:v>PVC</c:v>
                </c:pt>
                <c:pt idx="6">
                  <c:v>ABS</c:v>
                </c:pt>
                <c:pt idx="7">
                  <c:v>HIPS</c:v>
                </c:pt>
                <c:pt idx="8">
                  <c:v>PA</c:v>
                </c:pt>
                <c:pt idx="9">
                  <c:v>PC</c:v>
                </c:pt>
                <c:pt idx="10">
                  <c:v>PUR</c:v>
                </c:pt>
              </c:strCache>
            </c:strRef>
          </c:cat>
          <c:val>
            <c:numRef>
              <c:f>'S4.1 LCA chem rec Schwarz'!$L$7:$L$17</c:f>
              <c:numCache>
                <c:formatCode>0.0</c:formatCode>
                <c:ptCount val="11"/>
                <c:pt idx="0">
                  <c:v>-1.4154</c:v>
                </c:pt>
                <c:pt idx="1">
                  <c:v>-1.52664</c:v>
                </c:pt>
                <c:pt idx="2">
                  <c:v>-0.40646000000000004</c:v>
                </c:pt>
                <c:pt idx="3">
                  <c:v>-1.2891599999999999</c:v>
                </c:pt>
                <c:pt idx="4">
                  <c:v>-1.3441300000000003</c:v>
                </c:pt>
                <c:pt idx="5">
                  <c:v>-0.65131000000000006</c:v>
                </c:pt>
                <c:pt idx="6">
                  <c:v>-0.74757999999999969</c:v>
                </c:pt>
                <c:pt idx="7">
                  <c:v>-1.2391999999999999</c:v>
                </c:pt>
                <c:pt idx="8">
                  <c:v>-1.6191999999999993</c:v>
                </c:pt>
                <c:pt idx="9">
                  <c:v>-1.0098799999999999</c:v>
                </c:pt>
                <c:pt idx="10">
                  <c:v>-1.1051599999999997</c:v>
                </c:pt>
              </c:numCache>
            </c:numRef>
          </c:val>
          <c:extLst>
            <c:ext xmlns:c16="http://schemas.microsoft.com/office/drawing/2014/chart" uri="{C3380CC4-5D6E-409C-BE32-E72D297353CC}">
              <c16:uniqueId val="{00000000-C523-4B96-A79F-B7E536C45C25}"/>
            </c:ext>
          </c:extLst>
        </c:ser>
        <c:ser>
          <c:idx val="0"/>
          <c:order val="1"/>
          <c:tx>
            <c:strRef>
              <c:f>'S4.1 LCA chem rec Schwarz'!$M$6</c:f>
              <c:strCache>
                <c:ptCount val="1"/>
                <c:pt idx="0">
                  <c:v>Gasification (Energy)</c:v>
                </c:pt>
              </c:strCache>
            </c:strRef>
          </c:tx>
          <c:spPr>
            <a:solidFill>
              <a:schemeClr val="accent1">
                <a:lumMod val="50000"/>
              </a:schemeClr>
            </a:solidFill>
            <a:ln>
              <a:noFill/>
            </a:ln>
            <a:effectLst/>
          </c:spPr>
          <c:invertIfNegative val="0"/>
          <c:cat>
            <c:strRef>
              <c:f>'S4.1 LCA chem rec Schwarz'!$A$7:$A$17</c:f>
              <c:strCache>
                <c:ptCount val="11"/>
                <c:pt idx="0">
                  <c:v>HDPE</c:v>
                </c:pt>
                <c:pt idx="1">
                  <c:v>LDPE</c:v>
                </c:pt>
                <c:pt idx="2">
                  <c:v>PET</c:v>
                </c:pt>
                <c:pt idx="3">
                  <c:v>PP</c:v>
                </c:pt>
                <c:pt idx="4">
                  <c:v>PS</c:v>
                </c:pt>
                <c:pt idx="5">
                  <c:v>PVC</c:v>
                </c:pt>
                <c:pt idx="6">
                  <c:v>ABS</c:v>
                </c:pt>
                <c:pt idx="7">
                  <c:v>HIPS</c:v>
                </c:pt>
                <c:pt idx="8">
                  <c:v>PA</c:v>
                </c:pt>
                <c:pt idx="9">
                  <c:v>PC</c:v>
                </c:pt>
                <c:pt idx="10">
                  <c:v>PUR</c:v>
                </c:pt>
              </c:strCache>
            </c:strRef>
          </c:cat>
          <c:val>
            <c:numRef>
              <c:f>'S4.1 LCA chem rec Schwarz'!$M$7:$M$17</c:f>
              <c:numCache>
                <c:formatCode>0.000</c:formatCode>
                <c:ptCount val="11"/>
                <c:pt idx="0" formatCode="0.00">
                  <c:v>-0.8153999999999999</c:v>
                </c:pt>
                <c:pt idx="1">
                  <c:v>-0.92664000000000035</c:v>
                </c:pt>
                <c:pt idx="2" formatCode="0.00">
                  <c:v>0.29353999999999969</c:v>
                </c:pt>
                <c:pt idx="3" formatCode="0.00">
                  <c:v>-0.78915999999999986</c:v>
                </c:pt>
                <c:pt idx="4" formatCode="0.00">
                  <c:v>-0.14413000000000009</c:v>
                </c:pt>
                <c:pt idx="5" formatCode="0.00">
                  <c:v>-0.65131000000000006</c:v>
                </c:pt>
                <c:pt idx="6" formatCode="0.00">
                  <c:v>-0.1475799999999996</c:v>
                </c:pt>
                <c:pt idx="7" formatCode="0.00">
                  <c:v>-0.13919999999999977</c:v>
                </c:pt>
                <c:pt idx="8" formatCode="0.00">
                  <c:v>-1.3191999999999995</c:v>
                </c:pt>
                <c:pt idx="9" formatCode="0.00">
                  <c:v>-0.40988000000000024</c:v>
                </c:pt>
                <c:pt idx="10" formatCode="0.00">
                  <c:v>-0.70515999999999934</c:v>
                </c:pt>
              </c:numCache>
            </c:numRef>
          </c:val>
          <c:extLst>
            <c:ext xmlns:c16="http://schemas.microsoft.com/office/drawing/2014/chart" uri="{C3380CC4-5D6E-409C-BE32-E72D297353CC}">
              <c16:uniqueId val="{00000001-C523-4B96-A79F-B7E536C45C25}"/>
            </c:ext>
          </c:extLst>
        </c:ser>
        <c:ser>
          <c:idx val="7"/>
          <c:order val="2"/>
          <c:tx>
            <c:strRef>
              <c:f>'S4.1 LCA chem rec Schwarz'!$N$6</c:f>
              <c:strCache>
                <c:ptCount val="1"/>
                <c:pt idx="0">
                  <c:v>Gasification - average</c:v>
                </c:pt>
              </c:strCache>
            </c:strRef>
          </c:tx>
          <c:spPr>
            <a:solidFill>
              <a:schemeClr val="accent1"/>
            </a:solidFill>
            <a:ln>
              <a:noFill/>
            </a:ln>
            <a:effectLst/>
          </c:spPr>
          <c:invertIfNegative val="0"/>
          <c:val>
            <c:numRef>
              <c:f>'S4.1 LCA chem rec Schwarz'!$N$7:$N$17</c:f>
              <c:numCache>
                <c:formatCode>0.0</c:formatCode>
                <c:ptCount val="11"/>
                <c:pt idx="0">
                  <c:v>-1.1153999999999999</c:v>
                </c:pt>
                <c:pt idx="1">
                  <c:v>-1.2266400000000002</c:v>
                </c:pt>
                <c:pt idx="2">
                  <c:v>-5.6460000000000177E-2</c:v>
                </c:pt>
                <c:pt idx="3">
                  <c:v>-1.0391599999999999</c:v>
                </c:pt>
                <c:pt idx="4">
                  <c:v>-0.74413000000000018</c:v>
                </c:pt>
                <c:pt idx="5">
                  <c:v>-0.65131000000000006</c:v>
                </c:pt>
                <c:pt idx="6">
                  <c:v>-0.44757999999999964</c:v>
                </c:pt>
                <c:pt idx="7">
                  <c:v>-0.68919999999999981</c:v>
                </c:pt>
                <c:pt idx="8">
                  <c:v>-1.4691999999999994</c:v>
                </c:pt>
                <c:pt idx="9">
                  <c:v>-0.70988000000000007</c:v>
                </c:pt>
                <c:pt idx="10">
                  <c:v>-0.90515999999999952</c:v>
                </c:pt>
              </c:numCache>
            </c:numRef>
          </c:val>
          <c:extLst>
            <c:ext xmlns:c16="http://schemas.microsoft.com/office/drawing/2014/chart" uri="{C3380CC4-5D6E-409C-BE32-E72D297353CC}">
              <c16:uniqueId val="{00000002-C523-4B96-A79F-B7E536C45C25}"/>
            </c:ext>
          </c:extLst>
        </c:ser>
        <c:ser>
          <c:idx val="2"/>
          <c:order val="3"/>
          <c:tx>
            <c:strRef>
              <c:f>'S4.1 LCA chem rec Schwarz'!$O$6</c:f>
              <c:strCache>
                <c:ptCount val="1"/>
                <c:pt idx="0">
                  <c:v>Pyrolysis (Monomers)</c:v>
                </c:pt>
              </c:strCache>
            </c:strRef>
          </c:tx>
          <c:spPr>
            <a:solidFill>
              <a:schemeClr val="accent2">
                <a:lumMod val="20000"/>
                <a:lumOff val="80000"/>
              </a:schemeClr>
            </a:solidFill>
            <a:ln>
              <a:noFill/>
            </a:ln>
            <a:effectLst/>
          </c:spPr>
          <c:invertIfNegative val="0"/>
          <c:cat>
            <c:strRef>
              <c:f>'S4.1 LCA chem rec Schwarz'!$A$7:$A$17</c:f>
              <c:strCache>
                <c:ptCount val="11"/>
                <c:pt idx="0">
                  <c:v>HDPE</c:v>
                </c:pt>
                <c:pt idx="1">
                  <c:v>LDPE</c:v>
                </c:pt>
                <c:pt idx="2">
                  <c:v>PET</c:v>
                </c:pt>
                <c:pt idx="3">
                  <c:v>PP</c:v>
                </c:pt>
                <c:pt idx="4">
                  <c:v>PS</c:v>
                </c:pt>
                <c:pt idx="5">
                  <c:v>PVC</c:v>
                </c:pt>
                <c:pt idx="6">
                  <c:v>ABS</c:v>
                </c:pt>
                <c:pt idx="7">
                  <c:v>HIPS</c:v>
                </c:pt>
                <c:pt idx="8">
                  <c:v>PA</c:v>
                </c:pt>
                <c:pt idx="9">
                  <c:v>PC</c:v>
                </c:pt>
                <c:pt idx="10">
                  <c:v>PUR</c:v>
                </c:pt>
              </c:strCache>
            </c:strRef>
          </c:cat>
          <c:val>
            <c:numRef>
              <c:f>'S4.1 LCA chem rec Schwarz'!$O$7:$O$17</c:f>
              <c:numCache>
                <c:formatCode>0.0</c:formatCode>
                <c:ptCount val="11"/>
                <c:pt idx="0">
                  <c:v>-1.0153999999999999</c:v>
                </c:pt>
                <c:pt idx="1">
                  <c:v>-1.1766400000000004</c:v>
                </c:pt>
                <c:pt idx="2">
                  <c:v>-0.10646000000000022</c:v>
                </c:pt>
                <c:pt idx="3">
                  <c:v>-0.98915999999999982</c:v>
                </c:pt>
                <c:pt idx="4">
                  <c:v>-2.2441300000000002</c:v>
                </c:pt>
                <c:pt idx="5">
                  <c:v>-0.45130999999999988</c:v>
                </c:pt>
                <c:pt idx="6">
                  <c:v>-0.44757999999999942</c:v>
                </c:pt>
                <c:pt idx="7">
                  <c:v>-2.0392000000000001</c:v>
                </c:pt>
                <c:pt idx="8">
                  <c:v>-3.5191999999999997</c:v>
                </c:pt>
                <c:pt idx="9">
                  <c:v>-0.80987999999999971</c:v>
                </c:pt>
                <c:pt idx="10">
                  <c:v>-0.80515999999999988</c:v>
                </c:pt>
              </c:numCache>
            </c:numRef>
          </c:val>
          <c:extLst>
            <c:ext xmlns:c16="http://schemas.microsoft.com/office/drawing/2014/chart" uri="{C3380CC4-5D6E-409C-BE32-E72D297353CC}">
              <c16:uniqueId val="{00000003-C523-4B96-A79F-B7E536C45C25}"/>
            </c:ext>
          </c:extLst>
        </c:ser>
        <c:ser>
          <c:idx val="6"/>
          <c:order val="4"/>
          <c:tx>
            <c:strRef>
              <c:f>'S4.1 LCA chem rec Schwarz'!$P$6</c:f>
              <c:strCache>
                <c:ptCount val="1"/>
                <c:pt idx="0">
                  <c:v>Pyrolysis (Wax)</c:v>
                </c:pt>
              </c:strCache>
            </c:strRef>
          </c:tx>
          <c:spPr>
            <a:solidFill>
              <a:schemeClr val="accent2">
                <a:lumMod val="60000"/>
                <a:lumOff val="40000"/>
              </a:schemeClr>
            </a:solidFill>
            <a:ln>
              <a:noFill/>
            </a:ln>
            <a:effectLst/>
          </c:spPr>
          <c:invertIfNegative val="0"/>
          <c:cat>
            <c:strRef>
              <c:f>'S4.1 LCA chem rec Schwarz'!$A$7:$A$17</c:f>
              <c:strCache>
                <c:ptCount val="11"/>
                <c:pt idx="0">
                  <c:v>HDPE</c:v>
                </c:pt>
                <c:pt idx="1">
                  <c:v>LDPE</c:v>
                </c:pt>
                <c:pt idx="2">
                  <c:v>PET</c:v>
                </c:pt>
                <c:pt idx="3">
                  <c:v>PP</c:v>
                </c:pt>
                <c:pt idx="4">
                  <c:v>PS</c:v>
                </c:pt>
                <c:pt idx="5">
                  <c:v>PVC</c:v>
                </c:pt>
                <c:pt idx="6">
                  <c:v>ABS</c:v>
                </c:pt>
                <c:pt idx="7">
                  <c:v>HIPS</c:v>
                </c:pt>
                <c:pt idx="8">
                  <c:v>PA</c:v>
                </c:pt>
                <c:pt idx="9">
                  <c:v>PC</c:v>
                </c:pt>
                <c:pt idx="10">
                  <c:v>PUR</c:v>
                </c:pt>
              </c:strCache>
            </c:strRef>
          </c:cat>
          <c:val>
            <c:numRef>
              <c:f>'S4.1 LCA chem rec Schwarz'!$P$7:$P$17</c:f>
              <c:numCache>
                <c:formatCode>0.0</c:formatCode>
                <c:ptCount val="11"/>
                <c:pt idx="0">
                  <c:v>-0.8153999999999999</c:v>
                </c:pt>
                <c:pt idx="1">
                  <c:v>-0.92664000000000035</c:v>
                </c:pt>
                <c:pt idx="2">
                  <c:v>-6.4600000000001323E-3</c:v>
                </c:pt>
                <c:pt idx="3">
                  <c:v>-0.68915999999999977</c:v>
                </c:pt>
                <c:pt idx="4">
                  <c:v>-0.64413000000000009</c:v>
                </c:pt>
                <c:pt idx="5">
                  <c:v>-0.55130999999999997</c:v>
                </c:pt>
                <c:pt idx="6">
                  <c:v>-0.54757999999999996</c:v>
                </c:pt>
                <c:pt idx="7">
                  <c:v>-0.63919999999999977</c:v>
                </c:pt>
                <c:pt idx="8">
                  <c:v>-1.2691999999999997</c:v>
                </c:pt>
                <c:pt idx="9">
                  <c:v>-0.50987999999999989</c:v>
                </c:pt>
                <c:pt idx="10">
                  <c:v>-0.80515999999999988</c:v>
                </c:pt>
              </c:numCache>
            </c:numRef>
          </c:val>
          <c:extLst>
            <c:ext xmlns:c16="http://schemas.microsoft.com/office/drawing/2014/chart" uri="{C3380CC4-5D6E-409C-BE32-E72D297353CC}">
              <c16:uniqueId val="{00000004-C523-4B96-A79F-B7E536C45C25}"/>
            </c:ext>
          </c:extLst>
        </c:ser>
        <c:ser>
          <c:idx val="3"/>
          <c:order val="5"/>
          <c:tx>
            <c:strRef>
              <c:f>'S4.1 LCA chem rec Schwarz'!$Q$6</c:f>
              <c:strCache>
                <c:ptCount val="1"/>
                <c:pt idx="0">
                  <c:v>Pyrolysis (Energy)</c:v>
                </c:pt>
              </c:strCache>
            </c:strRef>
          </c:tx>
          <c:spPr>
            <a:solidFill>
              <a:schemeClr val="accent2">
                <a:lumMod val="50000"/>
              </a:schemeClr>
            </a:solidFill>
            <a:ln>
              <a:noFill/>
            </a:ln>
            <a:effectLst/>
          </c:spPr>
          <c:invertIfNegative val="0"/>
          <c:cat>
            <c:strRef>
              <c:f>'S4.1 LCA chem rec Schwarz'!$A$7:$A$17</c:f>
              <c:strCache>
                <c:ptCount val="11"/>
                <c:pt idx="0">
                  <c:v>HDPE</c:v>
                </c:pt>
                <c:pt idx="1">
                  <c:v>LDPE</c:v>
                </c:pt>
                <c:pt idx="2">
                  <c:v>PET</c:v>
                </c:pt>
                <c:pt idx="3">
                  <c:v>PP</c:v>
                </c:pt>
                <c:pt idx="4">
                  <c:v>PS</c:v>
                </c:pt>
                <c:pt idx="5">
                  <c:v>PVC</c:v>
                </c:pt>
                <c:pt idx="6">
                  <c:v>ABS</c:v>
                </c:pt>
                <c:pt idx="7">
                  <c:v>HIPS</c:v>
                </c:pt>
                <c:pt idx="8">
                  <c:v>PA</c:v>
                </c:pt>
                <c:pt idx="9">
                  <c:v>PC</c:v>
                </c:pt>
                <c:pt idx="10">
                  <c:v>PUR</c:v>
                </c:pt>
              </c:strCache>
            </c:strRef>
          </c:cat>
          <c:val>
            <c:numRef>
              <c:f>'S4.1 LCA chem rec Schwarz'!$Q$7:$Q$17</c:f>
              <c:numCache>
                <c:formatCode>0.0</c:formatCode>
                <c:ptCount val="11"/>
                <c:pt idx="0">
                  <c:v>-0.51539999999999986</c:v>
                </c:pt>
                <c:pt idx="1">
                  <c:v>-0.67664000000000035</c:v>
                </c:pt>
                <c:pt idx="2">
                  <c:v>0.39353999999999978</c:v>
                </c:pt>
                <c:pt idx="3">
                  <c:v>-0.38915999999999995</c:v>
                </c:pt>
                <c:pt idx="4">
                  <c:v>-0.34413000000000027</c:v>
                </c:pt>
                <c:pt idx="5">
                  <c:v>-0.65131000000000006</c:v>
                </c:pt>
                <c:pt idx="6">
                  <c:v>-0.24757999999999925</c:v>
                </c:pt>
                <c:pt idx="7">
                  <c:v>-0.33919999999999995</c:v>
                </c:pt>
                <c:pt idx="8">
                  <c:v>-0.96919999999999984</c:v>
                </c:pt>
                <c:pt idx="9">
                  <c:v>-0.20988000000000007</c:v>
                </c:pt>
                <c:pt idx="10">
                  <c:v>-0.40515999999999952</c:v>
                </c:pt>
              </c:numCache>
            </c:numRef>
          </c:val>
          <c:extLst>
            <c:ext xmlns:c16="http://schemas.microsoft.com/office/drawing/2014/chart" uri="{C3380CC4-5D6E-409C-BE32-E72D297353CC}">
              <c16:uniqueId val="{00000005-C523-4B96-A79F-B7E536C45C25}"/>
            </c:ext>
          </c:extLst>
        </c:ser>
        <c:ser>
          <c:idx val="8"/>
          <c:order val="6"/>
          <c:tx>
            <c:strRef>
              <c:f>'S4.1 LCA chem rec Schwarz'!$R$6</c:f>
              <c:strCache>
                <c:ptCount val="1"/>
                <c:pt idx="0">
                  <c:v>Pyrolysis - average</c:v>
                </c:pt>
              </c:strCache>
            </c:strRef>
          </c:tx>
          <c:spPr>
            <a:solidFill>
              <a:schemeClr val="accent2"/>
            </a:solidFill>
            <a:ln>
              <a:noFill/>
            </a:ln>
            <a:effectLst/>
          </c:spPr>
          <c:invertIfNegative val="0"/>
          <c:val>
            <c:numRef>
              <c:f>'S4.1 LCA chem rec Schwarz'!$R$7:$R$17</c:f>
              <c:numCache>
                <c:formatCode>0.000</c:formatCode>
                <c:ptCount val="11"/>
                <c:pt idx="0" formatCode="0.00">
                  <c:v>-0.78206666666666658</c:v>
                </c:pt>
                <c:pt idx="1">
                  <c:v>-0.92664000000000035</c:v>
                </c:pt>
                <c:pt idx="2" formatCode="0.00">
                  <c:v>9.3539999999999804E-2</c:v>
                </c:pt>
                <c:pt idx="3" formatCode="0.00">
                  <c:v>-0.68915999999999988</c:v>
                </c:pt>
                <c:pt idx="4" formatCode="0.00">
                  <c:v>-1.0774633333333334</c:v>
                </c:pt>
                <c:pt idx="5" formatCode="0.00">
                  <c:v>-0.55130999999999997</c:v>
                </c:pt>
                <c:pt idx="6" formatCode="0.00">
                  <c:v>-0.41424666666666621</c:v>
                </c:pt>
                <c:pt idx="7" formatCode="0.00">
                  <c:v>-1.0058666666666667</c:v>
                </c:pt>
                <c:pt idx="8" formatCode="0.00">
                  <c:v>-1.9191999999999998</c:v>
                </c:pt>
                <c:pt idx="9" formatCode="0.00">
                  <c:v>-0.50987999999999989</c:v>
                </c:pt>
                <c:pt idx="10" formatCode="0.00">
                  <c:v>-0.67182666666666646</c:v>
                </c:pt>
              </c:numCache>
            </c:numRef>
          </c:val>
          <c:extLst>
            <c:ext xmlns:c16="http://schemas.microsoft.com/office/drawing/2014/chart" uri="{C3380CC4-5D6E-409C-BE32-E72D297353CC}">
              <c16:uniqueId val="{00000006-C523-4B96-A79F-B7E536C45C25}"/>
            </c:ext>
          </c:extLst>
        </c:ser>
        <c:ser>
          <c:idx val="4"/>
          <c:order val="7"/>
          <c:tx>
            <c:strRef>
              <c:f>'S4.1 LCA chem rec Schwarz'!$S$6</c:f>
              <c:strCache>
                <c:ptCount val="1"/>
                <c:pt idx="0">
                  <c:v>Depolymerization</c:v>
                </c:pt>
              </c:strCache>
            </c:strRef>
          </c:tx>
          <c:spPr>
            <a:solidFill>
              <a:srgbClr val="00D9F0"/>
            </a:solidFill>
            <a:ln>
              <a:noFill/>
            </a:ln>
            <a:effectLst/>
          </c:spPr>
          <c:invertIfNegative val="0"/>
          <c:cat>
            <c:strRef>
              <c:f>'S4.1 LCA chem rec Schwarz'!$A$7:$A$17</c:f>
              <c:strCache>
                <c:ptCount val="11"/>
                <c:pt idx="0">
                  <c:v>HDPE</c:v>
                </c:pt>
                <c:pt idx="1">
                  <c:v>LDPE</c:v>
                </c:pt>
                <c:pt idx="2">
                  <c:v>PET</c:v>
                </c:pt>
                <c:pt idx="3">
                  <c:v>PP</c:v>
                </c:pt>
                <c:pt idx="4">
                  <c:v>PS</c:v>
                </c:pt>
                <c:pt idx="5">
                  <c:v>PVC</c:v>
                </c:pt>
                <c:pt idx="6">
                  <c:v>ABS</c:v>
                </c:pt>
                <c:pt idx="7">
                  <c:v>HIPS</c:v>
                </c:pt>
                <c:pt idx="8">
                  <c:v>PA</c:v>
                </c:pt>
                <c:pt idx="9">
                  <c:v>PC</c:v>
                </c:pt>
                <c:pt idx="10">
                  <c:v>PUR</c:v>
                </c:pt>
              </c:strCache>
            </c:strRef>
          </c:cat>
          <c:val>
            <c:numRef>
              <c:f>'S4.1 LCA chem rec Schwarz'!$S$7:$S$17</c:f>
              <c:numCache>
                <c:formatCode>0.0</c:formatCode>
                <c:ptCount val="11"/>
                <c:pt idx="0">
                  <c:v>0</c:v>
                </c:pt>
                <c:pt idx="1">
                  <c:v>0</c:v>
                </c:pt>
                <c:pt idx="2">
                  <c:v>-1.7064600000000001</c:v>
                </c:pt>
                <c:pt idx="3">
                  <c:v>0</c:v>
                </c:pt>
                <c:pt idx="4">
                  <c:v>0</c:v>
                </c:pt>
                <c:pt idx="5">
                  <c:v>0</c:v>
                </c:pt>
                <c:pt idx="6">
                  <c:v>0</c:v>
                </c:pt>
                <c:pt idx="7">
                  <c:v>0</c:v>
                </c:pt>
                <c:pt idx="8">
                  <c:v>-7.1692</c:v>
                </c:pt>
                <c:pt idx="9">
                  <c:v>0</c:v>
                </c:pt>
                <c:pt idx="10">
                  <c:v>-3.3051599999999999</c:v>
                </c:pt>
              </c:numCache>
            </c:numRef>
          </c:val>
          <c:extLst>
            <c:ext xmlns:c16="http://schemas.microsoft.com/office/drawing/2014/chart" uri="{C3380CC4-5D6E-409C-BE32-E72D297353CC}">
              <c16:uniqueId val="{00000007-C523-4B96-A79F-B7E536C45C25}"/>
            </c:ext>
          </c:extLst>
        </c:ser>
        <c:ser>
          <c:idx val="5"/>
          <c:order val="8"/>
          <c:tx>
            <c:strRef>
              <c:f>'S4.1 LCA chem rec Schwarz'!$T$6</c:f>
              <c:strCache>
                <c:ptCount val="1"/>
                <c:pt idx="0">
                  <c:v>Dissolution</c:v>
                </c:pt>
              </c:strCache>
            </c:strRef>
          </c:tx>
          <c:spPr>
            <a:solidFill>
              <a:srgbClr val="FFFF00"/>
            </a:solidFill>
            <a:ln>
              <a:noFill/>
            </a:ln>
            <a:effectLst/>
          </c:spPr>
          <c:invertIfNegative val="0"/>
          <c:cat>
            <c:strRef>
              <c:f>'S4.1 LCA chem rec Schwarz'!$A$7:$A$17</c:f>
              <c:strCache>
                <c:ptCount val="11"/>
                <c:pt idx="0">
                  <c:v>HDPE</c:v>
                </c:pt>
                <c:pt idx="1">
                  <c:v>LDPE</c:v>
                </c:pt>
                <c:pt idx="2">
                  <c:v>PET</c:v>
                </c:pt>
                <c:pt idx="3">
                  <c:v>PP</c:v>
                </c:pt>
                <c:pt idx="4">
                  <c:v>PS</c:v>
                </c:pt>
                <c:pt idx="5">
                  <c:v>PVC</c:v>
                </c:pt>
                <c:pt idx="6">
                  <c:v>ABS</c:v>
                </c:pt>
                <c:pt idx="7">
                  <c:v>HIPS</c:v>
                </c:pt>
                <c:pt idx="8">
                  <c:v>PA</c:v>
                </c:pt>
                <c:pt idx="9">
                  <c:v>PC</c:v>
                </c:pt>
                <c:pt idx="10">
                  <c:v>PUR</c:v>
                </c:pt>
              </c:strCache>
            </c:strRef>
          </c:cat>
          <c:val>
            <c:numRef>
              <c:f>'S4.1 LCA chem rec Schwarz'!$T$7:$T$17</c:f>
              <c:numCache>
                <c:formatCode>0.0</c:formatCode>
                <c:ptCount val="11"/>
                <c:pt idx="0">
                  <c:v>-0.71539999999999981</c:v>
                </c:pt>
                <c:pt idx="1">
                  <c:v>-0.87664000000000009</c:v>
                </c:pt>
                <c:pt idx="2">
                  <c:v>-0.70646000000000031</c:v>
                </c:pt>
                <c:pt idx="3">
                  <c:v>-0.68915999999999977</c:v>
                </c:pt>
                <c:pt idx="4">
                  <c:v>-1.8941299999999999</c:v>
                </c:pt>
                <c:pt idx="5">
                  <c:v>-1.1513100000000001</c:v>
                </c:pt>
                <c:pt idx="6">
                  <c:v>-2.8475799999999998</c:v>
                </c:pt>
                <c:pt idx="7">
                  <c:v>-1.8391999999999999</c:v>
                </c:pt>
                <c:pt idx="8">
                  <c:v>-6.5691999999999995</c:v>
                </c:pt>
                <c:pt idx="9">
                  <c:v>-5.9098800000000002</c:v>
                </c:pt>
                <c:pt idx="10">
                  <c:v>0</c:v>
                </c:pt>
              </c:numCache>
            </c:numRef>
          </c:val>
          <c:extLst>
            <c:ext xmlns:c16="http://schemas.microsoft.com/office/drawing/2014/chart" uri="{C3380CC4-5D6E-409C-BE32-E72D297353CC}">
              <c16:uniqueId val="{00000008-C523-4B96-A79F-B7E536C45C25}"/>
            </c:ext>
          </c:extLst>
        </c:ser>
        <c:dLbls>
          <c:showLegendKey val="0"/>
          <c:showVal val="0"/>
          <c:showCatName val="0"/>
          <c:showSerName val="0"/>
          <c:showPercent val="0"/>
          <c:showBubbleSize val="0"/>
        </c:dLbls>
        <c:gapWidth val="219"/>
        <c:overlap val="-27"/>
        <c:axId val="146975087"/>
        <c:axId val="159247983"/>
      </c:barChart>
      <c:catAx>
        <c:axId val="146975087"/>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CH"/>
          </a:p>
        </c:txPr>
        <c:crossAx val="159247983"/>
        <c:crosses val="autoZero"/>
        <c:auto val="1"/>
        <c:lblAlgn val="ctr"/>
        <c:lblOffset val="100"/>
        <c:noMultiLvlLbl val="0"/>
      </c:catAx>
      <c:valAx>
        <c:axId val="15924798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CH"/>
          </a:p>
        </c:txPr>
        <c:crossAx val="146975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C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100">
          <a:solidFill>
            <a:sysClr val="windowText" lastClr="000000"/>
          </a:solidFill>
          <a:latin typeface="Arial" panose="020B0604020202020204" pitchFamily="34" charset="0"/>
          <a:cs typeface="Arial" panose="020B0604020202020204" pitchFamily="34" charset="0"/>
        </a:defRPr>
      </a:pPr>
      <a:endParaRPr lang="en-CH"/>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5082425375086"/>
          <c:y val="9.9380849993827236E-2"/>
          <c:w val="0.91687623017454511"/>
          <c:h val="0.42985860151200478"/>
        </c:manualLayout>
      </c:layout>
      <c:barChart>
        <c:barDir val="col"/>
        <c:grouping val="clustered"/>
        <c:varyColors val="0"/>
        <c:ser>
          <c:idx val="1"/>
          <c:order val="0"/>
          <c:tx>
            <c:strRef>
              <c:f>'S4.1 LCA chem rec Schwarz'!$A$7</c:f>
              <c:strCache>
                <c:ptCount val="1"/>
                <c:pt idx="0">
                  <c:v>HDPE</c:v>
                </c:pt>
              </c:strCache>
            </c:strRef>
          </c:tx>
          <c:spPr>
            <a:solidFill>
              <a:schemeClr val="accent2"/>
            </a:solidFill>
            <a:ln>
              <a:noFill/>
            </a:ln>
            <a:effectLst/>
          </c:spPr>
          <c:invertIfNegative val="0"/>
          <c:cat>
            <c:strRef>
              <c:f>'S4.1 LCA chem rec Schwarz'!$L$6:$T$6</c:f>
              <c:strCache>
                <c:ptCount val="9"/>
                <c:pt idx="0">
                  <c:v>Gasification (Monomers)</c:v>
                </c:pt>
                <c:pt idx="1">
                  <c:v>Gasification (Energy)</c:v>
                </c:pt>
                <c:pt idx="2">
                  <c:v>Gasification - average</c:v>
                </c:pt>
                <c:pt idx="3">
                  <c:v>Pyrolysis (Monomers)</c:v>
                </c:pt>
                <c:pt idx="4">
                  <c:v>Pyrolysis (Wax)</c:v>
                </c:pt>
                <c:pt idx="5">
                  <c:v>Pyrolysis (Energy)</c:v>
                </c:pt>
                <c:pt idx="6">
                  <c:v>Pyrolysis - average</c:v>
                </c:pt>
                <c:pt idx="7">
                  <c:v>Depolymerization</c:v>
                </c:pt>
                <c:pt idx="8">
                  <c:v>Dissolution</c:v>
                </c:pt>
              </c:strCache>
            </c:strRef>
          </c:cat>
          <c:val>
            <c:numRef>
              <c:f>'S4.1 LCA chem rec Schwarz'!$L$7:$T$7</c:f>
              <c:numCache>
                <c:formatCode>0.00</c:formatCode>
                <c:ptCount val="9"/>
                <c:pt idx="0" formatCode="0.0">
                  <c:v>-1.4154</c:v>
                </c:pt>
                <c:pt idx="1">
                  <c:v>-0.8153999999999999</c:v>
                </c:pt>
                <c:pt idx="2" formatCode="0.0">
                  <c:v>-1.1153999999999999</c:v>
                </c:pt>
                <c:pt idx="3" formatCode="0.0">
                  <c:v>-1.0153999999999999</c:v>
                </c:pt>
                <c:pt idx="4" formatCode="0.0">
                  <c:v>-0.8153999999999999</c:v>
                </c:pt>
                <c:pt idx="5" formatCode="0.0">
                  <c:v>-0.51539999999999986</c:v>
                </c:pt>
                <c:pt idx="6">
                  <c:v>-0.78206666666666658</c:v>
                </c:pt>
                <c:pt idx="7" formatCode="0.0">
                  <c:v>0</c:v>
                </c:pt>
                <c:pt idx="8" formatCode="0.0">
                  <c:v>-0.71539999999999981</c:v>
                </c:pt>
              </c:numCache>
            </c:numRef>
          </c:val>
          <c:extLst>
            <c:ext xmlns:c16="http://schemas.microsoft.com/office/drawing/2014/chart" uri="{C3380CC4-5D6E-409C-BE32-E72D297353CC}">
              <c16:uniqueId val="{00000000-233D-4D42-A78D-B81988FFCD55}"/>
            </c:ext>
          </c:extLst>
        </c:ser>
        <c:ser>
          <c:idx val="0"/>
          <c:order val="1"/>
          <c:tx>
            <c:strRef>
              <c:f>'S4.1 LCA chem rec Schwarz'!$A$8</c:f>
              <c:strCache>
                <c:ptCount val="1"/>
                <c:pt idx="0">
                  <c:v>LDPE</c:v>
                </c:pt>
              </c:strCache>
            </c:strRef>
          </c:tx>
          <c:spPr>
            <a:solidFill>
              <a:schemeClr val="accent1"/>
            </a:solidFill>
            <a:ln>
              <a:noFill/>
            </a:ln>
            <a:effectLst/>
          </c:spPr>
          <c:invertIfNegative val="0"/>
          <c:cat>
            <c:strRef>
              <c:f>'S4.1 LCA chem rec Schwarz'!$L$6:$T$6</c:f>
              <c:strCache>
                <c:ptCount val="9"/>
                <c:pt idx="0">
                  <c:v>Gasification (Monomers)</c:v>
                </c:pt>
                <c:pt idx="1">
                  <c:v>Gasification (Energy)</c:v>
                </c:pt>
                <c:pt idx="2">
                  <c:v>Gasification - average</c:v>
                </c:pt>
                <c:pt idx="3">
                  <c:v>Pyrolysis (Monomers)</c:v>
                </c:pt>
                <c:pt idx="4">
                  <c:v>Pyrolysis (Wax)</c:v>
                </c:pt>
                <c:pt idx="5">
                  <c:v>Pyrolysis (Energy)</c:v>
                </c:pt>
                <c:pt idx="6">
                  <c:v>Pyrolysis - average</c:v>
                </c:pt>
                <c:pt idx="7">
                  <c:v>Depolymerization</c:v>
                </c:pt>
                <c:pt idx="8">
                  <c:v>Dissolution</c:v>
                </c:pt>
              </c:strCache>
            </c:strRef>
          </c:cat>
          <c:val>
            <c:numRef>
              <c:f>'S4.1 LCA chem rec Schwarz'!$L$8:$T$8</c:f>
              <c:numCache>
                <c:formatCode>0.000</c:formatCode>
                <c:ptCount val="9"/>
                <c:pt idx="0" formatCode="0.0">
                  <c:v>-1.52664</c:v>
                </c:pt>
                <c:pt idx="1">
                  <c:v>-0.92664000000000035</c:v>
                </c:pt>
                <c:pt idx="2" formatCode="0.0">
                  <c:v>-1.2266400000000002</c:v>
                </c:pt>
                <c:pt idx="3" formatCode="0.0">
                  <c:v>-1.1766400000000004</c:v>
                </c:pt>
                <c:pt idx="4" formatCode="0.0">
                  <c:v>-0.92664000000000035</c:v>
                </c:pt>
                <c:pt idx="5" formatCode="0.0">
                  <c:v>-0.67664000000000035</c:v>
                </c:pt>
                <c:pt idx="6">
                  <c:v>-0.92664000000000035</c:v>
                </c:pt>
                <c:pt idx="7" formatCode="0.0">
                  <c:v>0</c:v>
                </c:pt>
                <c:pt idx="8" formatCode="0.0">
                  <c:v>-0.87664000000000009</c:v>
                </c:pt>
              </c:numCache>
            </c:numRef>
          </c:val>
          <c:extLst>
            <c:ext xmlns:c16="http://schemas.microsoft.com/office/drawing/2014/chart" uri="{C3380CC4-5D6E-409C-BE32-E72D297353CC}">
              <c16:uniqueId val="{00000001-233D-4D42-A78D-B81988FFCD55}"/>
            </c:ext>
          </c:extLst>
        </c:ser>
        <c:ser>
          <c:idx val="7"/>
          <c:order val="2"/>
          <c:tx>
            <c:strRef>
              <c:f>'S4.1 LCA chem rec Schwarz'!$A$9</c:f>
              <c:strCache>
                <c:ptCount val="1"/>
                <c:pt idx="0">
                  <c:v>PET</c:v>
                </c:pt>
              </c:strCache>
            </c:strRef>
          </c:tx>
          <c:spPr>
            <a:solidFill>
              <a:schemeClr val="accent2">
                <a:lumMod val="60000"/>
              </a:schemeClr>
            </a:solidFill>
            <a:ln>
              <a:noFill/>
            </a:ln>
            <a:effectLst/>
          </c:spPr>
          <c:invertIfNegative val="0"/>
          <c:cat>
            <c:strRef>
              <c:f>'S4.1 LCA chem rec Schwarz'!$L$6:$T$6</c:f>
              <c:strCache>
                <c:ptCount val="9"/>
                <c:pt idx="0">
                  <c:v>Gasification (Monomers)</c:v>
                </c:pt>
                <c:pt idx="1">
                  <c:v>Gasification (Energy)</c:v>
                </c:pt>
                <c:pt idx="2">
                  <c:v>Gasification - average</c:v>
                </c:pt>
                <c:pt idx="3">
                  <c:v>Pyrolysis (Monomers)</c:v>
                </c:pt>
                <c:pt idx="4">
                  <c:v>Pyrolysis (Wax)</c:v>
                </c:pt>
                <c:pt idx="5">
                  <c:v>Pyrolysis (Energy)</c:v>
                </c:pt>
                <c:pt idx="6">
                  <c:v>Pyrolysis - average</c:v>
                </c:pt>
                <c:pt idx="7">
                  <c:v>Depolymerization</c:v>
                </c:pt>
                <c:pt idx="8">
                  <c:v>Dissolution</c:v>
                </c:pt>
              </c:strCache>
            </c:strRef>
          </c:cat>
          <c:val>
            <c:numRef>
              <c:f>'S4.1 LCA chem rec Schwarz'!$L$9:$T$9</c:f>
              <c:numCache>
                <c:formatCode>0.00</c:formatCode>
                <c:ptCount val="9"/>
                <c:pt idx="0" formatCode="0.0">
                  <c:v>-0.40646000000000004</c:v>
                </c:pt>
                <c:pt idx="1">
                  <c:v>0.29353999999999969</c:v>
                </c:pt>
                <c:pt idx="2" formatCode="0.0">
                  <c:v>-5.6460000000000177E-2</c:v>
                </c:pt>
                <c:pt idx="3" formatCode="0.0">
                  <c:v>-0.10646000000000022</c:v>
                </c:pt>
                <c:pt idx="4" formatCode="0.0">
                  <c:v>-6.4600000000001323E-3</c:v>
                </c:pt>
                <c:pt idx="5" formatCode="0.0">
                  <c:v>0.39353999999999978</c:v>
                </c:pt>
                <c:pt idx="6">
                  <c:v>9.3539999999999804E-2</c:v>
                </c:pt>
                <c:pt idx="7" formatCode="0.0">
                  <c:v>-1.7064600000000001</c:v>
                </c:pt>
                <c:pt idx="8" formatCode="0.0">
                  <c:v>-0.70646000000000031</c:v>
                </c:pt>
              </c:numCache>
            </c:numRef>
          </c:val>
          <c:extLst>
            <c:ext xmlns:c16="http://schemas.microsoft.com/office/drawing/2014/chart" uri="{C3380CC4-5D6E-409C-BE32-E72D297353CC}">
              <c16:uniqueId val="{00000002-233D-4D42-A78D-B81988FFCD55}"/>
            </c:ext>
          </c:extLst>
        </c:ser>
        <c:ser>
          <c:idx val="2"/>
          <c:order val="3"/>
          <c:tx>
            <c:strRef>
              <c:f>'S4.1 LCA chem rec Schwarz'!$A$10</c:f>
              <c:strCache>
                <c:ptCount val="1"/>
                <c:pt idx="0">
                  <c:v>PP</c:v>
                </c:pt>
              </c:strCache>
            </c:strRef>
          </c:tx>
          <c:spPr>
            <a:solidFill>
              <a:schemeClr val="accent3"/>
            </a:solidFill>
            <a:ln>
              <a:noFill/>
            </a:ln>
            <a:effectLst/>
          </c:spPr>
          <c:invertIfNegative val="0"/>
          <c:cat>
            <c:strRef>
              <c:f>'S4.1 LCA chem rec Schwarz'!$L$6:$T$6</c:f>
              <c:strCache>
                <c:ptCount val="9"/>
                <c:pt idx="0">
                  <c:v>Gasification (Monomers)</c:v>
                </c:pt>
                <c:pt idx="1">
                  <c:v>Gasification (Energy)</c:v>
                </c:pt>
                <c:pt idx="2">
                  <c:v>Gasification - average</c:v>
                </c:pt>
                <c:pt idx="3">
                  <c:v>Pyrolysis (Monomers)</c:v>
                </c:pt>
                <c:pt idx="4">
                  <c:v>Pyrolysis (Wax)</c:v>
                </c:pt>
                <c:pt idx="5">
                  <c:v>Pyrolysis (Energy)</c:v>
                </c:pt>
                <c:pt idx="6">
                  <c:v>Pyrolysis - average</c:v>
                </c:pt>
                <c:pt idx="7">
                  <c:v>Depolymerization</c:v>
                </c:pt>
                <c:pt idx="8">
                  <c:v>Dissolution</c:v>
                </c:pt>
              </c:strCache>
            </c:strRef>
          </c:cat>
          <c:val>
            <c:numRef>
              <c:f>'S4.1 LCA chem rec Schwarz'!$L$10:$T$10</c:f>
              <c:numCache>
                <c:formatCode>0.00</c:formatCode>
                <c:ptCount val="9"/>
                <c:pt idx="0" formatCode="0.0">
                  <c:v>-1.2891599999999999</c:v>
                </c:pt>
                <c:pt idx="1">
                  <c:v>-0.78915999999999986</c:v>
                </c:pt>
                <c:pt idx="2" formatCode="0.0">
                  <c:v>-1.0391599999999999</c:v>
                </c:pt>
                <c:pt idx="3" formatCode="0.0">
                  <c:v>-0.98915999999999982</c:v>
                </c:pt>
                <c:pt idx="4" formatCode="0.0">
                  <c:v>-0.68915999999999977</c:v>
                </c:pt>
                <c:pt idx="5" formatCode="0.0">
                  <c:v>-0.38915999999999995</c:v>
                </c:pt>
                <c:pt idx="6">
                  <c:v>-0.68915999999999988</c:v>
                </c:pt>
                <c:pt idx="7" formatCode="0.0">
                  <c:v>0</c:v>
                </c:pt>
                <c:pt idx="8" formatCode="0.0">
                  <c:v>-0.68915999999999977</c:v>
                </c:pt>
              </c:numCache>
            </c:numRef>
          </c:val>
          <c:extLst>
            <c:ext xmlns:c16="http://schemas.microsoft.com/office/drawing/2014/chart" uri="{C3380CC4-5D6E-409C-BE32-E72D297353CC}">
              <c16:uniqueId val="{00000003-233D-4D42-A78D-B81988FFCD55}"/>
            </c:ext>
          </c:extLst>
        </c:ser>
        <c:ser>
          <c:idx val="6"/>
          <c:order val="4"/>
          <c:tx>
            <c:strRef>
              <c:f>'S4.1 LCA chem rec Schwarz'!$A$11</c:f>
              <c:strCache>
                <c:ptCount val="1"/>
                <c:pt idx="0">
                  <c:v>PS</c:v>
                </c:pt>
              </c:strCache>
            </c:strRef>
          </c:tx>
          <c:spPr>
            <a:solidFill>
              <a:schemeClr val="accent1">
                <a:lumMod val="60000"/>
              </a:schemeClr>
            </a:solidFill>
            <a:ln>
              <a:noFill/>
            </a:ln>
            <a:effectLst/>
          </c:spPr>
          <c:invertIfNegative val="0"/>
          <c:cat>
            <c:strRef>
              <c:f>'S4.1 LCA chem rec Schwarz'!$L$6:$T$6</c:f>
              <c:strCache>
                <c:ptCount val="9"/>
                <c:pt idx="0">
                  <c:v>Gasification (Monomers)</c:v>
                </c:pt>
                <c:pt idx="1">
                  <c:v>Gasification (Energy)</c:v>
                </c:pt>
                <c:pt idx="2">
                  <c:v>Gasification - average</c:v>
                </c:pt>
                <c:pt idx="3">
                  <c:v>Pyrolysis (Monomers)</c:v>
                </c:pt>
                <c:pt idx="4">
                  <c:v>Pyrolysis (Wax)</c:v>
                </c:pt>
                <c:pt idx="5">
                  <c:v>Pyrolysis (Energy)</c:v>
                </c:pt>
                <c:pt idx="6">
                  <c:v>Pyrolysis - average</c:v>
                </c:pt>
                <c:pt idx="7">
                  <c:v>Depolymerization</c:v>
                </c:pt>
                <c:pt idx="8">
                  <c:v>Dissolution</c:v>
                </c:pt>
              </c:strCache>
            </c:strRef>
          </c:cat>
          <c:val>
            <c:numRef>
              <c:f>'S4.1 LCA chem rec Schwarz'!$L$11:$T$11</c:f>
              <c:numCache>
                <c:formatCode>0.00</c:formatCode>
                <c:ptCount val="9"/>
                <c:pt idx="0" formatCode="0.0">
                  <c:v>-1.3441300000000003</c:v>
                </c:pt>
                <c:pt idx="1">
                  <c:v>-0.14413000000000009</c:v>
                </c:pt>
                <c:pt idx="2" formatCode="0.0">
                  <c:v>-0.74413000000000018</c:v>
                </c:pt>
                <c:pt idx="3" formatCode="0.0">
                  <c:v>-2.2441300000000002</c:v>
                </c:pt>
                <c:pt idx="4" formatCode="0.0">
                  <c:v>-0.64413000000000009</c:v>
                </c:pt>
                <c:pt idx="5" formatCode="0.0">
                  <c:v>-0.34413000000000027</c:v>
                </c:pt>
                <c:pt idx="6">
                  <c:v>-1.0774633333333334</c:v>
                </c:pt>
                <c:pt idx="7" formatCode="0.0">
                  <c:v>0</c:v>
                </c:pt>
                <c:pt idx="8" formatCode="0.0">
                  <c:v>-1.8941299999999999</c:v>
                </c:pt>
              </c:numCache>
            </c:numRef>
          </c:val>
          <c:extLst>
            <c:ext xmlns:c16="http://schemas.microsoft.com/office/drawing/2014/chart" uri="{C3380CC4-5D6E-409C-BE32-E72D297353CC}">
              <c16:uniqueId val="{00000004-233D-4D42-A78D-B81988FFCD55}"/>
            </c:ext>
          </c:extLst>
        </c:ser>
        <c:ser>
          <c:idx val="3"/>
          <c:order val="5"/>
          <c:tx>
            <c:strRef>
              <c:f>'S4.1 LCA chem rec Schwarz'!$A$12</c:f>
              <c:strCache>
                <c:ptCount val="1"/>
                <c:pt idx="0">
                  <c:v>PVC</c:v>
                </c:pt>
              </c:strCache>
            </c:strRef>
          </c:tx>
          <c:spPr>
            <a:solidFill>
              <a:schemeClr val="accent4"/>
            </a:solidFill>
            <a:ln>
              <a:noFill/>
            </a:ln>
            <a:effectLst/>
          </c:spPr>
          <c:invertIfNegative val="0"/>
          <c:cat>
            <c:strRef>
              <c:f>'S4.1 LCA chem rec Schwarz'!$L$6:$T$6</c:f>
              <c:strCache>
                <c:ptCount val="9"/>
                <c:pt idx="0">
                  <c:v>Gasification (Monomers)</c:v>
                </c:pt>
                <c:pt idx="1">
                  <c:v>Gasification (Energy)</c:v>
                </c:pt>
                <c:pt idx="2">
                  <c:v>Gasification - average</c:v>
                </c:pt>
                <c:pt idx="3">
                  <c:v>Pyrolysis (Monomers)</c:v>
                </c:pt>
                <c:pt idx="4">
                  <c:v>Pyrolysis (Wax)</c:v>
                </c:pt>
                <c:pt idx="5">
                  <c:v>Pyrolysis (Energy)</c:v>
                </c:pt>
                <c:pt idx="6">
                  <c:v>Pyrolysis - average</c:v>
                </c:pt>
                <c:pt idx="7">
                  <c:v>Depolymerization</c:v>
                </c:pt>
                <c:pt idx="8">
                  <c:v>Dissolution</c:v>
                </c:pt>
              </c:strCache>
            </c:strRef>
          </c:cat>
          <c:val>
            <c:numRef>
              <c:f>'S4.1 LCA chem rec Schwarz'!$L$12:$T$12</c:f>
              <c:numCache>
                <c:formatCode>0.00</c:formatCode>
                <c:ptCount val="9"/>
                <c:pt idx="0" formatCode="0.0">
                  <c:v>-0.65131000000000006</c:v>
                </c:pt>
                <c:pt idx="1">
                  <c:v>-0.65131000000000006</c:v>
                </c:pt>
                <c:pt idx="2" formatCode="0.0">
                  <c:v>-0.65131000000000006</c:v>
                </c:pt>
                <c:pt idx="3" formatCode="0.0">
                  <c:v>-0.45130999999999988</c:v>
                </c:pt>
                <c:pt idx="4" formatCode="0.0">
                  <c:v>-0.55130999999999997</c:v>
                </c:pt>
                <c:pt idx="5" formatCode="0.0">
                  <c:v>-0.65131000000000006</c:v>
                </c:pt>
                <c:pt idx="6">
                  <c:v>-0.55130999999999997</c:v>
                </c:pt>
                <c:pt idx="7" formatCode="0.0">
                  <c:v>0</c:v>
                </c:pt>
                <c:pt idx="8" formatCode="0.0">
                  <c:v>-1.1513100000000001</c:v>
                </c:pt>
              </c:numCache>
            </c:numRef>
          </c:val>
          <c:extLst>
            <c:ext xmlns:c16="http://schemas.microsoft.com/office/drawing/2014/chart" uri="{C3380CC4-5D6E-409C-BE32-E72D297353CC}">
              <c16:uniqueId val="{00000005-233D-4D42-A78D-B81988FFCD55}"/>
            </c:ext>
          </c:extLst>
        </c:ser>
        <c:ser>
          <c:idx val="8"/>
          <c:order val="6"/>
          <c:tx>
            <c:strRef>
              <c:f>'S4.1 LCA chem rec Schwarz'!$A$13</c:f>
              <c:strCache>
                <c:ptCount val="1"/>
                <c:pt idx="0">
                  <c:v>ABS</c:v>
                </c:pt>
              </c:strCache>
            </c:strRef>
          </c:tx>
          <c:spPr>
            <a:solidFill>
              <a:schemeClr val="accent3">
                <a:lumMod val="60000"/>
              </a:schemeClr>
            </a:solidFill>
            <a:ln>
              <a:noFill/>
            </a:ln>
            <a:effectLst/>
          </c:spPr>
          <c:invertIfNegative val="0"/>
          <c:cat>
            <c:strRef>
              <c:f>'S4.1 LCA chem rec Schwarz'!$L$6:$T$6</c:f>
              <c:strCache>
                <c:ptCount val="9"/>
                <c:pt idx="0">
                  <c:v>Gasification (Monomers)</c:v>
                </c:pt>
                <c:pt idx="1">
                  <c:v>Gasification (Energy)</c:v>
                </c:pt>
                <c:pt idx="2">
                  <c:v>Gasification - average</c:v>
                </c:pt>
                <c:pt idx="3">
                  <c:v>Pyrolysis (Monomers)</c:v>
                </c:pt>
                <c:pt idx="4">
                  <c:v>Pyrolysis (Wax)</c:v>
                </c:pt>
                <c:pt idx="5">
                  <c:v>Pyrolysis (Energy)</c:v>
                </c:pt>
                <c:pt idx="6">
                  <c:v>Pyrolysis - average</c:v>
                </c:pt>
                <c:pt idx="7">
                  <c:v>Depolymerization</c:v>
                </c:pt>
                <c:pt idx="8">
                  <c:v>Dissolution</c:v>
                </c:pt>
              </c:strCache>
            </c:strRef>
          </c:cat>
          <c:val>
            <c:numRef>
              <c:f>'S4.1 LCA chem rec Schwarz'!$L$13:$T$13</c:f>
              <c:numCache>
                <c:formatCode>0.00</c:formatCode>
                <c:ptCount val="9"/>
                <c:pt idx="0" formatCode="0.0">
                  <c:v>-0.74757999999999969</c:v>
                </c:pt>
                <c:pt idx="1">
                  <c:v>-0.1475799999999996</c:v>
                </c:pt>
                <c:pt idx="2" formatCode="0.0">
                  <c:v>-0.44757999999999964</c:v>
                </c:pt>
                <c:pt idx="3" formatCode="0.0">
                  <c:v>-0.44757999999999942</c:v>
                </c:pt>
                <c:pt idx="4" formatCode="0.0">
                  <c:v>-0.54757999999999996</c:v>
                </c:pt>
                <c:pt idx="5" formatCode="0.0">
                  <c:v>-0.24757999999999925</c:v>
                </c:pt>
                <c:pt idx="6">
                  <c:v>-0.41424666666666621</c:v>
                </c:pt>
                <c:pt idx="7" formatCode="0.0">
                  <c:v>0</c:v>
                </c:pt>
                <c:pt idx="8" formatCode="0.0">
                  <c:v>-2.8475799999999998</c:v>
                </c:pt>
              </c:numCache>
            </c:numRef>
          </c:val>
          <c:extLst>
            <c:ext xmlns:c16="http://schemas.microsoft.com/office/drawing/2014/chart" uri="{C3380CC4-5D6E-409C-BE32-E72D297353CC}">
              <c16:uniqueId val="{00000006-233D-4D42-A78D-B81988FFCD55}"/>
            </c:ext>
          </c:extLst>
        </c:ser>
        <c:ser>
          <c:idx val="4"/>
          <c:order val="7"/>
          <c:tx>
            <c:strRef>
              <c:f>'S4.1 LCA chem rec Schwarz'!$A$14</c:f>
              <c:strCache>
                <c:ptCount val="1"/>
                <c:pt idx="0">
                  <c:v>HIPS</c:v>
                </c:pt>
              </c:strCache>
            </c:strRef>
          </c:tx>
          <c:spPr>
            <a:solidFill>
              <a:schemeClr val="accent5"/>
            </a:solidFill>
            <a:ln>
              <a:noFill/>
            </a:ln>
            <a:effectLst/>
          </c:spPr>
          <c:invertIfNegative val="0"/>
          <c:cat>
            <c:strRef>
              <c:f>'S4.1 LCA chem rec Schwarz'!$L$6:$T$6</c:f>
              <c:strCache>
                <c:ptCount val="9"/>
                <c:pt idx="0">
                  <c:v>Gasification (Monomers)</c:v>
                </c:pt>
                <c:pt idx="1">
                  <c:v>Gasification (Energy)</c:v>
                </c:pt>
                <c:pt idx="2">
                  <c:v>Gasification - average</c:v>
                </c:pt>
                <c:pt idx="3">
                  <c:v>Pyrolysis (Monomers)</c:v>
                </c:pt>
                <c:pt idx="4">
                  <c:v>Pyrolysis (Wax)</c:v>
                </c:pt>
                <c:pt idx="5">
                  <c:v>Pyrolysis (Energy)</c:v>
                </c:pt>
                <c:pt idx="6">
                  <c:v>Pyrolysis - average</c:v>
                </c:pt>
                <c:pt idx="7">
                  <c:v>Depolymerization</c:v>
                </c:pt>
                <c:pt idx="8">
                  <c:v>Dissolution</c:v>
                </c:pt>
              </c:strCache>
            </c:strRef>
          </c:cat>
          <c:val>
            <c:numRef>
              <c:f>'S4.1 LCA chem rec Schwarz'!$L$14:$T$14</c:f>
              <c:numCache>
                <c:formatCode>0.00</c:formatCode>
                <c:ptCount val="9"/>
                <c:pt idx="0" formatCode="0.0">
                  <c:v>-1.2391999999999999</c:v>
                </c:pt>
                <c:pt idx="1">
                  <c:v>-0.13919999999999977</c:v>
                </c:pt>
                <c:pt idx="2" formatCode="0.0">
                  <c:v>-0.68919999999999981</c:v>
                </c:pt>
                <c:pt idx="3" formatCode="0.0">
                  <c:v>-2.0392000000000001</c:v>
                </c:pt>
                <c:pt idx="4" formatCode="0.0">
                  <c:v>-0.63919999999999977</c:v>
                </c:pt>
                <c:pt idx="5" formatCode="0.0">
                  <c:v>-0.33919999999999995</c:v>
                </c:pt>
                <c:pt idx="6">
                  <c:v>-1.0058666666666667</c:v>
                </c:pt>
                <c:pt idx="7" formatCode="0.0">
                  <c:v>0</c:v>
                </c:pt>
                <c:pt idx="8" formatCode="0.0">
                  <c:v>-1.8391999999999999</c:v>
                </c:pt>
              </c:numCache>
            </c:numRef>
          </c:val>
          <c:extLst>
            <c:ext xmlns:c16="http://schemas.microsoft.com/office/drawing/2014/chart" uri="{C3380CC4-5D6E-409C-BE32-E72D297353CC}">
              <c16:uniqueId val="{00000007-233D-4D42-A78D-B81988FFCD55}"/>
            </c:ext>
          </c:extLst>
        </c:ser>
        <c:ser>
          <c:idx val="5"/>
          <c:order val="8"/>
          <c:tx>
            <c:strRef>
              <c:f>'S4.1 LCA chem rec Schwarz'!$A$15</c:f>
              <c:strCache>
                <c:ptCount val="1"/>
                <c:pt idx="0">
                  <c:v>PA</c:v>
                </c:pt>
              </c:strCache>
            </c:strRef>
          </c:tx>
          <c:spPr>
            <a:solidFill>
              <a:schemeClr val="accent6"/>
            </a:solidFill>
            <a:ln>
              <a:noFill/>
            </a:ln>
            <a:effectLst/>
          </c:spPr>
          <c:invertIfNegative val="0"/>
          <c:cat>
            <c:strRef>
              <c:f>'S4.1 LCA chem rec Schwarz'!$L$6:$T$6</c:f>
              <c:strCache>
                <c:ptCount val="9"/>
                <c:pt idx="0">
                  <c:v>Gasification (Monomers)</c:v>
                </c:pt>
                <c:pt idx="1">
                  <c:v>Gasification (Energy)</c:v>
                </c:pt>
                <c:pt idx="2">
                  <c:v>Gasification - average</c:v>
                </c:pt>
                <c:pt idx="3">
                  <c:v>Pyrolysis (Monomers)</c:v>
                </c:pt>
                <c:pt idx="4">
                  <c:v>Pyrolysis (Wax)</c:v>
                </c:pt>
                <c:pt idx="5">
                  <c:v>Pyrolysis (Energy)</c:v>
                </c:pt>
                <c:pt idx="6">
                  <c:v>Pyrolysis - average</c:v>
                </c:pt>
                <c:pt idx="7">
                  <c:v>Depolymerization</c:v>
                </c:pt>
                <c:pt idx="8">
                  <c:v>Dissolution</c:v>
                </c:pt>
              </c:strCache>
            </c:strRef>
          </c:cat>
          <c:val>
            <c:numRef>
              <c:f>'S4.1 LCA chem rec Schwarz'!$L$15:$T$15</c:f>
              <c:numCache>
                <c:formatCode>0.00</c:formatCode>
                <c:ptCount val="9"/>
                <c:pt idx="0" formatCode="0.0">
                  <c:v>-1.6191999999999993</c:v>
                </c:pt>
                <c:pt idx="1">
                  <c:v>-1.3191999999999995</c:v>
                </c:pt>
                <c:pt idx="2" formatCode="0.0">
                  <c:v>-1.4691999999999994</c:v>
                </c:pt>
                <c:pt idx="3" formatCode="0.0">
                  <c:v>-3.5191999999999997</c:v>
                </c:pt>
                <c:pt idx="4" formatCode="0.0">
                  <c:v>-1.2691999999999997</c:v>
                </c:pt>
                <c:pt idx="5" formatCode="0.0">
                  <c:v>-0.96919999999999984</c:v>
                </c:pt>
                <c:pt idx="6">
                  <c:v>-1.9191999999999998</c:v>
                </c:pt>
                <c:pt idx="7" formatCode="0.0">
                  <c:v>-7.1692</c:v>
                </c:pt>
                <c:pt idx="8" formatCode="0.0">
                  <c:v>-6.5691999999999995</c:v>
                </c:pt>
              </c:numCache>
            </c:numRef>
          </c:val>
          <c:extLst>
            <c:ext xmlns:c16="http://schemas.microsoft.com/office/drawing/2014/chart" uri="{C3380CC4-5D6E-409C-BE32-E72D297353CC}">
              <c16:uniqueId val="{00000008-233D-4D42-A78D-B81988FFCD55}"/>
            </c:ext>
          </c:extLst>
        </c:ser>
        <c:ser>
          <c:idx val="9"/>
          <c:order val="9"/>
          <c:tx>
            <c:strRef>
              <c:f>'S4.1 LCA chem rec Schwarz'!$A$16</c:f>
              <c:strCache>
                <c:ptCount val="1"/>
                <c:pt idx="0">
                  <c:v>PC</c:v>
                </c:pt>
              </c:strCache>
            </c:strRef>
          </c:tx>
          <c:spPr>
            <a:solidFill>
              <a:schemeClr val="accent4">
                <a:lumMod val="60000"/>
              </a:schemeClr>
            </a:solidFill>
            <a:ln>
              <a:noFill/>
            </a:ln>
            <a:effectLst/>
          </c:spPr>
          <c:invertIfNegative val="0"/>
          <c:cat>
            <c:strRef>
              <c:f>'S4.1 LCA chem rec Schwarz'!$L$6:$T$6</c:f>
              <c:strCache>
                <c:ptCount val="9"/>
                <c:pt idx="0">
                  <c:v>Gasification (Monomers)</c:v>
                </c:pt>
                <c:pt idx="1">
                  <c:v>Gasification (Energy)</c:v>
                </c:pt>
                <c:pt idx="2">
                  <c:v>Gasification - average</c:v>
                </c:pt>
                <c:pt idx="3">
                  <c:v>Pyrolysis (Monomers)</c:v>
                </c:pt>
                <c:pt idx="4">
                  <c:v>Pyrolysis (Wax)</c:v>
                </c:pt>
                <c:pt idx="5">
                  <c:v>Pyrolysis (Energy)</c:v>
                </c:pt>
                <c:pt idx="6">
                  <c:v>Pyrolysis - average</c:v>
                </c:pt>
                <c:pt idx="7">
                  <c:v>Depolymerization</c:v>
                </c:pt>
                <c:pt idx="8">
                  <c:v>Dissolution</c:v>
                </c:pt>
              </c:strCache>
            </c:strRef>
          </c:cat>
          <c:val>
            <c:numRef>
              <c:f>'S4.1 LCA chem rec Schwarz'!$L$16:$T$16</c:f>
              <c:numCache>
                <c:formatCode>0.00</c:formatCode>
                <c:ptCount val="9"/>
                <c:pt idx="0" formatCode="0.0">
                  <c:v>-1.0098799999999999</c:v>
                </c:pt>
                <c:pt idx="1">
                  <c:v>-0.40988000000000024</c:v>
                </c:pt>
                <c:pt idx="2" formatCode="0.0">
                  <c:v>-0.70988000000000007</c:v>
                </c:pt>
                <c:pt idx="3" formatCode="0.0">
                  <c:v>-0.80987999999999971</c:v>
                </c:pt>
                <c:pt idx="4" formatCode="0.0">
                  <c:v>-0.50987999999999989</c:v>
                </c:pt>
                <c:pt idx="5" formatCode="0.0">
                  <c:v>-0.20988000000000007</c:v>
                </c:pt>
                <c:pt idx="6">
                  <c:v>-0.50987999999999989</c:v>
                </c:pt>
                <c:pt idx="7" formatCode="0.0">
                  <c:v>0</c:v>
                </c:pt>
                <c:pt idx="8" formatCode="0.0">
                  <c:v>-5.9098800000000002</c:v>
                </c:pt>
              </c:numCache>
            </c:numRef>
          </c:val>
          <c:extLst>
            <c:ext xmlns:c16="http://schemas.microsoft.com/office/drawing/2014/chart" uri="{C3380CC4-5D6E-409C-BE32-E72D297353CC}">
              <c16:uniqueId val="{00000009-233D-4D42-A78D-B81988FFCD55}"/>
            </c:ext>
          </c:extLst>
        </c:ser>
        <c:ser>
          <c:idx val="10"/>
          <c:order val="10"/>
          <c:tx>
            <c:strRef>
              <c:f>'S4.1 LCA chem rec Schwarz'!$A$17</c:f>
              <c:strCache>
                <c:ptCount val="1"/>
                <c:pt idx="0">
                  <c:v>PUR</c:v>
                </c:pt>
              </c:strCache>
            </c:strRef>
          </c:tx>
          <c:spPr>
            <a:solidFill>
              <a:schemeClr val="accent5">
                <a:lumMod val="60000"/>
              </a:schemeClr>
            </a:solidFill>
            <a:ln>
              <a:noFill/>
            </a:ln>
            <a:effectLst/>
          </c:spPr>
          <c:invertIfNegative val="0"/>
          <c:cat>
            <c:strRef>
              <c:f>'S4.1 LCA chem rec Schwarz'!$L$6:$T$6</c:f>
              <c:strCache>
                <c:ptCount val="9"/>
                <c:pt idx="0">
                  <c:v>Gasification (Monomers)</c:v>
                </c:pt>
                <c:pt idx="1">
                  <c:v>Gasification (Energy)</c:v>
                </c:pt>
                <c:pt idx="2">
                  <c:v>Gasification - average</c:v>
                </c:pt>
                <c:pt idx="3">
                  <c:v>Pyrolysis (Monomers)</c:v>
                </c:pt>
                <c:pt idx="4">
                  <c:v>Pyrolysis (Wax)</c:v>
                </c:pt>
                <c:pt idx="5">
                  <c:v>Pyrolysis (Energy)</c:v>
                </c:pt>
                <c:pt idx="6">
                  <c:v>Pyrolysis - average</c:v>
                </c:pt>
                <c:pt idx="7">
                  <c:v>Depolymerization</c:v>
                </c:pt>
                <c:pt idx="8">
                  <c:v>Dissolution</c:v>
                </c:pt>
              </c:strCache>
            </c:strRef>
          </c:cat>
          <c:val>
            <c:numRef>
              <c:f>'S4.1 LCA chem rec Schwarz'!$L$17:$T$17</c:f>
              <c:numCache>
                <c:formatCode>0.00</c:formatCode>
                <c:ptCount val="9"/>
                <c:pt idx="0" formatCode="0.0">
                  <c:v>-1.1051599999999997</c:v>
                </c:pt>
                <c:pt idx="1">
                  <c:v>-0.70515999999999934</c:v>
                </c:pt>
                <c:pt idx="2" formatCode="0.0">
                  <c:v>-0.90515999999999952</c:v>
                </c:pt>
                <c:pt idx="3" formatCode="0.0">
                  <c:v>-0.80515999999999988</c:v>
                </c:pt>
                <c:pt idx="4" formatCode="0.0">
                  <c:v>-0.80515999999999988</c:v>
                </c:pt>
                <c:pt idx="5" formatCode="0.0">
                  <c:v>-0.40515999999999952</c:v>
                </c:pt>
                <c:pt idx="6">
                  <c:v>-0.67182666666666646</c:v>
                </c:pt>
                <c:pt idx="7" formatCode="0.0">
                  <c:v>-3.3051599999999999</c:v>
                </c:pt>
                <c:pt idx="8" formatCode="0.0">
                  <c:v>0</c:v>
                </c:pt>
              </c:numCache>
            </c:numRef>
          </c:val>
          <c:extLst>
            <c:ext xmlns:c16="http://schemas.microsoft.com/office/drawing/2014/chart" uri="{C3380CC4-5D6E-409C-BE32-E72D297353CC}">
              <c16:uniqueId val="{0000000A-233D-4D42-A78D-B81988FFCD55}"/>
            </c:ext>
          </c:extLst>
        </c:ser>
        <c:dLbls>
          <c:showLegendKey val="0"/>
          <c:showVal val="0"/>
          <c:showCatName val="0"/>
          <c:showSerName val="0"/>
          <c:showPercent val="0"/>
          <c:showBubbleSize val="0"/>
        </c:dLbls>
        <c:gapWidth val="219"/>
        <c:overlap val="-27"/>
        <c:axId val="146975087"/>
        <c:axId val="159247983"/>
      </c:barChart>
      <c:catAx>
        <c:axId val="146975087"/>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CH"/>
          </a:p>
        </c:txPr>
        <c:crossAx val="159247983"/>
        <c:crosses val="autoZero"/>
        <c:auto val="1"/>
        <c:lblAlgn val="ctr"/>
        <c:lblOffset val="100"/>
        <c:noMultiLvlLbl val="0"/>
      </c:catAx>
      <c:valAx>
        <c:axId val="15924798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CH"/>
          </a:p>
        </c:txPr>
        <c:crossAx val="146975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C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100">
          <a:solidFill>
            <a:sysClr val="windowText" lastClr="000000"/>
          </a:solidFill>
          <a:latin typeface="Arial" panose="020B0604020202020204" pitchFamily="34" charset="0"/>
          <a:cs typeface="Arial" panose="020B0604020202020204" pitchFamily="34" charset="0"/>
        </a:defRPr>
      </a:pPr>
      <a:endParaRPr lang="en-CH"/>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51797037268344381"/>
          <c:y val="0.14458961225092895"/>
          <c:w val="0.47212270749451563"/>
          <c:h val="0.6347016303573576"/>
        </c:manualLayout>
      </c:layout>
      <c:barChart>
        <c:barDir val="bar"/>
        <c:grouping val="stacked"/>
        <c:varyColors val="0"/>
        <c:ser>
          <c:idx val="1"/>
          <c:order val="0"/>
          <c:tx>
            <c:strRef>
              <c:f>'S4.2 sys imp chem rec Schwarz'!$Q$22</c:f>
              <c:strCache>
                <c:ptCount val="1"/>
                <c:pt idx="0">
                  <c:v>primary production and mechanical recycling</c:v>
                </c:pt>
              </c:strCache>
            </c:strRef>
          </c:tx>
          <c:spPr>
            <a:solidFill>
              <a:schemeClr val="accent2"/>
            </a:solidFill>
            <a:ln>
              <a:noFill/>
            </a:ln>
            <a:effectLst/>
          </c:spPr>
          <c:invertIfNegative val="0"/>
          <c:cat>
            <c:multiLvlStrRef>
              <c:f>'S4.2 sys imp chem rec Schwarz'!$R$18:$AA$19</c:f>
              <c:multiLvlStrCache>
                <c:ptCount val="10"/>
                <c:lvl>
                  <c:pt idx="0">
                    <c:v>no mech rec + WTE</c:v>
                  </c:pt>
                  <c:pt idx="1">
                    <c:v>max mech rec + WTE</c:v>
                  </c:pt>
                  <c:pt idx="2">
                    <c:v>max mech rec + max cem + WTE</c:v>
                  </c:pt>
                  <c:pt idx="3">
                    <c:v>max mech rec + WTE with CC</c:v>
                  </c:pt>
                  <c:pt idx="5">
                    <c:v>max mech rec + gasif + WTE</c:v>
                  </c:pt>
                  <c:pt idx="6">
                    <c:v>max mech rec + pyro + WTE</c:v>
                  </c:pt>
                  <c:pt idx="7">
                    <c:v>max mech rec + max depoly + dissol/pyro/gasif + WTE</c:v>
                  </c:pt>
                  <c:pt idx="8">
                    <c:v>max mech rec + max dissol + depoly/pyro/gasif + WTE</c:v>
                  </c:pt>
                  <c:pt idx="9">
                    <c:v>max mech rec + best chem rec for each plastic type + WTE</c:v>
                  </c:pt>
                </c:lvl>
                <c:lvl>
                  <c:pt idx="0">
                    <c:v>mechanical recycling</c:v>
                  </c:pt>
                  <c:pt idx="5">
                    <c:v>mechanical &amp; chemical recycling</c:v>
                  </c:pt>
                </c:lvl>
              </c:multiLvlStrCache>
            </c:multiLvlStrRef>
          </c:cat>
          <c:val>
            <c:numRef>
              <c:f>'S4.2 sys imp chem rec Schwarz'!$R$22:$AA$22</c:f>
              <c:numCache>
                <c:formatCode>0.0</c:formatCode>
                <c:ptCount val="10"/>
                <c:pt idx="0">
                  <c:v>2.9816457264774963</c:v>
                </c:pt>
                <c:pt idx="1">
                  <c:v>2.3760008153407792</c:v>
                </c:pt>
                <c:pt idx="2">
                  <c:v>2.3760008153407792</c:v>
                </c:pt>
                <c:pt idx="3">
                  <c:v>2.3760008153407792</c:v>
                </c:pt>
                <c:pt idx="5">
                  <c:v>2.3760008153407792</c:v>
                </c:pt>
                <c:pt idx="6">
                  <c:v>2.3760008153407792</c:v>
                </c:pt>
                <c:pt idx="7">
                  <c:v>2.3760008153407792</c:v>
                </c:pt>
                <c:pt idx="8">
                  <c:v>2.3760008153407792</c:v>
                </c:pt>
                <c:pt idx="9">
                  <c:v>2.3760008153407792</c:v>
                </c:pt>
              </c:numCache>
            </c:numRef>
          </c:val>
          <c:extLst>
            <c:ext xmlns:c16="http://schemas.microsoft.com/office/drawing/2014/chart" uri="{C3380CC4-5D6E-409C-BE32-E72D297353CC}">
              <c16:uniqueId val="{00000000-0F15-4EAA-BE33-962C7D7B7297}"/>
            </c:ext>
          </c:extLst>
        </c:ser>
        <c:ser>
          <c:idx val="0"/>
          <c:order val="1"/>
          <c:tx>
            <c:strRef>
              <c:f>'S4.2 sys imp chem rec Schwarz'!$Q$20</c:f>
              <c:strCache>
                <c:ptCount val="1"/>
                <c:pt idx="0">
                  <c:v>incineration in WTE plants</c:v>
                </c:pt>
              </c:strCache>
            </c:strRef>
          </c:tx>
          <c:spPr>
            <a:solidFill>
              <a:schemeClr val="accent1"/>
            </a:solidFill>
            <a:ln>
              <a:noFill/>
            </a:ln>
            <a:effectLst/>
          </c:spPr>
          <c:invertIfNegative val="0"/>
          <c:cat>
            <c:multiLvlStrRef>
              <c:f>'S4.2 sys imp chem rec Schwarz'!$R$18:$AA$19</c:f>
              <c:multiLvlStrCache>
                <c:ptCount val="10"/>
                <c:lvl>
                  <c:pt idx="0">
                    <c:v>no mech rec + WTE</c:v>
                  </c:pt>
                  <c:pt idx="1">
                    <c:v>max mech rec + WTE</c:v>
                  </c:pt>
                  <c:pt idx="2">
                    <c:v>max mech rec + max cem + WTE</c:v>
                  </c:pt>
                  <c:pt idx="3">
                    <c:v>max mech rec + WTE with CC</c:v>
                  </c:pt>
                  <c:pt idx="5">
                    <c:v>max mech rec + gasif + WTE</c:v>
                  </c:pt>
                  <c:pt idx="6">
                    <c:v>max mech rec + pyro + WTE</c:v>
                  </c:pt>
                  <c:pt idx="7">
                    <c:v>max mech rec + max depoly + dissol/pyro/gasif + WTE</c:v>
                  </c:pt>
                  <c:pt idx="8">
                    <c:v>max mech rec + max dissol + depoly/pyro/gasif + WTE</c:v>
                  </c:pt>
                  <c:pt idx="9">
                    <c:v>max mech rec + best chem rec for each plastic type + WTE</c:v>
                  </c:pt>
                </c:lvl>
                <c:lvl>
                  <c:pt idx="0">
                    <c:v>mechanical recycling</c:v>
                  </c:pt>
                  <c:pt idx="5">
                    <c:v>mechanical &amp; chemical recycling</c:v>
                  </c:pt>
                </c:lvl>
              </c:multiLvlStrCache>
            </c:multiLvlStrRef>
          </c:cat>
          <c:val>
            <c:numRef>
              <c:f>'S4.2 sys imp chem rec Schwarz'!$R$20:$AA$20</c:f>
              <c:numCache>
                <c:formatCode>0.0</c:formatCode>
                <c:ptCount val="10"/>
                <c:pt idx="0">
                  <c:v>2.4041560140200042</c:v>
                </c:pt>
                <c:pt idx="1">
                  <c:v>1.6102706137411509</c:v>
                </c:pt>
                <c:pt idx="2">
                  <c:v>1.225685930388039</c:v>
                </c:pt>
                <c:pt idx="3">
                  <c:v>0.1142348021050115</c:v>
                </c:pt>
                <c:pt idx="5">
                  <c:v>0.18083348565117766</c:v>
                </c:pt>
                <c:pt idx="6">
                  <c:v>0.18083348565117766</c:v>
                </c:pt>
                <c:pt idx="7">
                  <c:v>0.18083348565117766</c:v>
                </c:pt>
                <c:pt idx="8">
                  <c:v>0.18083348565117766</c:v>
                </c:pt>
                <c:pt idx="9">
                  <c:v>0.18083348565117766</c:v>
                </c:pt>
              </c:numCache>
            </c:numRef>
          </c:val>
          <c:extLst>
            <c:ext xmlns:c16="http://schemas.microsoft.com/office/drawing/2014/chart" uri="{C3380CC4-5D6E-409C-BE32-E72D297353CC}">
              <c16:uniqueId val="{00000001-0F15-4EAA-BE33-962C7D7B7297}"/>
            </c:ext>
          </c:extLst>
        </c:ser>
        <c:ser>
          <c:idx val="2"/>
          <c:order val="2"/>
          <c:tx>
            <c:strRef>
              <c:f>'S4.2 sys imp chem rec Schwarz'!$Q$23</c:f>
              <c:strCache>
                <c:ptCount val="1"/>
                <c:pt idx="0">
                  <c:v>chemical recycling (net)</c:v>
                </c:pt>
              </c:strCache>
            </c:strRef>
          </c:tx>
          <c:spPr>
            <a:solidFill>
              <a:schemeClr val="accent3"/>
            </a:solidFill>
            <a:ln>
              <a:noFill/>
            </a:ln>
            <a:effectLst/>
          </c:spPr>
          <c:invertIfNegative val="0"/>
          <c:errBars>
            <c:errBarType val="both"/>
            <c:errValType val="cust"/>
            <c:noEndCap val="0"/>
            <c:plus>
              <c:numRef>
                <c:f>'S4.2 sys imp chem rec Schwarz'!$R$24:$AA$24</c:f>
                <c:numCache>
                  <c:formatCode>General</c:formatCode>
                  <c:ptCount val="10"/>
                  <c:pt idx="5">
                    <c:v>0.15958420919995209</c:v>
                  </c:pt>
                  <c:pt idx="6">
                    <c:v>0.17483642568727983</c:v>
                  </c:pt>
                  <c:pt idx="7">
                    <c:v>1.858869682528393E-2</c:v>
                  </c:pt>
                  <c:pt idx="8">
                    <c:v>1.8588696825283812E-2</c:v>
                  </c:pt>
                  <c:pt idx="9">
                    <c:v>7.0049782066811922E-2</c:v>
                  </c:pt>
                </c:numCache>
              </c:numRef>
            </c:plus>
            <c:minus>
              <c:numRef>
                <c:f>'S4.2 sys imp chem rec Schwarz'!$R$25:$AA$25</c:f>
                <c:numCache>
                  <c:formatCode>General</c:formatCode>
                  <c:ptCount val="10"/>
                  <c:pt idx="5">
                    <c:v>0.1595842091999522</c:v>
                  </c:pt>
                  <c:pt idx="6">
                    <c:v>0.19027563785842702</c:v>
                  </c:pt>
                  <c:pt idx="7">
                    <c:v>1.8588696825283697E-2</c:v>
                  </c:pt>
                  <c:pt idx="8">
                    <c:v>1.8588696825283697E-2</c:v>
                  </c:pt>
                  <c:pt idx="9">
                    <c:v>7.0049782066811686E-2</c:v>
                  </c:pt>
                </c:numCache>
              </c:numRef>
            </c:minus>
            <c:spPr>
              <a:noFill/>
              <a:ln w="9525" cap="flat" cmpd="sng" algn="ctr">
                <a:solidFill>
                  <a:schemeClr val="tx1">
                    <a:lumMod val="65000"/>
                    <a:lumOff val="35000"/>
                  </a:schemeClr>
                </a:solidFill>
                <a:round/>
              </a:ln>
              <a:effectLst/>
            </c:spPr>
          </c:errBars>
          <c:cat>
            <c:multiLvlStrRef>
              <c:f>'S4.2 sys imp chem rec Schwarz'!$R$18:$AA$19</c:f>
              <c:multiLvlStrCache>
                <c:ptCount val="10"/>
                <c:lvl>
                  <c:pt idx="0">
                    <c:v>no mech rec + WTE</c:v>
                  </c:pt>
                  <c:pt idx="1">
                    <c:v>max mech rec + WTE</c:v>
                  </c:pt>
                  <c:pt idx="2">
                    <c:v>max mech rec + max cem + WTE</c:v>
                  </c:pt>
                  <c:pt idx="3">
                    <c:v>max mech rec + WTE with CC</c:v>
                  </c:pt>
                  <c:pt idx="5">
                    <c:v>max mech rec + gasif + WTE</c:v>
                  </c:pt>
                  <c:pt idx="6">
                    <c:v>max mech rec + pyro + WTE</c:v>
                  </c:pt>
                  <c:pt idx="7">
                    <c:v>max mech rec + max depoly + dissol/pyro/gasif + WTE</c:v>
                  </c:pt>
                  <c:pt idx="8">
                    <c:v>max mech rec + max dissol + depoly/pyro/gasif + WTE</c:v>
                  </c:pt>
                  <c:pt idx="9">
                    <c:v>max mech rec + best chem rec for each plastic type + WTE</c:v>
                  </c:pt>
                </c:lvl>
                <c:lvl>
                  <c:pt idx="0">
                    <c:v>mechanical recycling</c:v>
                  </c:pt>
                  <c:pt idx="5">
                    <c:v>mechanical &amp; chemical recycling</c:v>
                  </c:pt>
                </c:lvl>
              </c:multiLvlStrCache>
            </c:multiLvlStrRef>
          </c:cat>
          <c:val>
            <c:numRef>
              <c:f>'S4.2 sys imp chem rec Schwarz'!$R$23:$AA$23</c:f>
              <c:numCache>
                <c:formatCode>0.0</c:formatCode>
                <c:ptCount val="10"/>
                <c:pt idx="0">
                  <c:v>0</c:v>
                </c:pt>
                <c:pt idx="1">
                  <c:v>0</c:v>
                </c:pt>
                <c:pt idx="2">
                  <c:v>0</c:v>
                </c:pt>
                <c:pt idx="3">
                  <c:v>0</c:v>
                </c:pt>
                <c:pt idx="5">
                  <c:v>-0.45454353890577387</c:v>
                </c:pt>
                <c:pt idx="6">
                  <c:v>-0.3676645214484866</c:v>
                </c:pt>
                <c:pt idx="7">
                  <c:v>-0.72773712807056301</c:v>
                </c:pt>
                <c:pt idx="8">
                  <c:v>-0.68956743027749801</c:v>
                </c:pt>
                <c:pt idx="9">
                  <c:v>-0.79608778444660944</c:v>
                </c:pt>
              </c:numCache>
            </c:numRef>
          </c:val>
          <c:extLst>
            <c:ext xmlns:c16="http://schemas.microsoft.com/office/drawing/2014/chart" uri="{C3380CC4-5D6E-409C-BE32-E72D297353CC}">
              <c16:uniqueId val="{00000002-0F15-4EAA-BE33-962C7D7B7297}"/>
            </c:ext>
          </c:extLst>
        </c:ser>
        <c:ser>
          <c:idx val="3"/>
          <c:order val="3"/>
          <c:tx>
            <c:strRef>
              <c:f>'S4.2 sys imp chem rec Schwarz'!$Q$21</c:f>
              <c:strCache>
                <c:ptCount val="1"/>
                <c:pt idx="0">
                  <c:v>incineration in cement kilns</c:v>
                </c:pt>
              </c:strCache>
            </c:strRef>
          </c:tx>
          <c:spPr>
            <a:solidFill>
              <a:schemeClr val="accent4"/>
            </a:solidFill>
            <a:ln>
              <a:noFill/>
            </a:ln>
            <a:effectLst/>
          </c:spPr>
          <c:invertIfNegative val="0"/>
          <c:cat>
            <c:multiLvlStrRef>
              <c:f>'S4.2 sys imp chem rec Schwarz'!$R$18:$AA$19</c:f>
              <c:multiLvlStrCache>
                <c:ptCount val="10"/>
                <c:lvl>
                  <c:pt idx="0">
                    <c:v>no mech rec + WTE</c:v>
                  </c:pt>
                  <c:pt idx="1">
                    <c:v>max mech rec + WTE</c:v>
                  </c:pt>
                  <c:pt idx="2">
                    <c:v>max mech rec + max cem + WTE</c:v>
                  </c:pt>
                  <c:pt idx="3">
                    <c:v>max mech rec + WTE with CC</c:v>
                  </c:pt>
                  <c:pt idx="5">
                    <c:v>max mech rec + gasif + WTE</c:v>
                  </c:pt>
                  <c:pt idx="6">
                    <c:v>max mech rec + pyro + WTE</c:v>
                  </c:pt>
                  <c:pt idx="7">
                    <c:v>max mech rec + max depoly + dissol/pyro/gasif + WTE</c:v>
                  </c:pt>
                  <c:pt idx="8">
                    <c:v>max mech rec + max dissol + depoly/pyro/gasif + WTE</c:v>
                  </c:pt>
                  <c:pt idx="9">
                    <c:v>max mech rec + best chem rec for each plastic type + WTE</c:v>
                  </c:pt>
                </c:lvl>
                <c:lvl>
                  <c:pt idx="0">
                    <c:v>mechanical recycling</c:v>
                  </c:pt>
                  <c:pt idx="5">
                    <c:v>mechanical &amp; chemical recycling</c:v>
                  </c:pt>
                </c:lvl>
              </c:multiLvlStrCache>
            </c:multiLvlStrRef>
          </c:cat>
          <c:val>
            <c:numRef>
              <c:f>'S4.2 sys imp chem rec Schwarz'!$R$21:$AA$21</c:f>
              <c:numCache>
                <c:formatCode>0.0</c:formatCode>
                <c:ptCount val="10"/>
                <c:pt idx="0">
                  <c:v>0</c:v>
                </c:pt>
                <c:pt idx="1">
                  <c:v>0</c:v>
                </c:pt>
                <c:pt idx="2">
                  <c:v>-0.1800017252587984</c:v>
                </c:pt>
                <c:pt idx="3">
                  <c:v>0</c:v>
                </c:pt>
                <c:pt idx="5" formatCode="General">
                  <c:v>0</c:v>
                </c:pt>
                <c:pt idx="6" formatCode="General">
                  <c:v>0</c:v>
                </c:pt>
                <c:pt idx="7" formatCode="General">
                  <c:v>0</c:v>
                </c:pt>
                <c:pt idx="8" formatCode="General">
                  <c:v>0</c:v>
                </c:pt>
                <c:pt idx="9" formatCode="General">
                  <c:v>0</c:v>
                </c:pt>
              </c:numCache>
            </c:numRef>
          </c:val>
          <c:extLst>
            <c:ext xmlns:c16="http://schemas.microsoft.com/office/drawing/2014/chart" uri="{C3380CC4-5D6E-409C-BE32-E72D297353CC}">
              <c16:uniqueId val="{00000003-0F15-4EAA-BE33-962C7D7B7297}"/>
            </c:ext>
          </c:extLst>
        </c:ser>
        <c:dLbls>
          <c:showLegendKey val="0"/>
          <c:showVal val="0"/>
          <c:showCatName val="0"/>
          <c:showSerName val="0"/>
          <c:showPercent val="0"/>
          <c:showBubbleSize val="0"/>
        </c:dLbls>
        <c:gapWidth val="0"/>
        <c:overlap val="100"/>
        <c:axId val="1698371679"/>
        <c:axId val="1483904959"/>
      </c:barChart>
      <c:catAx>
        <c:axId val="1698371679"/>
        <c:scaling>
          <c:orientation val="maxMin"/>
        </c:scaling>
        <c:delete val="0"/>
        <c:axPos val="l"/>
        <c:numFmt formatCode="General" sourceLinked="1"/>
        <c:majorTickMark val="none"/>
        <c:minorTickMark val="none"/>
        <c:tickLblPos val="low"/>
        <c:spPr>
          <a:noFill/>
          <a:ln w="9525" cap="flat" cmpd="sng" algn="ctr">
            <a:noFill/>
            <a:round/>
          </a:ln>
          <a:effectLst/>
        </c:spPr>
        <c:txPr>
          <a:bodyPr rot="0" spcFirstLastPara="1" vertOverflow="ellipsis" wrap="square" anchor="ctr" anchorCtr="0"/>
          <a:lstStyle/>
          <a:p>
            <a:pPr>
              <a:defRPr sz="16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CH"/>
          </a:p>
        </c:txPr>
        <c:crossAx val="1483904959"/>
        <c:crosses val="autoZero"/>
        <c:auto val="1"/>
        <c:lblAlgn val="ctr"/>
        <c:lblOffset val="100"/>
        <c:noMultiLvlLbl val="0"/>
      </c:catAx>
      <c:valAx>
        <c:axId val="1483904959"/>
        <c:scaling>
          <c:orientation val="minMax"/>
          <c:max val="6"/>
          <c:min val="-2"/>
        </c:scaling>
        <c:delete val="0"/>
        <c:axPos val="t"/>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1"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de-CH" sz="1400" i="1"/>
                  <a:t>climate change impact</a:t>
                </a:r>
              </a:p>
              <a:p>
                <a:pPr>
                  <a:defRPr sz="1400" i="1"/>
                </a:pPr>
                <a:r>
                  <a:rPr lang="de-CH" sz="1400" i="1"/>
                  <a:t>[Mt CO2-eq]</a:t>
                </a:r>
              </a:p>
            </c:rich>
          </c:tx>
          <c:layout>
            <c:manualLayout>
              <c:xMode val="edge"/>
              <c:yMode val="edge"/>
              <c:x val="0.68657379151112563"/>
              <c:y val="7.6389323303056285E-3"/>
            </c:manualLayout>
          </c:layout>
          <c:overlay val="0"/>
          <c:spPr>
            <a:noFill/>
            <a:ln>
              <a:noFill/>
            </a:ln>
            <a:effectLst/>
          </c:spPr>
          <c:txPr>
            <a:bodyPr rot="0" spcFirstLastPara="1" vertOverflow="ellipsis" vert="horz" wrap="square" anchor="ctr" anchorCtr="1"/>
            <a:lstStyle/>
            <a:p>
              <a:pPr>
                <a:defRPr sz="1400" b="0" i="1"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CH"/>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CH"/>
          </a:p>
        </c:txPr>
        <c:crossAx val="1698371679"/>
        <c:crosses val="autoZero"/>
        <c:crossBetween val="between"/>
        <c:majorUnit val="2"/>
        <c:minorUnit val="1"/>
      </c:valAx>
      <c:spPr>
        <a:noFill/>
        <a:ln w="25400">
          <a:noFill/>
        </a:ln>
        <a:effectLst/>
      </c:spPr>
    </c:plotArea>
    <c:legend>
      <c:legendPos val="r"/>
      <c:layout>
        <c:manualLayout>
          <c:xMode val="edge"/>
          <c:yMode val="edge"/>
          <c:x val="0.59158934060462687"/>
          <c:y val="0.78582908419823783"/>
          <c:w val="0.36236479023462925"/>
          <c:h val="0.17192954583155737"/>
        </c:manualLayout>
      </c:layout>
      <c:overlay val="0"/>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C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600">
          <a:solidFill>
            <a:sysClr val="windowText" lastClr="000000"/>
          </a:solidFill>
          <a:latin typeface="Arial" panose="020B0604020202020204" pitchFamily="34" charset="0"/>
          <a:cs typeface="Arial" panose="020B0604020202020204" pitchFamily="34" charset="0"/>
        </a:defRPr>
      </a:pPr>
      <a:endParaRPr lang="en-CH"/>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4850119629661529E-2"/>
          <c:y val="2.6538923463065425E-2"/>
          <c:w val="0.90942348075294677"/>
          <c:h val="0.37817775791803598"/>
        </c:manualLayout>
      </c:layout>
      <c:barChart>
        <c:barDir val="col"/>
        <c:grouping val="stacked"/>
        <c:varyColors val="0"/>
        <c:ser>
          <c:idx val="2"/>
          <c:order val="0"/>
          <c:tx>
            <c:strRef>
              <c:f>'S4.2 sys imp chem rec Schwarz'!$Q$52</c:f>
              <c:strCache>
                <c:ptCount val="1"/>
                <c:pt idx="0">
                  <c:v>chemical recycling net (including credits for avoided products)</c:v>
                </c:pt>
              </c:strCache>
            </c:strRef>
          </c:tx>
          <c:spPr>
            <a:solidFill>
              <a:schemeClr val="accent3"/>
            </a:solidFill>
            <a:ln>
              <a:noFill/>
            </a:ln>
            <a:effectLst/>
          </c:spPr>
          <c:invertIfNegative val="0"/>
          <c:errBars>
            <c:errBarType val="both"/>
            <c:errValType val="cust"/>
            <c:noEndCap val="0"/>
            <c:plus>
              <c:numRef>
                <c:f>'S4.2 sys imp chem rec Schwarz'!$R$53:$AA$53</c:f>
                <c:numCache>
                  <c:formatCode>General</c:formatCode>
                  <c:ptCount val="10"/>
                  <c:pt idx="5">
                    <c:v>0.15958420919995209</c:v>
                  </c:pt>
                  <c:pt idx="6">
                    <c:v>0.17483642568727983</c:v>
                  </c:pt>
                  <c:pt idx="7">
                    <c:v>1.858869682528393E-2</c:v>
                  </c:pt>
                  <c:pt idx="8">
                    <c:v>1.8588696825283812E-2</c:v>
                  </c:pt>
                  <c:pt idx="9">
                    <c:v>7.0049782066811922E-2</c:v>
                  </c:pt>
                </c:numCache>
              </c:numRef>
            </c:plus>
            <c:minus>
              <c:numRef>
                <c:f>'S4.2 sys imp chem rec Schwarz'!$R$54:$AA$54</c:f>
                <c:numCache>
                  <c:formatCode>General</c:formatCode>
                  <c:ptCount val="10"/>
                  <c:pt idx="5">
                    <c:v>0.1595842091999522</c:v>
                  </c:pt>
                  <c:pt idx="6">
                    <c:v>0.19027563785842702</c:v>
                  </c:pt>
                  <c:pt idx="7">
                    <c:v>1.8588696825283697E-2</c:v>
                  </c:pt>
                  <c:pt idx="8">
                    <c:v>1.8588696825283697E-2</c:v>
                  </c:pt>
                  <c:pt idx="9">
                    <c:v>7.0049782066811686E-2</c:v>
                  </c:pt>
                </c:numCache>
              </c:numRef>
            </c:minus>
            <c:spPr>
              <a:noFill/>
              <a:ln w="9525" cap="flat" cmpd="sng" algn="ctr">
                <a:solidFill>
                  <a:schemeClr val="tx1">
                    <a:lumMod val="65000"/>
                    <a:lumOff val="35000"/>
                  </a:schemeClr>
                </a:solidFill>
                <a:round/>
              </a:ln>
              <a:effectLst/>
            </c:spPr>
          </c:errBars>
          <c:cat>
            <c:strRef>
              <c:f>'S4.2 sys imp chem rec Schwarz'!$R$48:$AA$48</c:f>
              <c:strCache>
                <c:ptCount val="10"/>
                <c:pt idx="0">
                  <c:v>no mech rec + incineration</c:v>
                </c:pt>
                <c:pt idx="1">
                  <c:v>max mech rec + incineration in WTE plants</c:v>
                </c:pt>
                <c:pt idx="2">
                  <c:v>max mech rec + max incineration in cement kilns</c:v>
                </c:pt>
                <c:pt idx="3">
                  <c:v>max mech rec + incineration in WTE plants with carbon capture</c:v>
                </c:pt>
                <c:pt idx="5">
                  <c:v>max mech rec 
+ gasificiation</c:v>
                </c:pt>
                <c:pt idx="6">
                  <c:v>max mech rec 
+ pyrolysis</c:v>
                </c:pt>
                <c:pt idx="7">
                  <c:v>max mech rec 
+ depolymerization
&amp;dissolution</c:v>
                </c:pt>
                <c:pt idx="8">
                  <c:v>max mech rec 
+ dissolution
&amp;depolymerization</c:v>
                </c:pt>
                <c:pt idx="9">
                  <c:v>best technology for each plastic type</c:v>
                </c:pt>
              </c:strCache>
            </c:strRef>
          </c:cat>
          <c:val>
            <c:numRef>
              <c:f>'S4.2 sys imp chem rec Schwarz'!$R$52:$AA$52</c:f>
              <c:numCache>
                <c:formatCode>0.0</c:formatCode>
                <c:ptCount val="10"/>
                <c:pt idx="0">
                  <c:v>0</c:v>
                </c:pt>
                <c:pt idx="1">
                  <c:v>0</c:v>
                </c:pt>
                <c:pt idx="5">
                  <c:v>-0.45454353890577387</c:v>
                </c:pt>
                <c:pt idx="6">
                  <c:v>-0.3676645214484866</c:v>
                </c:pt>
                <c:pt idx="7">
                  <c:v>-0.72773712807056301</c:v>
                </c:pt>
                <c:pt idx="8">
                  <c:v>-0.68956743027749801</c:v>
                </c:pt>
                <c:pt idx="9">
                  <c:v>-0.79608778444660944</c:v>
                </c:pt>
              </c:numCache>
            </c:numRef>
          </c:val>
          <c:extLst>
            <c:ext xmlns:c16="http://schemas.microsoft.com/office/drawing/2014/chart" uri="{C3380CC4-5D6E-409C-BE32-E72D297353CC}">
              <c16:uniqueId val="{00000000-48C1-4B50-9725-32F1455DA789}"/>
            </c:ext>
          </c:extLst>
        </c:ser>
        <c:ser>
          <c:idx val="1"/>
          <c:order val="1"/>
          <c:tx>
            <c:strRef>
              <c:f>'S4.2 sys imp chem rec Schwarz'!$Q$51</c:f>
              <c:strCache>
                <c:ptCount val="1"/>
                <c:pt idx="0">
                  <c:v>primary and secondary (mechanical recycling) production</c:v>
                </c:pt>
              </c:strCache>
            </c:strRef>
          </c:tx>
          <c:spPr>
            <a:solidFill>
              <a:schemeClr val="accent2"/>
            </a:solidFill>
            <a:ln>
              <a:noFill/>
            </a:ln>
            <a:effectLst/>
          </c:spPr>
          <c:invertIfNegative val="0"/>
          <c:cat>
            <c:strRef>
              <c:f>'S4.2 sys imp chem rec Schwarz'!$R$48:$AA$48</c:f>
              <c:strCache>
                <c:ptCount val="10"/>
                <c:pt idx="0">
                  <c:v>no mech rec + incineration</c:v>
                </c:pt>
                <c:pt idx="1">
                  <c:v>max mech rec + incineration in WTE plants</c:v>
                </c:pt>
                <c:pt idx="2">
                  <c:v>max mech rec + max incineration in cement kilns</c:v>
                </c:pt>
                <c:pt idx="3">
                  <c:v>max mech rec + incineration in WTE plants with carbon capture</c:v>
                </c:pt>
                <c:pt idx="5">
                  <c:v>max mech rec 
+ gasificiation</c:v>
                </c:pt>
                <c:pt idx="6">
                  <c:v>max mech rec 
+ pyrolysis</c:v>
                </c:pt>
                <c:pt idx="7">
                  <c:v>max mech rec 
+ depolymerization
&amp;dissolution</c:v>
                </c:pt>
                <c:pt idx="8">
                  <c:v>max mech rec 
+ dissolution
&amp;depolymerization</c:v>
                </c:pt>
                <c:pt idx="9">
                  <c:v>best technology for each plastic type</c:v>
                </c:pt>
              </c:strCache>
            </c:strRef>
          </c:cat>
          <c:val>
            <c:numRef>
              <c:f>'S4.2 sys imp chem rec Schwarz'!$R$51:$AA$51</c:f>
              <c:numCache>
                <c:formatCode>0.0</c:formatCode>
                <c:ptCount val="10"/>
                <c:pt idx="0">
                  <c:v>3.523822951694989</c:v>
                </c:pt>
                <c:pt idx="1">
                  <c:v>2.8856481090298605</c:v>
                </c:pt>
                <c:pt idx="2">
                  <c:v>2.8856481090298605</c:v>
                </c:pt>
                <c:pt idx="3">
                  <c:v>2.8856481090298605</c:v>
                </c:pt>
                <c:pt idx="5">
                  <c:v>2.8856481090298605</c:v>
                </c:pt>
                <c:pt idx="6">
                  <c:v>2.8856481090298605</c:v>
                </c:pt>
                <c:pt idx="7">
                  <c:v>2.8856481090298605</c:v>
                </c:pt>
                <c:pt idx="8">
                  <c:v>2.8856481090298605</c:v>
                </c:pt>
                <c:pt idx="9">
                  <c:v>2.8856481090298605</c:v>
                </c:pt>
              </c:numCache>
            </c:numRef>
          </c:val>
          <c:extLst>
            <c:ext xmlns:c16="http://schemas.microsoft.com/office/drawing/2014/chart" uri="{C3380CC4-5D6E-409C-BE32-E72D297353CC}">
              <c16:uniqueId val="{00000001-48C1-4B50-9725-32F1455DA789}"/>
            </c:ext>
          </c:extLst>
        </c:ser>
        <c:ser>
          <c:idx val="0"/>
          <c:order val="2"/>
          <c:tx>
            <c:strRef>
              <c:f>'S4.2 sys imp chem rec Schwarz'!$Q$49</c:f>
              <c:strCache>
                <c:ptCount val="1"/>
                <c:pt idx="0">
                  <c:v>(direct) incineration</c:v>
                </c:pt>
              </c:strCache>
            </c:strRef>
          </c:tx>
          <c:spPr>
            <a:solidFill>
              <a:schemeClr val="accent1"/>
            </a:solidFill>
            <a:ln>
              <a:noFill/>
            </a:ln>
            <a:effectLst/>
          </c:spPr>
          <c:invertIfNegative val="0"/>
          <c:cat>
            <c:strRef>
              <c:f>'S4.2 sys imp chem rec Schwarz'!$R$48:$AA$48</c:f>
              <c:strCache>
                <c:ptCount val="10"/>
                <c:pt idx="0">
                  <c:v>no mech rec + incineration</c:v>
                </c:pt>
                <c:pt idx="1">
                  <c:v>max mech rec + incineration in WTE plants</c:v>
                </c:pt>
                <c:pt idx="2">
                  <c:v>max mech rec + max incineration in cement kilns</c:v>
                </c:pt>
                <c:pt idx="3">
                  <c:v>max mech rec + incineration in WTE plants with carbon capture</c:v>
                </c:pt>
                <c:pt idx="5">
                  <c:v>max mech rec 
+ gasificiation</c:v>
                </c:pt>
                <c:pt idx="6">
                  <c:v>max mech rec 
+ pyrolysis</c:v>
                </c:pt>
                <c:pt idx="7">
                  <c:v>max mech rec 
+ depolymerization
&amp;dissolution</c:v>
                </c:pt>
                <c:pt idx="8">
                  <c:v>max mech rec 
+ dissolution
&amp;depolymerization</c:v>
                </c:pt>
                <c:pt idx="9">
                  <c:v>best technology for each plastic type</c:v>
                </c:pt>
              </c:strCache>
            </c:strRef>
          </c:cat>
          <c:val>
            <c:numRef>
              <c:f>'S4.2 sys imp chem rec Schwarz'!$R$49:$AA$49</c:f>
              <c:numCache>
                <c:formatCode>0.0</c:formatCode>
                <c:ptCount val="10"/>
                <c:pt idx="0">
                  <c:v>1.5058085130726611</c:v>
                </c:pt>
                <c:pt idx="1">
                  <c:v>1.0127603614370415</c:v>
                </c:pt>
                <c:pt idx="2">
                  <c:v>0.78568383324976654</c:v>
                </c:pt>
                <c:pt idx="3" formatCode="0.00">
                  <c:v>-0.25845015489469103</c:v>
                </c:pt>
                <c:pt idx="5">
                  <c:v>0.18083348565117766</c:v>
                </c:pt>
                <c:pt idx="6">
                  <c:v>0.18083348565117766</c:v>
                </c:pt>
                <c:pt idx="7">
                  <c:v>0.18083348565117766</c:v>
                </c:pt>
                <c:pt idx="8">
                  <c:v>0.18083348565117766</c:v>
                </c:pt>
                <c:pt idx="9">
                  <c:v>0.18083348565117766</c:v>
                </c:pt>
              </c:numCache>
            </c:numRef>
          </c:val>
          <c:extLst>
            <c:ext xmlns:c16="http://schemas.microsoft.com/office/drawing/2014/chart" uri="{C3380CC4-5D6E-409C-BE32-E72D297353CC}">
              <c16:uniqueId val="{00000002-48C1-4B50-9725-32F1455DA789}"/>
            </c:ext>
          </c:extLst>
        </c:ser>
        <c:ser>
          <c:idx val="3"/>
          <c:order val="3"/>
          <c:tx>
            <c:strRef>
              <c:f>'S4.2 sys imp chem rec Schwarz'!$Q$50</c:f>
              <c:strCache>
                <c:ptCount val="1"/>
                <c:pt idx="0">
                  <c:v>incineration in cement kiln</c:v>
                </c:pt>
              </c:strCache>
            </c:strRef>
          </c:tx>
          <c:spPr>
            <a:solidFill>
              <a:schemeClr val="accent4"/>
            </a:solidFill>
            <a:ln>
              <a:noFill/>
            </a:ln>
            <a:effectLst/>
          </c:spPr>
          <c:invertIfNegative val="0"/>
          <c:val>
            <c:numRef>
              <c:f>'S4.2 sys imp chem rec Schwarz'!$R$50:$AA$50</c:f>
              <c:numCache>
                <c:formatCode>General</c:formatCode>
                <c:ptCount val="10"/>
                <c:pt idx="0">
                  <c:v>0</c:v>
                </c:pt>
                <c:pt idx="1">
                  <c:v>0</c:v>
                </c:pt>
                <c:pt idx="2" formatCode="_(* #,##0.00_);_(* \(#,##0.00\);_(* &quot;-&quot;??_);_(@_)">
                  <c:v>-0.1893368303129766</c:v>
                </c:pt>
                <c:pt idx="3">
                  <c:v>0</c:v>
                </c:pt>
              </c:numCache>
            </c:numRef>
          </c:val>
          <c:extLst>
            <c:ext xmlns:c16="http://schemas.microsoft.com/office/drawing/2014/chart" uri="{C3380CC4-5D6E-409C-BE32-E72D297353CC}">
              <c16:uniqueId val="{00000003-48C1-4B50-9725-32F1455DA789}"/>
            </c:ext>
          </c:extLst>
        </c:ser>
        <c:dLbls>
          <c:showLegendKey val="0"/>
          <c:showVal val="0"/>
          <c:showCatName val="0"/>
          <c:showSerName val="0"/>
          <c:showPercent val="0"/>
          <c:showBubbleSize val="0"/>
        </c:dLbls>
        <c:gapWidth val="0"/>
        <c:overlap val="100"/>
        <c:axId val="1698371679"/>
        <c:axId val="1483904959"/>
      </c:barChart>
      <c:catAx>
        <c:axId val="1698371679"/>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400" b="0" i="0" u="none" strike="noStrike" kern="1200" baseline="0">
                <a:solidFill>
                  <a:sysClr val="windowText" lastClr="000000"/>
                </a:solidFill>
                <a:latin typeface="+mn-lt"/>
                <a:ea typeface="+mn-ea"/>
                <a:cs typeface="+mn-cs"/>
              </a:defRPr>
            </a:pPr>
            <a:endParaRPr lang="en-CH"/>
          </a:p>
        </c:txPr>
        <c:crossAx val="1483904959"/>
        <c:crosses val="autoZero"/>
        <c:auto val="1"/>
        <c:lblAlgn val="ctr"/>
        <c:lblOffset val="100"/>
        <c:noMultiLvlLbl val="0"/>
      </c:catAx>
      <c:valAx>
        <c:axId val="14839049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r>
                  <a:rPr lang="de-CH"/>
                  <a:t>Mt CO2-eq</a:t>
                </a:r>
              </a:p>
            </c:rich>
          </c:tx>
          <c:overlay val="0"/>
          <c:spPr>
            <a:noFill/>
            <a:ln>
              <a:noFill/>
            </a:ln>
            <a:effectLst/>
          </c:spPr>
          <c:txPr>
            <a:bodyPr rot="-540000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CH"/>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CH"/>
          </a:p>
        </c:txPr>
        <c:crossAx val="1698371679"/>
        <c:crosses val="autoZero"/>
        <c:crossBetween val="between"/>
      </c:valAx>
      <c:spPr>
        <a:noFill/>
        <a:ln>
          <a:noFill/>
        </a:ln>
        <a:effectLst/>
      </c:spPr>
    </c:plotArea>
    <c:legend>
      <c:legendPos val="b"/>
      <c:layout>
        <c:manualLayout>
          <c:xMode val="edge"/>
          <c:yMode val="edge"/>
          <c:x val="0"/>
          <c:y val="0.90565879776794134"/>
          <c:w val="1"/>
          <c:h val="9.3026113161041979E-2"/>
        </c:manualLayout>
      </c:layout>
      <c:overlay val="0"/>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C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600">
          <a:solidFill>
            <a:sysClr val="windowText" lastClr="000000"/>
          </a:solidFill>
        </a:defRPr>
      </a:pPr>
      <a:endParaRPr lang="en-CH"/>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1.emf"/><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7</xdr:col>
      <xdr:colOff>283368</xdr:colOff>
      <xdr:row>0</xdr:row>
      <xdr:rowOff>147206</xdr:rowOff>
    </xdr:from>
    <xdr:to>
      <xdr:col>14</xdr:col>
      <xdr:colOff>321468</xdr:colOff>
      <xdr:row>19</xdr:row>
      <xdr:rowOff>138546</xdr:rowOff>
    </xdr:to>
    <xdr:graphicFrame macro="">
      <xdr:nvGraphicFramePr>
        <xdr:cNvPr id="2" name="Chart 1">
          <a:extLst>
            <a:ext uri="{FF2B5EF4-FFF2-40B4-BE49-F238E27FC236}">
              <a16:creationId xmlns:a16="http://schemas.microsoft.com/office/drawing/2014/main" id="{0075AC84-BEBF-4D90-B944-4EDFCB0664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248262</xdr:colOff>
      <xdr:row>18</xdr:row>
      <xdr:rowOff>14178</xdr:rowOff>
    </xdr:from>
    <xdr:to>
      <xdr:col>9</xdr:col>
      <xdr:colOff>534012</xdr:colOff>
      <xdr:row>19</xdr:row>
      <xdr:rowOff>9822</xdr:rowOff>
    </xdr:to>
    <xdr:sp macro="" textlink="">
      <xdr:nvSpPr>
        <xdr:cNvPr id="3" name="TextBox 2">
          <a:extLst>
            <a:ext uri="{FF2B5EF4-FFF2-40B4-BE49-F238E27FC236}">
              <a16:creationId xmlns:a16="http://schemas.microsoft.com/office/drawing/2014/main" id="{8B2D66BE-8A71-42B6-8723-DB6A585C01D6}"/>
            </a:ext>
          </a:extLst>
        </xdr:cNvPr>
        <xdr:cNvSpPr txBox="1"/>
      </xdr:nvSpPr>
      <xdr:spPr>
        <a:xfrm>
          <a:off x="5443717" y="3287314"/>
          <a:ext cx="935182" cy="177486"/>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a:latin typeface="Arial" panose="020B0604020202020204" pitchFamily="34" charset="0"/>
              <a:cs typeface="Arial" panose="020B0604020202020204" pitchFamily="34" charset="0"/>
            </a:rPr>
            <a:t>Gasification</a:t>
          </a:r>
          <a:endParaRPr lang="en-CH" sz="900" b="1">
            <a:latin typeface="Arial" panose="020B0604020202020204" pitchFamily="34" charset="0"/>
            <a:cs typeface="Arial" panose="020B0604020202020204" pitchFamily="34" charset="0"/>
          </a:endParaRPr>
        </a:p>
      </xdr:txBody>
    </xdr:sp>
    <xdr:clientData/>
  </xdr:twoCellAnchor>
  <xdr:twoCellAnchor>
    <xdr:from>
      <xdr:col>9</xdr:col>
      <xdr:colOff>321863</xdr:colOff>
      <xdr:row>18</xdr:row>
      <xdr:rowOff>14178</xdr:rowOff>
    </xdr:from>
    <xdr:to>
      <xdr:col>10</xdr:col>
      <xdr:colOff>533146</xdr:colOff>
      <xdr:row>19</xdr:row>
      <xdr:rowOff>9822</xdr:rowOff>
    </xdr:to>
    <xdr:sp macro="" textlink="">
      <xdr:nvSpPr>
        <xdr:cNvPr id="5" name="TextBox 4">
          <a:extLst>
            <a:ext uri="{FF2B5EF4-FFF2-40B4-BE49-F238E27FC236}">
              <a16:creationId xmlns:a16="http://schemas.microsoft.com/office/drawing/2014/main" id="{13C1F96A-D143-4302-85E9-5C06C24A81F9}"/>
            </a:ext>
          </a:extLst>
        </xdr:cNvPr>
        <xdr:cNvSpPr txBox="1"/>
      </xdr:nvSpPr>
      <xdr:spPr>
        <a:xfrm>
          <a:off x="6166750" y="3287314"/>
          <a:ext cx="860714" cy="177486"/>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a:latin typeface="Arial" panose="020B0604020202020204" pitchFamily="34" charset="0"/>
              <a:cs typeface="Arial" panose="020B0604020202020204" pitchFamily="34" charset="0"/>
            </a:rPr>
            <a:t>Pyrolysis</a:t>
          </a:r>
          <a:endParaRPr lang="en-CH" sz="900" b="1">
            <a:latin typeface="Arial" panose="020B0604020202020204" pitchFamily="34" charset="0"/>
            <a:cs typeface="Arial" panose="020B0604020202020204" pitchFamily="34" charset="0"/>
          </a:endParaRPr>
        </a:p>
      </xdr:txBody>
    </xdr:sp>
    <xdr:clientData/>
  </xdr:twoCellAnchor>
  <xdr:twoCellAnchor>
    <xdr:from>
      <xdr:col>10</xdr:col>
      <xdr:colOff>304465</xdr:colOff>
      <xdr:row>18</xdr:row>
      <xdr:rowOff>14178</xdr:rowOff>
    </xdr:from>
    <xdr:to>
      <xdr:col>12</xdr:col>
      <xdr:colOff>207482</xdr:colOff>
      <xdr:row>19</xdr:row>
      <xdr:rowOff>9822</xdr:rowOff>
    </xdr:to>
    <xdr:sp macro="" textlink="">
      <xdr:nvSpPr>
        <xdr:cNvPr id="6" name="TextBox 5">
          <a:extLst>
            <a:ext uri="{FF2B5EF4-FFF2-40B4-BE49-F238E27FC236}">
              <a16:creationId xmlns:a16="http://schemas.microsoft.com/office/drawing/2014/main" id="{AD95EDBB-7E44-4931-92ED-AE2F1BE77620}"/>
            </a:ext>
          </a:extLst>
        </xdr:cNvPr>
        <xdr:cNvSpPr txBox="1"/>
      </xdr:nvSpPr>
      <xdr:spPr>
        <a:xfrm>
          <a:off x="6798783" y="3287314"/>
          <a:ext cx="1201881" cy="177486"/>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a:latin typeface="Arial" panose="020B0604020202020204" pitchFamily="34" charset="0"/>
              <a:cs typeface="Arial" panose="020B0604020202020204" pitchFamily="34" charset="0"/>
            </a:rPr>
            <a:t>Depolymerization</a:t>
          </a:r>
          <a:endParaRPr lang="en-CH" sz="900" b="1">
            <a:latin typeface="Arial" panose="020B0604020202020204" pitchFamily="34" charset="0"/>
            <a:cs typeface="Arial" panose="020B0604020202020204" pitchFamily="34" charset="0"/>
          </a:endParaRPr>
        </a:p>
      </xdr:txBody>
    </xdr:sp>
    <xdr:clientData/>
  </xdr:twoCellAnchor>
  <xdr:twoCellAnchor>
    <xdr:from>
      <xdr:col>12</xdr:col>
      <xdr:colOff>17092</xdr:colOff>
      <xdr:row>18</xdr:row>
      <xdr:rowOff>14178</xdr:rowOff>
    </xdr:from>
    <xdr:to>
      <xdr:col>13</xdr:col>
      <xdr:colOff>333147</xdr:colOff>
      <xdr:row>19</xdr:row>
      <xdr:rowOff>9822</xdr:rowOff>
    </xdr:to>
    <xdr:sp macro="" textlink="">
      <xdr:nvSpPr>
        <xdr:cNvPr id="7" name="TextBox 6">
          <a:extLst>
            <a:ext uri="{FF2B5EF4-FFF2-40B4-BE49-F238E27FC236}">
              <a16:creationId xmlns:a16="http://schemas.microsoft.com/office/drawing/2014/main" id="{CDF318F1-4D4B-4475-A926-685286A61284}"/>
            </a:ext>
          </a:extLst>
        </xdr:cNvPr>
        <xdr:cNvSpPr txBox="1"/>
      </xdr:nvSpPr>
      <xdr:spPr>
        <a:xfrm>
          <a:off x="7810274" y="3287314"/>
          <a:ext cx="965488" cy="177486"/>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a:latin typeface="Arial" panose="020B0604020202020204" pitchFamily="34" charset="0"/>
              <a:cs typeface="Arial" panose="020B0604020202020204" pitchFamily="34" charset="0"/>
            </a:rPr>
            <a:t>Dissolution</a:t>
          </a:r>
          <a:endParaRPr lang="en-CH" sz="900" b="1">
            <a:latin typeface="Arial" panose="020B0604020202020204" pitchFamily="34" charset="0"/>
            <a:cs typeface="Arial" panose="020B0604020202020204" pitchFamily="34" charset="0"/>
          </a:endParaRPr>
        </a:p>
      </xdr:txBody>
    </xdr:sp>
    <xdr:clientData/>
  </xdr:twoCellAnchor>
  <xdr:twoCellAnchor editAs="oneCell">
    <xdr:from>
      <xdr:col>13</xdr:col>
      <xdr:colOff>309213</xdr:colOff>
      <xdr:row>0</xdr:row>
      <xdr:rowOff>172316</xdr:rowOff>
    </xdr:from>
    <xdr:to>
      <xdr:col>14</xdr:col>
      <xdr:colOff>322118</xdr:colOff>
      <xdr:row>3</xdr:row>
      <xdr:rowOff>77079</xdr:rowOff>
    </xdr:to>
    <xdr:pic>
      <xdr:nvPicPr>
        <xdr:cNvPr id="8" name="Picture 7">
          <a:extLst>
            <a:ext uri="{FF2B5EF4-FFF2-40B4-BE49-F238E27FC236}">
              <a16:creationId xmlns:a16="http://schemas.microsoft.com/office/drawing/2014/main" id="{5BD6A1D4-B3D0-452A-B29C-39726730EE2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751828" y="172316"/>
          <a:ext cx="662335" cy="4502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209363</xdr:colOff>
      <xdr:row>23</xdr:row>
      <xdr:rowOff>89620</xdr:rowOff>
    </xdr:from>
    <xdr:to>
      <xdr:col>14</xdr:col>
      <xdr:colOff>222662</xdr:colOff>
      <xdr:row>41</xdr:row>
      <xdr:rowOff>8658</xdr:rowOff>
    </xdr:to>
    <xdr:graphicFrame macro="">
      <xdr:nvGraphicFramePr>
        <xdr:cNvPr id="10" name="Chart 9">
          <a:extLst>
            <a:ext uri="{FF2B5EF4-FFF2-40B4-BE49-F238E27FC236}">
              <a16:creationId xmlns:a16="http://schemas.microsoft.com/office/drawing/2014/main" id="{ADD7C496-688D-406B-81EE-DA8D8E3E14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138544</xdr:colOff>
      <xdr:row>18</xdr:row>
      <xdr:rowOff>14178</xdr:rowOff>
    </xdr:from>
    <xdr:to>
      <xdr:col>14</xdr:col>
      <xdr:colOff>199160</xdr:colOff>
      <xdr:row>20</xdr:row>
      <xdr:rowOff>147206</xdr:rowOff>
    </xdr:to>
    <xdr:sp macro="" textlink="">
      <xdr:nvSpPr>
        <xdr:cNvPr id="16" name="TextBox 15">
          <a:extLst>
            <a:ext uri="{FF2B5EF4-FFF2-40B4-BE49-F238E27FC236}">
              <a16:creationId xmlns:a16="http://schemas.microsoft.com/office/drawing/2014/main" id="{B0F17C85-DC07-4834-8F24-E1825DA16543}"/>
            </a:ext>
          </a:extLst>
        </xdr:cNvPr>
        <xdr:cNvSpPr txBox="1"/>
      </xdr:nvSpPr>
      <xdr:spPr>
        <a:xfrm>
          <a:off x="8581159" y="3287314"/>
          <a:ext cx="710046" cy="49671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1">
              <a:solidFill>
                <a:srgbClr val="7D7D7D"/>
              </a:solidFill>
              <a:latin typeface="Arial" panose="020B0604020202020204" pitchFamily="34" charset="0"/>
              <a:cs typeface="Arial" panose="020B0604020202020204" pitchFamily="34" charset="0"/>
            </a:rPr>
            <a:t>Energy</a:t>
          </a:r>
        </a:p>
        <a:p>
          <a:pPr algn="ctr"/>
          <a:r>
            <a:rPr lang="en-US" sz="900" b="1">
              <a:solidFill>
                <a:srgbClr val="7D7D7D"/>
              </a:solidFill>
              <a:latin typeface="Arial" panose="020B0604020202020204" pitchFamily="34" charset="0"/>
              <a:cs typeface="Arial" panose="020B0604020202020204" pitchFamily="34" charset="0"/>
            </a:rPr>
            <a:t>Recovery</a:t>
          </a:r>
          <a:endParaRPr lang="en-CH" sz="900" b="1">
            <a:solidFill>
              <a:srgbClr val="7D7D7D"/>
            </a:solidFill>
            <a:latin typeface="Arial" panose="020B0604020202020204" pitchFamily="34" charset="0"/>
            <a:cs typeface="Arial" panose="020B0604020202020204" pitchFamily="34" charset="0"/>
          </a:endParaRPr>
        </a:p>
      </xdr:txBody>
    </xdr:sp>
    <xdr:clientData/>
  </xdr:twoCellAnchor>
  <xdr:twoCellAnchor>
    <xdr:from>
      <xdr:col>8</xdr:col>
      <xdr:colOff>140091</xdr:colOff>
      <xdr:row>39</xdr:row>
      <xdr:rowOff>158893</xdr:rowOff>
    </xdr:from>
    <xdr:to>
      <xdr:col>9</xdr:col>
      <xdr:colOff>425841</xdr:colOff>
      <xdr:row>40</xdr:row>
      <xdr:rowOff>154539</xdr:rowOff>
    </xdr:to>
    <xdr:sp macro="" textlink="">
      <xdr:nvSpPr>
        <xdr:cNvPr id="17" name="TextBox 2">
          <a:extLst>
            <a:ext uri="{FF2B5EF4-FFF2-40B4-BE49-F238E27FC236}">
              <a16:creationId xmlns:a16="http://schemas.microsoft.com/office/drawing/2014/main" id="{F67DD941-ADE2-45E7-9B3A-E68BA39D0293}"/>
            </a:ext>
          </a:extLst>
        </xdr:cNvPr>
        <xdr:cNvSpPr txBox="1"/>
      </xdr:nvSpPr>
      <xdr:spPr>
        <a:xfrm>
          <a:off x="5335546" y="7250689"/>
          <a:ext cx="935182" cy="177486"/>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sz="900" b="1">
              <a:latin typeface="Arial" panose="020B0604020202020204" pitchFamily="34" charset="0"/>
              <a:cs typeface="Arial" panose="020B0604020202020204" pitchFamily="34" charset="0"/>
            </a:rPr>
            <a:t>Gasification</a:t>
          </a:r>
          <a:endParaRPr lang="en-CH" sz="900" b="1">
            <a:latin typeface="Arial" panose="020B0604020202020204" pitchFamily="34" charset="0"/>
            <a:cs typeface="Arial" panose="020B0604020202020204" pitchFamily="34" charset="0"/>
          </a:endParaRPr>
        </a:p>
      </xdr:txBody>
    </xdr:sp>
    <xdr:clientData/>
  </xdr:twoCellAnchor>
  <xdr:twoCellAnchor>
    <xdr:from>
      <xdr:col>9</xdr:col>
      <xdr:colOff>213692</xdr:colOff>
      <xdr:row>39</xdr:row>
      <xdr:rowOff>158893</xdr:rowOff>
    </xdr:from>
    <xdr:to>
      <xdr:col>10</xdr:col>
      <xdr:colOff>424975</xdr:colOff>
      <xdr:row>40</xdr:row>
      <xdr:rowOff>154539</xdr:rowOff>
    </xdr:to>
    <xdr:sp macro="" textlink="">
      <xdr:nvSpPr>
        <xdr:cNvPr id="18" name="TextBox 4">
          <a:extLst>
            <a:ext uri="{FF2B5EF4-FFF2-40B4-BE49-F238E27FC236}">
              <a16:creationId xmlns:a16="http://schemas.microsoft.com/office/drawing/2014/main" id="{0BA392AC-69E8-4316-B02A-B3702F5CF2A2}"/>
            </a:ext>
          </a:extLst>
        </xdr:cNvPr>
        <xdr:cNvSpPr txBox="1"/>
      </xdr:nvSpPr>
      <xdr:spPr>
        <a:xfrm>
          <a:off x="6058579" y="7250689"/>
          <a:ext cx="860714" cy="177486"/>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sz="900" b="1">
              <a:latin typeface="Arial" panose="020B0604020202020204" pitchFamily="34" charset="0"/>
              <a:cs typeface="Arial" panose="020B0604020202020204" pitchFamily="34" charset="0"/>
            </a:rPr>
            <a:t>Pyrolysis</a:t>
          </a:r>
          <a:endParaRPr lang="en-CH" sz="900" b="1">
            <a:latin typeface="Arial" panose="020B0604020202020204" pitchFamily="34" charset="0"/>
            <a:cs typeface="Arial" panose="020B0604020202020204" pitchFamily="34" charset="0"/>
          </a:endParaRPr>
        </a:p>
      </xdr:txBody>
    </xdr:sp>
    <xdr:clientData/>
  </xdr:twoCellAnchor>
  <xdr:twoCellAnchor>
    <xdr:from>
      <xdr:col>10</xdr:col>
      <xdr:colOff>196294</xdr:colOff>
      <xdr:row>39</xdr:row>
      <xdr:rowOff>158893</xdr:rowOff>
    </xdr:from>
    <xdr:to>
      <xdr:col>12</xdr:col>
      <xdr:colOff>99311</xdr:colOff>
      <xdr:row>40</xdr:row>
      <xdr:rowOff>154539</xdr:rowOff>
    </xdr:to>
    <xdr:sp macro="" textlink="">
      <xdr:nvSpPr>
        <xdr:cNvPr id="19" name="TextBox 5">
          <a:extLst>
            <a:ext uri="{FF2B5EF4-FFF2-40B4-BE49-F238E27FC236}">
              <a16:creationId xmlns:a16="http://schemas.microsoft.com/office/drawing/2014/main" id="{8204917E-F4D5-4EBE-A3FB-FF0B00624A8B}"/>
            </a:ext>
          </a:extLst>
        </xdr:cNvPr>
        <xdr:cNvSpPr txBox="1"/>
      </xdr:nvSpPr>
      <xdr:spPr>
        <a:xfrm>
          <a:off x="6690612" y="7250689"/>
          <a:ext cx="1201881" cy="177486"/>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sz="900" b="1">
              <a:latin typeface="Arial" panose="020B0604020202020204" pitchFamily="34" charset="0"/>
              <a:cs typeface="Arial" panose="020B0604020202020204" pitchFamily="34" charset="0"/>
            </a:rPr>
            <a:t>Depolymerization</a:t>
          </a:r>
          <a:endParaRPr lang="en-CH" sz="900" b="1">
            <a:latin typeface="Arial" panose="020B0604020202020204" pitchFamily="34" charset="0"/>
            <a:cs typeface="Arial" panose="020B0604020202020204" pitchFamily="34" charset="0"/>
          </a:endParaRPr>
        </a:p>
      </xdr:txBody>
    </xdr:sp>
    <xdr:clientData/>
  </xdr:twoCellAnchor>
  <xdr:twoCellAnchor>
    <xdr:from>
      <xdr:col>11</xdr:col>
      <xdr:colOff>558352</xdr:colOff>
      <xdr:row>39</xdr:row>
      <xdr:rowOff>158893</xdr:rowOff>
    </xdr:from>
    <xdr:to>
      <xdr:col>13</xdr:col>
      <xdr:colOff>224976</xdr:colOff>
      <xdr:row>40</xdr:row>
      <xdr:rowOff>154539</xdr:rowOff>
    </xdr:to>
    <xdr:sp macro="" textlink="">
      <xdr:nvSpPr>
        <xdr:cNvPr id="20" name="TextBox 6">
          <a:extLst>
            <a:ext uri="{FF2B5EF4-FFF2-40B4-BE49-F238E27FC236}">
              <a16:creationId xmlns:a16="http://schemas.microsoft.com/office/drawing/2014/main" id="{84B9EAEE-2052-4B45-8531-3BDD6D8D8B88}"/>
            </a:ext>
          </a:extLst>
        </xdr:cNvPr>
        <xdr:cNvSpPr txBox="1"/>
      </xdr:nvSpPr>
      <xdr:spPr>
        <a:xfrm>
          <a:off x="7702103" y="7250689"/>
          <a:ext cx="965488" cy="177486"/>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sz="900" b="1">
              <a:latin typeface="Arial" panose="020B0604020202020204" pitchFamily="34" charset="0"/>
              <a:cs typeface="Arial" panose="020B0604020202020204" pitchFamily="34" charset="0"/>
            </a:rPr>
            <a:t>Dissolution</a:t>
          </a:r>
          <a:endParaRPr lang="en-CH" sz="900" b="1">
            <a:latin typeface="Arial" panose="020B0604020202020204" pitchFamily="34" charset="0"/>
            <a:cs typeface="Arial" panose="020B0604020202020204" pitchFamily="34" charset="0"/>
          </a:endParaRPr>
        </a:p>
      </xdr:txBody>
    </xdr:sp>
    <xdr:clientData/>
  </xdr:twoCellAnchor>
  <xdr:twoCellAnchor>
    <xdr:from>
      <xdr:col>13</xdr:col>
      <xdr:colOff>30373</xdr:colOff>
      <xdr:row>39</xdr:row>
      <xdr:rowOff>158893</xdr:rowOff>
    </xdr:from>
    <xdr:to>
      <xdr:col>14</xdr:col>
      <xdr:colOff>90989</xdr:colOff>
      <xdr:row>42</xdr:row>
      <xdr:rowOff>110081</xdr:rowOff>
    </xdr:to>
    <xdr:sp macro="" textlink="">
      <xdr:nvSpPr>
        <xdr:cNvPr id="21" name="TextBox 15">
          <a:extLst>
            <a:ext uri="{FF2B5EF4-FFF2-40B4-BE49-F238E27FC236}">
              <a16:creationId xmlns:a16="http://schemas.microsoft.com/office/drawing/2014/main" id="{5AFBF5CD-18CA-4C7E-B8FD-9F6E0EA1F824}"/>
            </a:ext>
          </a:extLst>
        </xdr:cNvPr>
        <xdr:cNvSpPr txBox="1"/>
      </xdr:nvSpPr>
      <xdr:spPr>
        <a:xfrm>
          <a:off x="8472988" y="7250689"/>
          <a:ext cx="710046" cy="49671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lang="en-US" sz="900" b="1">
              <a:solidFill>
                <a:srgbClr val="7D7D7D"/>
              </a:solidFill>
              <a:latin typeface="Arial" panose="020B0604020202020204" pitchFamily="34" charset="0"/>
              <a:cs typeface="Arial" panose="020B0604020202020204" pitchFamily="34" charset="0"/>
            </a:rPr>
            <a:t>Energy</a:t>
          </a:r>
        </a:p>
        <a:p>
          <a:pPr algn="ctr"/>
          <a:r>
            <a:rPr lang="en-US" sz="900" b="1">
              <a:solidFill>
                <a:srgbClr val="7D7D7D"/>
              </a:solidFill>
              <a:latin typeface="Arial" panose="020B0604020202020204" pitchFamily="34" charset="0"/>
              <a:cs typeface="Arial" panose="020B0604020202020204" pitchFamily="34" charset="0"/>
            </a:rPr>
            <a:t>Recovery</a:t>
          </a:r>
          <a:endParaRPr lang="en-CH" sz="900" b="1">
            <a:solidFill>
              <a:srgbClr val="7D7D7D"/>
            </a:solidFill>
            <a:latin typeface="Arial" panose="020B0604020202020204" pitchFamily="34" charset="0"/>
            <a:cs typeface="Arial" panose="020B0604020202020204" pitchFamily="34" charset="0"/>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0.8547</cdr:x>
      <cdr:y>0.03901</cdr:y>
    </cdr:from>
    <cdr:to>
      <cdr:x>1</cdr:x>
      <cdr:y>0.17959</cdr:y>
    </cdr:to>
    <cdr:pic>
      <cdr:nvPicPr>
        <cdr:cNvPr id="14" name="Picture 13">
          <a:extLst xmlns:a="http://schemas.openxmlformats.org/drawingml/2006/main">
            <a:ext uri="{FF2B5EF4-FFF2-40B4-BE49-F238E27FC236}">
              <a16:creationId xmlns:a16="http://schemas.microsoft.com/office/drawing/2014/main" id="{5BD6A1D4-B3D0-452A-B29C-39726730EE2F}"/>
            </a:ext>
          </a:extLst>
        </cdr:cNvPr>
        <cdr:cNvPicPr>
          <a:picLocks xmlns:a="http://schemas.openxmlformats.org/drawingml/2006/main" noChangeAspect="1" noChangeArrowheads="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Lst>
        </a:blip>
        <a:srcRect xmlns:a="http://schemas.openxmlformats.org/drawingml/2006/main"/>
        <a:stretch xmlns:a="http://schemas.openxmlformats.org/drawingml/2006/main">
          <a:fillRect/>
        </a:stretch>
      </cdr:blipFill>
      <cdr:spPr bwMode="auto">
        <a:xfrm xmlns:a="http://schemas.openxmlformats.org/drawingml/2006/main">
          <a:off x="3858019" y="122238"/>
          <a:ext cx="655842" cy="440546"/>
        </a:xfrm>
        <a:prstGeom xmlns:a="http://schemas.openxmlformats.org/drawingml/2006/main" prst="rect">
          <a:avLst/>
        </a:prstGeom>
        <a:noFill xmlns:a="http://schemas.openxmlformats.org/drawingml/2006/main"/>
        <a:extLst xmlns:a="http://schemas.openxmlformats.org/drawingml/2006/main">
          <a:ext uri="{909E8E84-426E-40DD-AFC4-6F175D3DCCD1}">
            <a14:hiddenFill xmlns:a14="http://schemas.microsoft.com/office/drawing/2010/main">
              <a:solidFill>
                <a:srgbClr val="FFFFFF"/>
              </a:solidFill>
            </a14:hiddenFill>
          </a:ext>
        </a:extLst>
      </cdr:spPr>
    </cdr:pic>
  </cdr:relSizeAnchor>
</c:userShapes>
</file>

<file path=xl/drawings/drawing3.xml><?xml version="1.0" encoding="utf-8"?>
<xdr:wsDr xmlns:xdr="http://schemas.openxmlformats.org/drawingml/2006/spreadsheetDrawing" xmlns:a="http://schemas.openxmlformats.org/drawingml/2006/main">
  <xdr:twoCellAnchor>
    <xdr:from>
      <xdr:col>14</xdr:col>
      <xdr:colOff>17320</xdr:colOff>
      <xdr:row>42</xdr:row>
      <xdr:rowOff>491403</xdr:rowOff>
    </xdr:from>
    <xdr:to>
      <xdr:col>27</xdr:col>
      <xdr:colOff>138548</xdr:colOff>
      <xdr:row>63</xdr:row>
      <xdr:rowOff>311728</xdr:rowOff>
    </xdr:to>
    <xdr:graphicFrame macro="">
      <xdr:nvGraphicFramePr>
        <xdr:cNvPr id="13" name="Chart 12">
          <a:extLst>
            <a:ext uri="{FF2B5EF4-FFF2-40B4-BE49-F238E27FC236}">
              <a16:creationId xmlns:a16="http://schemas.microsoft.com/office/drawing/2014/main" id="{231F9FC1-0D20-4986-BF69-20230BCC0C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2</xdr:colOff>
      <xdr:row>19</xdr:row>
      <xdr:rowOff>272143</xdr:rowOff>
    </xdr:from>
    <xdr:to>
      <xdr:col>27</xdr:col>
      <xdr:colOff>143832</xdr:colOff>
      <xdr:row>42</xdr:row>
      <xdr:rowOff>0</xdr:rowOff>
    </xdr:to>
    <xdr:graphicFrame macro="">
      <xdr:nvGraphicFramePr>
        <xdr:cNvPr id="19" name="Chart 18">
          <a:extLst>
            <a:ext uri="{FF2B5EF4-FFF2-40B4-BE49-F238E27FC236}">
              <a16:creationId xmlns:a16="http://schemas.microsoft.com/office/drawing/2014/main" id="{EDA156B2-A5BD-4306-89A9-409F59D0FF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163259</xdr:colOff>
      <xdr:row>39</xdr:row>
      <xdr:rowOff>135899</xdr:rowOff>
    </xdr:from>
    <xdr:to>
      <xdr:col>17</xdr:col>
      <xdr:colOff>522289</xdr:colOff>
      <xdr:row>39</xdr:row>
      <xdr:rowOff>135899</xdr:rowOff>
    </xdr:to>
    <xdr:cxnSp macro="">
      <xdr:nvCxnSpPr>
        <xdr:cNvPr id="17" name="Straight Connector 16">
          <a:extLst>
            <a:ext uri="{FF2B5EF4-FFF2-40B4-BE49-F238E27FC236}">
              <a16:creationId xmlns:a16="http://schemas.microsoft.com/office/drawing/2014/main" id="{BCD4E2B0-B1CB-4E58-AC39-7B92F690129B}"/>
            </a:ext>
          </a:extLst>
        </xdr:cNvPr>
        <xdr:cNvCxnSpPr/>
      </xdr:nvCxnSpPr>
      <xdr:spPr>
        <a:xfrm>
          <a:off x="21001149" y="10902273"/>
          <a:ext cx="359030" cy="0"/>
        </a:xfrm>
        <a:prstGeom prst="line">
          <a:avLst/>
        </a:prstGeom>
        <a:ln w="101600"/>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505628</xdr:colOff>
      <xdr:row>38</xdr:row>
      <xdr:rowOff>157501</xdr:rowOff>
    </xdr:from>
    <xdr:to>
      <xdr:col>20</xdr:col>
      <xdr:colOff>543972</xdr:colOff>
      <xdr:row>41</xdr:row>
      <xdr:rowOff>554322</xdr:rowOff>
    </xdr:to>
    <xdr:sp macro="" textlink="">
      <xdr:nvSpPr>
        <xdr:cNvPr id="18" name="TextBox 17">
          <a:extLst>
            <a:ext uri="{FF2B5EF4-FFF2-40B4-BE49-F238E27FC236}">
              <a16:creationId xmlns:a16="http://schemas.microsoft.com/office/drawing/2014/main" id="{7DB0D99E-D509-44D3-8967-479CC214BEC7}"/>
            </a:ext>
          </a:extLst>
        </xdr:cNvPr>
        <xdr:cNvSpPr txBox="1"/>
      </xdr:nvSpPr>
      <xdr:spPr>
        <a:xfrm>
          <a:off x="21343518" y="10744304"/>
          <a:ext cx="2872421" cy="9355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a:latin typeface="Arial" panose="020B0604020202020204" pitchFamily="34" charset="0"/>
              <a:cs typeface="Arial" panose="020B0604020202020204" pitchFamily="34" charset="0"/>
            </a:rPr>
            <a:t>total system</a:t>
          </a:r>
          <a:r>
            <a:rPr lang="en-US" sz="1600" baseline="0">
              <a:latin typeface="Arial" panose="020B0604020202020204" pitchFamily="34" charset="0"/>
              <a:cs typeface="Arial" panose="020B0604020202020204" pitchFamily="34" charset="0"/>
            </a:rPr>
            <a:t> impact -</a:t>
          </a:r>
          <a:br>
            <a:rPr lang="en-US" sz="1600" baseline="0">
              <a:latin typeface="Arial" panose="020B0604020202020204" pitchFamily="34" charset="0"/>
              <a:cs typeface="Arial" panose="020B0604020202020204" pitchFamily="34" charset="0"/>
            </a:rPr>
          </a:br>
          <a:r>
            <a:rPr lang="en-US" sz="1600" baseline="0">
              <a:latin typeface="Arial" panose="020B0604020202020204" pitchFamily="34" charset="0"/>
              <a:cs typeface="Arial" panose="020B0604020202020204" pitchFamily="34" charset="0"/>
            </a:rPr>
            <a:t>medium value assumptions</a:t>
          </a:r>
          <a:endParaRPr lang="en-CH" sz="1600">
            <a:latin typeface="Arial" panose="020B0604020202020204" pitchFamily="34" charset="0"/>
            <a:cs typeface="Arial" panose="020B0604020202020204" pitchFamily="34" charset="0"/>
          </a:endParaRPr>
        </a:p>
      </xdr:txBody>
    </xdr:sp>
    <xdr:clientData/>
  </xdr:twoCellAnchor>
  <xdr:twoCellAnchor>
    <xdr:from>
      <xdr:col>24</xdr:col>
      <xdr:colOff>538538</xdr:colOff>
      <xdr:row>31</xdr:row>
      <xdr:rowOff>134927</xdr:rowOff>
    </xdr:from>
    <xdr:to>
      <xdr:col>24</xdr:col>
      <xdr:colOff>588825</xdr:colOff>
      <xdr:row>31</xdr:row>
      <xdr:rowOff>134927</xdr:rowOff>
    </xdr:to>
    <xdr:cxnSp macro="">
      <xdr:nvCxnSpPr>
        <xdr:cNvPr id="20" name="Straight Connector 19">
          <a:extLst>
            <a:ext uri="{FF2B5EF4-FFF2-40B4-BE49-F238E27FC236}">
              <a16:creationId xmlns:a16="http://schemas.microsoft.com/office/drawing/2014/main" id="{805C36B8-8FDB-46C9-B404-2ACBCAFD37C4}"/>
            </a:ext>
          </a:extLst>
        </xdr:cNvPr>
        <xdr:cNvCxnSpPr/>
      </xdr:nvCxnSpPr>
      <xdr:spPr>
        <a:xfrm>
          <a:off x="26192862" y="9786279"/>
          <a:ext cx="50287" cy="0"/>
        </a:xfrm>
        <a:prstGeom prst="line">
          <a:avLst/>
        </a:prstGeom>
        <a:ln w="101600"/>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297481</xdr:colOff>
      <xdr:row>33</xdr:row>
      <xdr:rowOff>111764</xdr:rowOff>
    </xdr:from>
    <xdr:to>
      <xdr:col>24</xdr:col>
      <xdr:colOff>347768</xdr:colOff>
      <xdr:row>33</xdr:row>
      <xdr:rowOff>111764</xdr:rowOff>
    </xdr:to>
    <xdr:cxnSp macro="">
      <xdr:nvCxnSpPr>
        <xdr:cNvPr id="21" name="Straight Connector 20">
          <a:extLst>
            <a:ext uri="{FF2B5EF4-FFF2-40B4-BE49-F238E27FC236}">
              <a16:creationId xmlns:a16="http://schemas.microsoft.com/office/drawing/2014/main" id="{F59D9CFA-2F0D-4C23-AB2A-2C1699A1959C}"/>
            </a:ext>
          </a:extLst>
        </xdr:cNvPr>
        <xdr:cNvCxnSpPr/>
      </xdr:nvCxnSpPr>
      <xdr:spPr>
        <a:xfrm>
          <a:off x="27748219" y="9800720"/>
          <a:ext cx="50287" cy="0"/>
        </a:xfrm>
        <a:prstGeom prst="line">
          <a:avLst/>
        </a:prstGeom>
        <a:ln w="101600"/>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765318</xdr:colOff>
      <xdr:row>35</xdr:row>
      <xdr:rowOff>36281</xdr:rowOff>
    </xdr:from>
    <xdr:to>
      <xdr:col>23</xdr:col>
      <xdr:colOff>815605</xdr:colOff>
      <xdr:row>35</xdr:row>
      <xdr:rowOff>36281</xdr:rowOff>
    </xdr:to>
    <xdr:cxnSp macro="">
      <xdr:nvCxnSpPr>
        <xdr:cNvPr id="22" name="Straight Connector 21">
          <a:extLst>
            <a:ext uri="{FF2B5EF4-FFF2-40B4-BE49-F238E27FC236}">
              <a16:creationId xmlns:a16="http://schemas.microsoft.com/office/drawing/2014/main" id="{6DCE1B3F-5818-43DC-BDC4-3AC4D67180F0}"/>
            </a:ext>
          </a:extLst>
        </xdr:cNvPr>
        <xdr:cNvCxnSpPr/>
      </xdr:nvCxnSpPr>
      <xdr:spPr>
        <a:xfrm>
          <a:off x="25535178" y="10445745"/>
          <a:ext cx="50287" cy="0"/>
        </a:xfrm>
        <a:prstGeom prst="line">
          <a:avLst/>
        </a:prstGeom>
        <a:ln w="101600"/>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745157</xdr:colOff>
      <xdr:row>37</xdr:row>
      <xdr:rowOff>32819</xdr:rowOff>
    </xdr:from>
    <xdr:to>
      <xdr:col>23</xdr:col>
      <xdr:colOff>795444</xdr:colOff>
      <xdr:row>37</xdr:row>
      <xdr:rowOff>32819</xdr:rowOff>
    </xdr:to>
    <xdr:cxnSp macro="">
      <xdr:nvCxnSpPr>
        <xdr:cNvPr id="23" name="Straight Connector 22">
          <a:extLst>
            <a:ext uri="{FF2B5EF4-FFF2-40B4-BE49-F238E27FC236}">
              <a16:creationId xmlns:a16="http://schemas.microsoft.com/office/drawing/2014/main" id="{8A5ADBDC-2C26-4915-AFCC-31A6F6179CF4}"/>
            </a:ext>
          </a:extLst>
        </xdr:cNvPr>
        <xdr:cNvCxnSpPr/>
      </xdr:nvCxnSpPr>
      <xdr:spPr>
        <a:xfrm>
          <a:off x="25515017" y="10821339"/>
          <a:ext cx="50287" cy="0"/>
        </a:xfrm>
        <a:prstGeom prst="line">
          <a:avLst/>
        </a:prstGeom>
        <a:ln w="101600"/>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54429</xdr:colOff>
      <xdr:row>23</xdr:row>
      <xdr:rowOff>62171</xdr:rowOff>
    </xdr:from>
    <xdr:to>
      <xdr:col>27</xdr:col>
      <xdr:colOff>27214</xdr:colOff>
      <xdr:row>23</xdr:row>
      <xdr:rowOff>62171</xdr:rowOff>
    </xdr:to>
    <xdr:cxnSp macro="">
      <xdr:nvCxnSpPr>
        <xdr:cNvPr id="3" name="Straight Connector 2">
          <a:extLst>
            <a:ext uri="{FF2B5EF4-FFF2-40B4-BE49-F238E27FC236}">
              <a16:creationId xmlns:a16="http://schemas.microsoft.com/office/drawing/2014/main" id="{7E2376C2-385C-44CD-9DB1-D7B1CB353D5C}"/>
            </a:ext>
          </a:extLst>
        </xdr:cNvPr>
        <xdr:cNvCxnSpPr/>
      </xdr:nvCxnSpPr>
      <xdr:spPr>
        <a:xfrm>
          <a:off x="16419365" y="8174843"/>
          <a:ext cx="1195293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27120</xdr:colOff>
      <xdr:row>30</xdr:row>
      <xdr:rowOff>121221</xdr:rowOff>
    </xdr:from>
    <xdr:to>
      <xdr:col>27</xdr:col>
      <xdr:colOff>24398</xdr:colOff>
      <xdr:row>30</xdr:row>
      <xdr:rowOff>121221</xdr:rowOff>
    </xdr:to>
    <xdr:cxnSp macro="">
      <xdr:nvCxnSpPr>
        <xdr:cNvPr id="14" name="Straight Connector 13">
          <a:extLst>
            <a:ext uri="{FF2B5EF4-FFF2-40B4-BE49-F238E27FC236}">
              <a16:creationId xmlns:a16="http://schemas.microsoft.com/office/drawing/2014/main" id="{9C10A0F8-66BB-4C60-8540-88DE7671A264}"/>
            </a:ext>
          </a:extLst>
        </xdr:cNvPr>
        <xdr:cNvCxnSpPr/>
      </xdr:nvCxnSpPr>
      <xdr:spPr>
        <a:xfrm>
          <a:off x="17539068" y="9271467"/>
          <a:ext cx="12770146"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851075</xdr:colOff>
      <xdr:row>26</xdr:row>
      <xdr:rowOff>34866</xdr:rowOff>
    </xdr:from>
    <xdr:to>
      <xdr:col>25</xdr:col>
      <xdr:colOff>14917</xdr:colOff>
      <xdr:row>26</xdr:row>
      <xdr:rowOff>34866</xdr:rowOff>
    </xdr:to>
    <xdr:cxnSp macro="">
      <xdr:nvCxnSpPr>
        <xdr:cNvPr id="15" name="Straight Connector 14">
          <a:extLst>
            <a:ext uri="{FF2B5EF4-FFF2-40B4-BE49-F238E27FC236}">
              <a16:creationId xmlns:a16="http://schemas.microsoft.com/office/drawing/2014/main" id="{C42DD36F-95C6-4038-BA0B-B98626FD4FD8}"/>
            </a:ext>
          </a:extLst>
        </xdr:cNvPr>
        <xdr:cNvCxnSpPr/>
      </xdr:nvCxnSpPr>
      <xdr:spPr>
        <a:xfrm>
          <a:off x="26487979" y="7530308"/>
          <a:ext cx="50400" cy="0"/>
        </a:xfrm>
        <a:prstGeom prst="line">
          <a:avLst/>
        </a:prstGeom>
        <a:ln w="101600"/>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338888</xdr:colOff>
      <xdr:row>24</xdr:row>
      <xdr:rowOff>70158</xdr:rowOff>
    </xdr:from>
    <xdr:to>
      <xdr:col>25</xdr:col>
      <xdr:colOff>389175</xdr:colOff>
      <xdr:row>24</xdr:row>
      <xdr:rowOff>70158</xdr:rowOff>
    </xdr:to>
    <xdr:cxnSp macro="">
      <xdr:nvCxnSpPr>
        <xdr:cNvPr id="24" name="Straight Connector 23">
          <a:extLst>
            <a:ext uri="{FF2B5EF4-FFF2-40B4-BE49-F238E27FC236}">
              <a16:creationId xmlns:a16="http://schemas.microsoft.com/office/drawing/2014/main" id="{937DB1C1-FCD7-4FD8-BAD1-1586F129F9A1}"/>
            </a:ext>
          </a:extLst>
        </xdr:cNvPr>
        <xdr:cNvCxnSpPr/>
      </xdr:nvCxnSpPr>
      <xdr:spPr>
        <a:xfrm>
          <a:off x="28734319" y="8142986"/>
          <a:ext cx="50287" cy="0"/>
        </a:xfrm>
        <a:prstGeom prst="line">
          <a:avLst/>
        </a:prstGeom>
        <a:ln w="101600"/>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460063</xdr:colOff>
      <xdr:row>22</xdr:row>
      <xdr:rowOff>308437</xdr:rowOff>
    </xdr:from>
    <xdr:to>
      <xdr:col>26</xdr:col>
      <xdr:colOff>510350</xdr:colOff>
      <xdr:row>22</xdr:row>
      <xdr:rowOff>308437</xdr:rowOff>
    </xdr:to>
    <xdr:cxnSp macro="">
      <xdr:nvCxnSpPr>
        <xdr:cNvPr id="25" name="Straight Connector 24">
          <a:extLst>
            <a:ext uri="{FF2B5EF4-FFF2-40B4-BE49-F238E27FC236}">
              <a16:creationId xmlns:a16="http://schemas.microsoft.com/office/drawing/2014/main" id="{FFE2C0AA-AE5A-4EE3-9FFB-01940BF956B3}"/>
            </a:ext>
          </a:extLst>
        </xdr:cNvPr>
        <xdr:cNvCxnSpPr/>
      </xdr:nvCxnSpPr>
      <xdr:spPr>
        <a:xfrm>
          <a:off x="29800186" y="7475609"/>
          <a:ext cx="50287" cy="0"/>
        </a:xfrm>
        <a:prstGeom prst="line">
          <a:avLst/>
        </a:prstGeom>
        <a:ln w="101600"/>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151822</xdr:colOff>
      <xdr:row>28</xdr:row>
      <xdr:rowOff>8005</xdr:rowOff>
    </xdr:from>
    <xdr:to>
      <xdr:col>24</xdr:col>
      <xdr:colOff>202109</xdr:colOff>
      <xdr:row>28</xdr:row>
      <xdr:rowOff>8005</xdr:rowOff>
    </xdr:to>
    <xdr:cxnSp macro="">
      <xdr:nvCxnSpPr>
        <xdr:cNvPr id="26" name="Straight Connector 25">
          <a:extLst>
            <a:ext uri="{FF2B5EF4-FFF2-40B4-BE49-F238E27FC236}">
              <a16:creationId xmlns:a16="http://schemas.microsoft.com/office/drawing/2014/main" id="{145FBB2D-0DB3-46DA-89E1-F9D9A8F02892}"/>
            </a:ext>
          </a:extLst>
        </xdr:cNvPr>
        <xdr:cNvCxnSpPr/>
      </xdr:nvCxnSpPr>
      <xdr:spPr>
        <a:xfrm>
          <a:off x="27602560" y="8799112"/>
          <a:ext cx="50287" cy="0"/>
        </a:xfrm>
        <a:prstGeom prst="line">
          <a:avLst/>
        </a:prstGeom>
        <a:ln w="101600"/>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0</xdr:colOff>
      <xdr:row>69</xdr:row>
      <xdr:rowOff>0</xdr:rowOff>
    </xdr:from>
    <xdr:to>
      <xdr:col>27</xdr:col>
      <xdr:colOff>121228</xdr:colOff>
      <xdr:row>89</xdr:row>
      <xdr:rowOff>17319</xdr:rowOff>
    </xdr:to>
    <xdr:graphicFrame macro="">
      <xdr:nvGraphicFramePr>
        <xdr:cNvPr id="16" name="Chart 15">
          <a:extLst>
            <a:ext uri="{FF2B5EF4-FFF2-40B4-BE49-F238E27FC236}">
              <a16:creationId xmlns:a16="http://schemas.microsoft.com/office/drawing/2014/main" id="{A6134E3E-0EBC-4C40-979E-F62FF763A3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14</xdr:col>
      <xdr:colOff>17320</xdr:colOff>
      <xdr:row>43</xdr:row>
      <xdr:rowOff>491403</xdr:rowOff>
    </xdr:from>
    <xdr:to>
      <xdr:col>27</xdr:col>
      <xdr:colOff>138548</xdr:colOff>
      <xdr:row>64</xdr:row>
      <xdr:rowOff>311728</xdr:rowOff>
    </xdr:to>
    <xdr:graphicFrame macro="">
      <xdr:nvGraphicFramePr>
        <xdr:cNvPr id="2" name="Chart 1">
          <a:extLst>
            <a:ext uri="{FF2B5EF4-FFF2-40B4-BE49-F238E27FC236}">
              <a16:creationId xmlns:a16="http://schemas.microsoft.com/office/drawing/2014/main" id="{CD447281-A78D-4BDD-8F31-3976E9E3AE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1047752</xdr:colOff>
      <xdr:row>21</xdr:row>
      <xdr:rowOff>311728</xdr:rowOff>
    </xdr:from>
    <xdr:to>
      <xdr:col>27</xdr:col>
      <xdr:colOff>143832</xdr:colOff>
      <xdr:row>42</xdr:row>
      <xdr:rowOff>519545</xdr:rowOff>
    </xdr:to>
    <xdr:graphicFrame macro="">
      <xdr:nvGraphicFramePr>
        <xdr:cNvPr id="3" name="Chart 2">
          <a:extLst>
            <a:ext uri="{FF2B5EF4-FFF2-40B4-BE49-F238E27FC236}">
              <a16:creationId xmlns:a16="http://schemas.microsoft.com/office/drawing/2014/main" id="{F1E5735D-AC05-4C2B-89D7-A675D84B63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295989</xdr:colOff>
      <xdr:row>41</xdr:row>
      <xdr:rowOff>18792</xdr:rowOff>
    </xdr:from>
    <xdr:to>
      <xdr:col>17</xdr:col>
      <xdr:colOff>655019</xdr:colOff>
      <xdr:row>41</xdr:row>
      <xdr:rowOff>18792</xdr:rowOff>
    </xdr:to>
    <xdr:cxnSp macro="">
      <xdr:nvCxnSpPr>
        <xdr:cNvPr id="4" name="Straight Connector 3">
          <a:extLst>
            <a:ext uri="{FF2B5EF4-FFF2-40B4-BE49-F238E27FC236}">
              <a16:creationId xmlns:a16="http://schemas.microsoft.com/office/drawing/2014/main" id="{F46CB0ED-010C-4ED7-8850-24BB3B0F239D}"/>
            </a:ext>
          </a:extLst>
        </xdr:cNvPr>
        <xdr:cNvCxnSpPr/>
      </xdr:nvCxnSpPr>
      <xdr:spPr>
        <a:xfrm>
          <a:off x="19726989" y="17211417"/>
          <a:ext cx="359030" cy="0"/>
        </a:xfrm>
        <a:prstGeom prst="line">
          <a:avLst/>
        </a:prstGeom>
        <a:ln w="101600"/>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724237</xdr:colOff>
      <xdr:row>40</xdr:row>
      <xdr:rowOff>79428</xdr:rowOff>
    </xdr:from>
    <xdr:to>
      <xdr:col>20</xdr:col>
      <xdr:colOff>762581</xdr:colOff>
      <xdr:row>43</xdr:row>
      <xdr:rowOff>0</xdr:rowOff>
    </xdr:to>
    <xdr:sp macro="" textlink="">
      <xdr:nvSpPr>
        <xdr:cNvPr id="5" name="TextBox 4">
          <a:extLst>
            <a:ext uri="{FF2B5EF4-FFF2-40B4-BE49-F238E27FC236}">
              <a16:creationId xmlns:a16="http://schemas.microsoft.com/office/drawing/2014/main" id="{E25781F2-2B8B-48C8-A1FC-8AA01F951C18}"/>
            </a:ext>
          </a:extLst>
        </xdr:cNvPr>
        <xdr:cNvSpPr txBox="1"/>
      </xdr:nvSpPr>
      <xdr:spPr>
        <a:xfrm>
          <a:off x="20155237" y="17081553"/>
          <a:ext cx="2695819" cy="958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latin typeface="Arial" panose="020B0604020202020204" pitchFamily="34" charset="0"/>
              <a:cs typeface="Arial" panose="020B0604020202020204" pitchFamily="34" charset="0"/>
            </a:rPr>
            <a:t>total system impact -</a:t>
          </a:r>
          <a:br>
            <a:rPr lang="en-US" sz="1600">
              <a:latin typeface="Arial" panose="020B0604020202020204" pitchFamily="34" charset="0"/>
              <a:cs typeface="Arial" panose="020B0604020202020204" pitchFamily="34" charset="0"/>
            </a:rPr>
          </a:br>
          <a:r>
            <a:rPr lang="en-US" sz="1600">
              <a:latin typeface="Arial" panose="020B0604020202020204" pitchFamily="34" charset="0"/>
              <a:cs typeface="Arial" panose="020B0604020202020204" pitchFamily="34" charset="0"/>
            </a:rPr>
            <a:t>medium value assumptions</a:t>
          </a:r>
        </a:p>
      </xdr:txBody>
    </xdr:sp>
    <xdr:clientData/>
  </xdr:twoCellAnchor>
  <xdr:twoCellAnchor>
    <xdr:from>
      <xdr:col>24</xdr:col>
      <xdr:colOff>157065</xdr:colOff>
      <xdr:row>29</xdr:row>
      <xdr:rowOff>176241</xdr:rowOff>
    </xdr:from>
    <xdr:to>
      <xdr:col>24</xdr:col>
      <xdr:colOff>207352</xdr:colOff>
      <xdr:row>29</xdr:row>
      <xdr:rowOff>176241</xdr:rowOff>
    </xdr:to>
    <xdr:cxnSp macro="">
      <xdr:nvCxnSpPr>
        <xdr:cNvPr id="6" name="Straight Connector 5">
          <a:extLst>
            <a:ext uri="{FF2B5EF4-FFF2-40B4-BE49-F238E27FC236}">
              <a16:creationId xmlns:a16="http://schemas.microsoft.com/office/drawing/2014/main" id="{EFED564C-8CEB-49FB-8992-823A210DD22E}"/>
            </a:ext>
          </a:extLst>
        </xdr:cNvPr>
        <xdr:cNvCxnSpPr/>
      </xdr:nvCxnSpPr>
      <xdr:spPr>
        <a:xfrm>
          <a:off x="25793969" y="8499626"/>
          <a:ext cx="50287" cy="0"/>
        </a:xfrm>
        <a:prstGeom prst="line">
          <a:avLst/>
        </a:prstGeom>
        <a:ln w="101600"/>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725096</xdr:colOff>
      <xdr:row>33</xdr:row>
      <xdr:rowOff>48869</xdr:rowOff>
    </xdr:from>
    <xdr:to>
      <xdr:col>24</xdr:col>
      <xdr:colOff>775383</xdr:colOff>
      <xdr:row>33</xdr:row>
      <xdr:rowOff>48869</xdr:rowOff>
    </xdr:to>
    <xdr:cxnSp macro="">
      <xdr:nvCxnSpPr>
        <xdr:cNvPr id="7" name="Straight Connector 6">
          <a:extLst>
            <a:ext uri="{FF2B5EF4-FFF2-40B4-BE49-F238E27FC236}">
              <a16:creationId xmlns:a16="http://schemas.microsoft.com/office/drawing/2014/main" id="{D777AB4F-BE8C-4E2D-AB14-054A9737CAAD}"/>
            </a:ext>
          </a:extLst>
        </xdr:cNvPr>
        <xdr:cNvCxnSpPr/>
      </xdr:nvCxnSpPr>
      <xdr:spPr>
        <a:xfrm>
          <a:off x="26362000" y="9134254"/>
          <a:ext cx="50287" cy="0"/>
        </a:xfrm>
        <a:prstGeom prst="line">
          <a:avLst/>
        </a:prstGeom>
        <a:ln w="101600"/>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571842</xdr:colOff>
      <xdr:row>34</xdr:row>
      <xdr:rowOff>172811</xdr:rowOff>
    </xdr:from>
    <xdr:to>
      <xdr:col>24</xdr:col>
      <xdr:colOff>622129</xdr:colOff>
      <xdr:row>34</xdr:row>
      <xdr:rowOff>172811</xdr:rowOff>
    </xdr:to>
    <xdr:cxnSp macro="">
      <xdr:nvCxnSpPr>
        <xdr:cNvPr id="8" name="Straight Connector 7">
          <a:extLst>
            <a:ext uri="{FF2B5EF4-FFF2-40B4-BE49-F238E27FC236}">
              <a16:creationId xmlns:a16="http://schemas.microsoft.com/office/drawing/2014/main" id="{AAC4C3A4-DFFD-41DF-A2C3-93C45D3BE43F}"/>
            </a:ext>
          </a:extLst>
        </xdr:cNvPr>
        <xdr:cNvCxnSpPr/>
      </xdr:nvCxnSpPr>
      <xdr:spPr>
        <a:xfrm>
          <a:off x="26208746" y="9448696"/>
          <a:ext cx="50287" cy="0"/>
        </a:xfrm>
        <a:prstGeom prst="line">
          <a:avLst/>
        </a:prstGeom>
        <a:ln w="101600"/>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492779</xdr:colOff>
      <xdr:row>36</xdr:row>
      <xdr:rowOff>177212</xdr:rowOff>
    </xdr:from>
    <xdr:to>
      <xdr:col>24</xdr:col>
      <xdr:colOff>543066</xdr:colOff>
      <xdr:row>36</xdr:row>
      <xdr:rowOff>177212</xdr:rowOff>
    </xdr:to>
    <xdr:cxnSp macro="">
      <xdr:nvCxnSpPr>
        <xdr:cNvPr id="9" name="Straight Connector 8">
          <a:extLst>
            <a:ext uri="{FF2B5EF4-FFF2-40B4-BE49-F238E27FC236}">
              <a16:creationId xmlns:a16="http://schemas.microsoft.com/office/drawing/2014/main" id="{8931391B-2269-440B-A957-E17DA07391C1}"/>
            </a:ext>
          </a:extLst>
        </xdr:cNvPr>
        <xdr:cNvCxnSpPr/>
      </xdr:nvCxnSpPr>
      <xdr:spPr>
        <a:xfrm>
          <a:off x="26129683" y="9834097"/>
          <a:ext cx="50287" cy="0"/>
        </a:xfrm>
        <a:prstGeom prst="line">
          <a:avLst/>
        </a:prstGeom>
        <a:ln w="101600"/>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483143</xdr:colOff>
      <xdr:row>38</xdr:row>
      <xdr:rowOff>56410</xdr:rowOff>
    </xdr:from>
    <xdr:to>
      <xdr:col>24</xdr:col>
      <xdr:colOff>533430</xdr:colOff>
      <xdr:row>38</xdr:row>
      <xdr:rowOff>56410</xdr:rowOff>
    </xdr:to>
    <xdr:cxnSp macro="">
      <xdr:nvCxnSpPr>
        <xdr:cNvPr id="10" name="Straight Connector 9">
          <a:extLst>
            <a:ext uri="{FF2B5EF4-FFF2-40B4-BE49-F238E27FC236}">
              <a16:creationId xmlns:a16="http://schemas.microsoft.com/office/drawing/2014/main" id="{315F94F6-789F-473B-9319-84719FC9DE36}"/>
            </a:ext>
          </a:extLst>
        </xdr:cNvPr>
        <xdr:cNvCxnSpPr/>
      </xdr:nvCxnSpPr>
      <xdr:spPr>
        <a:xfrm>
          <a:off x="26120047" y="10094295"/>
          <a:ext cx="50287" cy="0"/>
        </a:xfrm>
        <a:prstGeom prst="line">
          <a:avLst/>
        </a:prstGeom>
        <a:ln w="101600"/>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331446</xdr:colOff>
      <xdr:row>26</xdr:row>
      <xdr:rowOff>130814</xdr:rowOff>
    </xdr:from>
    <xdr:to>
      <xdr:col>25</xdr:col>
      <xdr:colOff>381733</xdr:colOff>
      <xdr:row>26</xdr:row>
      <xdr:rowOff>130814</xdr:rowOff>
    </xdr:to>
    <xdr:cxnSp macro="">
      <xdr:nvCxnSpPr>
        <xdr:cNvPr id="11" name="Straight Connector 10">
          <a:extLst>
            <a:ext uri="{FF2B5EF4-FFF2-40B4-BE49-F238E27FC236}">
              <a16:creationId xmlns:a16="http://schemas.microsoft.com/office/drawing/2014/main" id="{8E64AF95-6FB2-4A94-81A4-5B8AE25D338C}"/>
            </a:ext>
          </a:extLst>
        </xdr:cNvPr>
        <xdr:cNvCxnSpPr/>
      </xdr:nvCxnSpPr>
      <xdr:spPr>
        <a:xfrm>
          <a:off x="26854908" y="7882699"/>
          <a:ext cx="50287" cy="0"/>
        </a:xfrm>
        <a:prstGeom prst="line">
          <a:avLst/>
        </a:prstGeom>
        <a:ln w="101600"/>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857519</xdr:colOff>
      <xdr:row>28</xdr:row>
      <xdr:rowOff>48753</xdr:rowOff>
    </xdr:from>
    <xdr:to>
      <xdr:col>25</xdr:col>
      <xdr:colOff>21248</xdr:colOff>
      <xdr:row>28</xdr:row>
      <xdr:rowOff>48753</xdr:rowOff>
    </xdr:to>
    <xdr:cxnSp macro="">
      <xdr:nvCxnSpPr>
        <xdr:cNvPr id="12" name="Straight Connector 11">
          <a:extLst>
            <a:ext uri="{FF2B5EF4-FFF2-40B4-BE49-F238E27FC236}">
              <a16:creationId xmlns:a16="http://schemas.microsoft.com/office/drawing/2014/main" id="{D4250D13-B3F3-48E1-BDC9-49420788D384}"/>
            </a:ext>
          </a:extLst>
        </xdr:cNvPr>
        <xdr:cNvCxnSpPr/>
      </xdr:nvCxnSpPr>
      <xdr:spPr>
        <a:xfrm>
          <a:off x="26494423" y="8181638"/>
          <a:ext cx="50287" cy="0"/>
        </a:xfrm>
        <a:prstGeom prst="line">
          <a:avLst/>
        </a:prstGeom>
        <a:ln w="101600"/>
      </xdr:spPr>
      <xdr:style>
        <a:lnRef idx="1">
          <a:schemeClr val="dk1"/>
        </a:lnRef>
        <a:fillRef idx="0">
          <a:schemeClr val="dk1"/>
        </a:fillRef>
        <a:effectRef idx="0">
          <a:schemeClr val="dk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10</xdr:col>
      <xdr:colOff>845345</xdr:colOff>
      <xdr:row>19</xdr:row>
      <xdr:rowOff>58447</xdr:rowOff>
    </xdr:from>
    <xdr:to>
      <xdr:col>19</xdr:col>
      <xdr:colOff>809623</xdr:colOff>
      <xdr:row>39</xdr:row>
      <xdr:rowOff>21646</xdr:rowOff>
    </xdr:to>
    <xdr:graphicFrame macro="">
      <xdr:nvGraphicFramePr>
        <xdr:cNvPr id="2" name="Chart 1">
          <a:extLst>
            <a:ext uri="{FF2B5EF4-FFF2-40B4-BE49-F238E27FC236}">
              <a16:creationId xmlns:a16="http://schemas.microsoft.com/office/drawing/2014/main" id="{D4595398-73B3-42D6-A07A-E7E408F768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845343</xdr:colOff>
      <xdr:row>38</xdr:row>
      <xdr:rowOff>158031</xdr:rowOff>
    </xdr:from>
    <xdr:to>
      <xdr:col>20</xdr:col>
      <xdr:colOff>107157</xdr:colOff>
      <xdr:row>67</xdr:row>
      <xdr:rowOff>154779</xdr:rowOff>
    </xdr:to>
    <xdr:graphicFrame macro="">
      <xdr:nvGraphicFramePr>
        <xdr:cNvPr id="3" name="Chart 2">
          <a:extLst>
            <a:ext uri="{FF2B5EF4-FFF2-40B4-BE49-F238E27FC236}">
              <a16:creationId xmlns:a16="http://schemas.microsoft.com/office/drawing/2014/main" id="{0C98CEE0-CA4A-4298-AC13-AB09B3A0B7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775291</xdr:colOff>
      <xdr:row>17</xdr:row>
      <xdr:rowOff>287964</xdr:rowOff>
    </xdr:from>
    <xdr:to>
      <xdr:col>12</xdr:col>
      <xdr:colOff>55378</xdr:colOff>
      <xdr:row>47</xdr:row>
      <xdr:rowOff>25743</xdr:rowOff>
    </xdr:to>
    <xdr:graphicFrame macro="">
      <xdr:nvGraphicFramePr>
        <xdr:cNvPr id="2" name="Chart 1">
          <a:extLst>
            <a:ext uri="{FF2B5EF4-FFF2-40B4-BE49-F238E27FC236}">
              <a16:creationId xmlns:a16="http://schemas.microsoft.com/office/drawing/2014/main" id="{B7E021D4-17CC-4A6E-BFC2-ACB450AB8B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768145</xdr:colOff>
      <xdr:row>47</xdr:row>
      <xdr:rowOff>133865</xdr:rowOff>
    </xdr:from>
    <xdr:to>
      <xdr:col>11</xdr:col>
      <xdr:colOff>921774</xdr:colOff>
      <xdr:row>71</xdr:row>
      <xdr:rowOff>46087</xdr:rowOff>
    </xdr:to>
    <xdr:graphicFrame macro="">
      <xdr:nvGraphicFramePr>
        <xdr:cNvPr id="3" name="Chart 2">
          <a:extLst>
            <a:ext uri="{FF2B5EF4-FFF2-40B4-BE49-F238E27FC236}">
              <a16:creationId xmlns:a16="http://schemas.microsoft.com/office/drawing/2014/main" id="{E5FED08A-328C-40C9-A2CE-8DE45A5C63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223192</xdr:colOff>
      <xdr:row>29</xdr:row>
      <xdr:rowOff>49911</xdr:rowOff>
    </xdr:from>
    <xdr:to>
      <xdr:col>9</xdr:col>
      <xdr:colOff>493259</xdr:colOff>
      <xdr:row>29</xdr:row>
      <xdr:rowOff>49911</xdr:rowOff>
    </xdr:to>
    <xdr:cxnSp macro="">
      <xdr:nvCxnSpPr>
        <xdr:cNvPr id="4" name="Straight Connector 3">
          <a:extLst>
            <a:ext uri="{FF2B5EF4-FFF2-40B4-BE49-F238E27FC236}">
              <a16:creationId xmlns:a16="http://schemas.microsoft.com/office/drawing/2014/main" id="{A82CA22A-7B92-496D-BA18-989B9B6C60BC}"/>
            </a:ext>
          </a:extLst>
        </xdr:cNvPr>
        <xdr:cNvCxnSpPr/>
      </xdr:nvCxnSpPr>
      <xdr:spPr>
        <a:xfrm>
          <a:off x="9680156" y="9796028"/>
          <a:ext cx="270067" cy="0"/>
        </a:xfrm>
        <a:prstGeom prst="line">
          <a:avLst/>
        </a:prstGeom>
        <a:ln w="101600"/>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351518</xdr:colOff>
      <xdr:row>31</xdr:row>
      <xdr:rowOff>127136</xdr:rowOff>
    </xdr:from>
    <xdr:to>
      <xdr:col>9</xdr:col>
      <xdr:colOff>610027</xdr:colOff>
      <xdr:row>31</xdr:row>
      <xdr:rowOff>127136</xdr:rowOff>
    </xdr:to>
    <xdr:cxnSp macro="">
      <xdr:nvCxnSpPr>
        <xdr:cNvPr id="5" name="Straight Connector 4">
          <a:extLst>
            <a:ext uri="{FF2B5EF4-FFF2-40B4-BE49-F238E27FC236}">
              <a16:creationId xmlns:a16="http://schemas.microsoft.com/office/drawing/2014/main" id="{0EEA61D3-5ED3-4CE3-BA78-D89FDAE77FA0}"/>
            </a:ext>
          </a:extLst>
        </xdr:cNvPr>
        <xdr:cNvCxnSpPr/>
      </xdr:nvCxnSpPr>
      <xdr:spPr>
        <a:xfrm>
          <a:off x="9808482" y="10258788"/>
          <a:ext cx="258509" cy="0"/>
        </a:xfrm>
        <a:prstGeom prst="line">
          <a:avLst/>
        </a:prstGeom>
        <a:ln w="101600"/>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209777</xdr:colOff>
      <xdr:row>33</xdr:row>
      <xdr:rowOff>159126</xdr:rowOff>
    </xdr:from>
    <xdr:to>
      <xdr:col>9</xdr:col>
      <xdr:colOff>245445</xdr:colOff>
      <xdr:row>33</xdr:row>
      <xdr:rowOff>159126</xdr:rowOff>
    </xdr:to>
    <xdr:cxnSp macro="">
      <xdr:nvCxnSpPr>
        <xdr:cNvPr id="6" name="Straight Connector 5">
          <a:extLst>
            <a:ext uri="{FF2B5EF4-FFF2-40B4-BE49-F238E27FC236}">
              <a16:creationId xmlns:a16="http://schemas.microsoft.com/office/drawing/2014/main" id="{9F373C13-8AD0-4059-86D7-38104E31BB2F}"/>
            </a:ext>
          </a:extLst>
        </xdr:cNvPr>
        <xdr:cNvCxnSpPr/>
      </xdr:nvCxnSpPr>
      <xdr:spPr>
        <a:xfrm>
          <a:off x="9666741" y="10676314"/>
          <a:ext cx="35668" cy="0"/>
        </a:xfrm>
        <a:prstGeom prst="line">
          <a:avLst/>
        </a:prstGeom>
        <a:ln w="101600"/>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244374</xdr:colOff>
      <xdr:row>22</xdr:row>
      <xdr:rowOff>129213</xdr:rowOff>
    </xdr:from>
    <xdr:to>
      <xdr:col>10</xdr:col>
      <xdr:colOff>285136</xdr:colOff>
      <xdr:row>22</xdr:row>
      <xdr:rowOff>129213</xdr:rowOff>
    </xdr:to>
    <xdr:cxnSp macro="">
      <xdr:nvCxnSpPr>
        <xdr:cNvPr id="8" name="Straight Connector 7">
          <a:extLst>
            <a:ext uri="{FF2B5EF4-FFF2-40B4-BE49-F238E27FC236}">
              <a16:creationId xmlns:a16="http://schemas.microsoft.com/office/drawing/2014/main" id="{7B4F4001-FE12-4A75-8966-224E7D11B6B8}"/>
            </a:ext>
          </a:extLst>
        </xdr:cNvPr>
        <xdr:cNvCxnSpPr/>
      </xdr:nvCxnSpPr>
      <xdr:spPr>
        <a:xfrm>
          <a:off x="10721874" y="8550901"/>
          <a:ext cx="40762" cy="0"/>
        </a:xfrm>
        <a:prstGeom prst="line">
          <a:avLst/>
        </a:prstGeom>
        <a:ln w="101600"/>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192381</xdr:colOff>
      <xdr:row>46</xdr:row>
      <xdr:rowOff>72961</xdr:rowOff>
    </xdr:from>
    <xdr:to>
      <xdr:col>7</xdr:col>
      <xdr:colOff>538422</xdr:colOff>
      <xdr:row>46</xdr:row>
      <xdr:rowOff>72961</xdr:rowOff>
    </xdr:to>
    <xdr:cxnSp macro="">
      <xdr:nvCxnSpPr>
        <xdr:cNvPr id="9" name="Straight Connector 8">
          <a:extLst>
            <a:ext uri="{FF2B5EF4-FFF2-40B4-BE49-F238E27FC236}">
              <a16:creationId xmlns:a16="http://schemas.microsoft.com/office/drawing/2014/main" id="{F9068513-AAB3-42A9-AC79-84DB5D73936A}"/>
            </a:ext>
          </a:extLst>
        </xdr:cNvPr>
        <xdr:cNvCxnSpPr/>
      </xdr:nvCxnSpPr>
      <xdr:spPr>
        <a:xfrm>
          <a:off x="7669506" y="12845986"/>
          <a:ext cx="346041" cy="0"/>
        </a:xfrm>
        <a:prstGeom prst="line">
          <a:avLst/>
        </a:prstGeom>
        <a:ln w="101600"/>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555686</xdr:colOff>
      <xdr:row>45</xdr:row>
      <xdr:rowOff>81642</xdr:rowOff>
    </xdr:from>
    <xdr:to>
      <xdr:col>10</xdr:col>
      <xdr:colOff>65826</xdr:colOff>
      <xdr:row>47</xdr:row>
      <xdr:rowOff>193809</xdr:rowOff>
    </xdr:to>
    <xdr:sp macro="" textlink="">
      <xdr:nvSpPr>
        <xdr:cNvPr id="10" name="TextBox 9">
          <a:extLst>
            <a:ext uri="{FF2B5EF4-FFF2-40B4-BE49-F238E27FC236}">
              <a16:creationId xmlns:a16="http://schemas.microsoft.com/office/drawing/2014/main" id="{969EC0B6-ABF0-47FB-B82B-729BA9D29945}"/>
            </a:ext>
          </a:extLst>
        </xdr:cNvPr>
        <xdr:cNvSpPr txBox="1"/>
      </xdr:nvSpPr>
      <xdr:spPr>
        <a:xfrm>
          <a:off x="8032811" y="12664167"/>
          <a:ext cx="2510515" cy="493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latin typeface="Arial" panose="020B0604020202020204" pitchFamily="34" charset="0"/>
              <a:cs typeface="Arial" panose="020B0604020202020204" pitchFamily="34" charset="0"/>
            </a:rPr>
            <a:t>total system</a:t>
          </a:r>
          <a:r>
            <a:rPr lang="en-US" sz="1600" baseline="0">
              <a:latin typeface="Arial" panose="020B0604020202020204" pitchFamily="34" charset="0"/>
              <a:cs typeface="Arial" panose="020B0604020202020204" pitchFamily="34" charset="0"/>
            </a:rPr>
            <a:t> impact range</a:t>
          </a:r>
          <a:endParaRPr lang="en-CH" sz="1600">
            <a:latin typeface="Arial" panose="020B0604020202020204" pitchFamily="34" charset="0"/>
            <a:cs typeface="Arial" panose="020B0604020202020204" pitchFamily="34" charset="0"/>
          </a:endParaRPr>
        </a:p>
      </xdr:txBody>
    </xdr:sp>
    <xdr:clientData/>
  </xdr:twoCellAnchor>
  <xdr:twoCellAnchor>
    <xdr:from>
      <xdr:col>9</xdr:col>
      <xdr:colOff>234843</xdr:colOff>
      <xdr:row>35</xdr:row>
      <xdr:rowOff>186977</xdr:rowOff>
    </xdr:from>
    <xdr:to>
      <xdr:col>9</xdr:col>
      <xdr:colOff>270511</xdr:colOff>
      <xdr:row>35</xdr:row>
      <xdr:rowOff>186977</xdr:rowOff>
    </xdr:to>
    <xdr:cxnSp macro="">
      <xdr:nvCxnSpPr>
        <xdr:cNvPr id="17" name="Straight Connector 16">
          <a:extLst>
            <a:ext uri="{FF2B5EF4-FFF2-40B4-BE49-F238E27FC236}">
              <a16:creationId xmlns:a16="http://schemas.microsoft.com/office/drawing/2014/main" id="{620D1A61-D93C-41ED-9C10-9234A45DFBA2}"/>
            </a:ext>
          </a:extLst>
        </xdr:cNvPr>
        <xdr:cNvCxnSpPr/>
      </xdr:nvCxnSpPr>
      <xdr:spPr>
        <a:xfrm>
          <a:off x="9709711" y="11046034"/>
          <a:ext cx="35668" cy="0"/>
        </a:xfrm>
        <a:prstGeom prst="line">
          <a:avLst/>
        </a:prstGeom>
        <a:ln w="101600"/>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123440</xdr:colOff>
      <xdr:row>38</xdr:row>
      <xdr:rowOff>25442</xdr:rowOff>
    </xdr:from>
    <xdr:to>
      <xdr:col>9</xdr:col>
      <xdr:colOff>208882</xdr:colOff>
      <xdr:row>38</xdr:row>
      <xdr:rowOff>25442</xdr:rowOff>
    </xdr:to>
    <xdr:cxnSp macro="">
      <xdr:nvCxnSpPr>
        <xdr:cNvPr id="18" name="Straight Connector 17">
          <a:extLst>
            <a:ext uri="{FF2B5EF4-FFF2-40B4-BE49-F238E27FC236}">
              <a16:creationId xmlns:a16="http://schemas.microsoft.com/office/drawing/2014/main" id="{D55B14BB-E4CB-4085-AD51-CD2FBE2FE1C2}"/>
            </a:ext>
          </a:extLst>
        </xdr:cNvPr>
        <xdr:cNvCxnSpPr/>
      </xdr:nvCxnSpPr>
      <xdr:spPr>
        <a:xfrm>
          <a:off x="9598308" y="11452657"/>
          <a:ext cx="85442" cy="0"/>
        </a:xfrm>
        <a:prstGeom prst="line">
          <a:avLst/>
        </a:prstGeom>
        <a:ln w="101600"/>
      </xdr:spPr>
      <xdr:style>
        <a:lnRef idx="1">
          <a:schemeClr val="dk1"/>
        </a:lnRef>
        <a:fillRef idx="0">
          <a:schemeClr val="dk1"/>
        </a:fillRef>
        <a:effectRef idx="0">
          <a:schemeClr val="dk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Research%20projects/Clean%20Cycle%20(ongoing)/Magdalena/scenarios/tables%20and%20figures%20paper%20LCA%20future%20net%20220805%20revised%20cem_rework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alues"/>
      <sheetName val="scenario overview"/>
      <sheetName val="coll_amounts"/>
      <sheetName val="LCA overview"/>
      <sheetName val="mat_flows"/>
      <sheetName val="design_change"/>
      <sheetName val="EI"/>
      <sheetName val="LCA_future"/>
      <sheetName val="LCA_today"/>
    </sheetNames>
    <sheetDataSet>
      <sheetData sheetId="0"/>
      <sheetData sheetId="1"/>
      <sheetData sheetId="2"/>
      <sheetData sheetId="3"/>
      <sheetData sheetId="4"/>
      <sheetData sheetId="5"/>
      <sheetData sheetId="6">
        <row r="72">
          <cell r="S72">
            <v>172726103.21588901</v>
          </cell>
          <cell r="T72">
            <v>431176258.11058003</v>
          </cell>
          <cell r="AG72">
            <v>169492850.09734499</v>
          </cell>
          <cell r="AH72">
            <v>55258047.992333502</v>
          </cell>
        </row>
      </sheetData>
      <sheetData sheetId="7">
        <row r="28">
          <cell r="BI28">
            <v>0.57180720083398406</v>
          </cell>
          <cell r="BM28">
            <v>0.57180720083398406</v>
          </cell>
        </row>
        <row r="29">
          <cell r="BI29">
            <v>0.48144129521093704</v>
          </cell>
          <cell r="BM29">
            <v>0.34102457769189498</v>
          </cell>
        </row>
        <row r="30">
          <cell r="BI30">
            <v>0.38783776473046799</v>
          </cell>
          <cell r="BM30">
            <v>0.31286224053759687</v>
          </cell>
        </row>
        <row r="31">
          <cell r="BI31">
            <v>0.32781198916284104</v>
          </cell>
          <cell r="BM31">
            <v>0.21852297832655335</v>
          </cell>
        </row>
        <row r="32">
          <cell r="BI32">
            <v>0.28819601272387602</v>
          </cell>
          <cell r="BM32">
            <v>0.20027124526123002</v>
          </cell>
        </row>
        <row r="33">
          <cell r="BI33">
            <v>0.22563798760937501</v>
          </cell>
          <cell r="BM33">
            <v>0.18596957468872</v>
          </cell>
        </row>
        <row r="34">
          <cell r="BI34">
            <v>0.69891347620601496</v>
          </cell>
          <cell r="BM34">
            <v>0.54554299800079975</v>
          </cell>
        </row>
        <row r="39">
          <cell r="BI39">
            <v>2.4041560140200042</v>
          </cell>
          <cell r="BM39">
            <v>1.6102706137411509</v>
          </cell>
          <cell r="BO39">
            <v>1.225685930388039</v>
          </cell>
        </row>
        <row r="41">
          <cell r="BO41">
            <v>-0.1800017252587984</v>
          </cell>
        </row>
      </sheetData>
      <sheetData sheetId="8">
        <row r="28">
          <cell r="BH28">
            <v>0.65119137803125005</v>
          </cell>
          <cell r="BL28">
            <v>0.65119137803125005</v>
          </cell>
        </row>
        <row r="29">
          <cell r="BH29">
            <v>0.56484439226171801</v>
          </cell>
          <cell r="BL29">
            <v>0.43157536148437498</v>
          </cell>
        </row>
        <row r="30">
          <cell r="BH30">
            <v>0.43787592954870602</v>
          </cell>
          <cell r="BL30">
            <v>0.32418071785278274</v>
          </cell>
        </row>
        <row r="31">
          <cell r="BH31">
            <v>0.39195023392968703</v>
          </cell>
          <cell r="BL31">
            <v>0.28639270131042499</v>
          </cell>
        </row>
        <row r="32">
          <cell r="BH32">
            <v>0.349684554874023</v>
          </cell>
          <cell r="BL32">
            <v>0.26596301306399467</v>
          </cell>
        </row>
        <row r="33">
          <cell r="BH33">
            <v>0.33333255219042895</v>
          </cell>
          <cell r="BL33">
            <v>0.24900691349218804</v>
          </cell>
        </row>
        <row r="34">
          <cell r="BH34">
            <v>0.79494391085917593</v>
          </cell>
          <cell r="BL34">
            <v>0.67733802379484487</v>
          </cell>
        </row>
        <row r="39">
          <cell r="BH39">
            <v>1.5058085130726611</v>
          </cell>
          <cell r="BL39">
            <v>1.0127603614370415</v>
          </cell>
          <cell r="BN39">
            <v>0.78568383324976654</v>
          </cell>
        </row>
        <row r="41">
          <cell r="BN41">
            <v>-0.1893368303129766</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24.xml.rels><?xml version="1.0" encoding="UTF-8" standalone="yes"?>
<Relationships xmlns="http://schemas.openxmlformats.org/package/2006/relationships"><Relationship Id="rId2" Type="http://schemas.openxmlformats.org/officeDocument/2006/relationships/hyperlink" Target="https://www.ipcc-nggip.iges.or.jp/public/2006gl/pdf/2_Volume2/V2_1_Ch1_Introduction.pdf" TargetMode="External"/><Relationship Id="rId1" Type="http://schemas.openxmlformats.org/officeDocument/2006/relationships/hyperlink" Target="https://www.ipcc-nggip.iges.or.jp/public/2006gl/pdf/2_Volume2/V2_2_Ch2_Stationary_Combustion.pdf" TargetMode="Externa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xml"/><Relationship Id="rId1" Type="http://schemas.openxmlformats.org/officeDocument/2006/relationships/printerSettings" Target="../printerSettings/printerSettings16.bin"/><Relationship Id="rId4" Type="http://schemas.openxmlformats.org/officeDocument/2006/relationships/comments" Target="../comments15.xml"/></Relationships>
</file>

<file path=xl/worksheets/_rels/sheet28.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0.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3.xml"/><Relationship Id="rId1" Type="http://schemas.openxmlformats.org/officeDocument/2006/relationships/printerSettings" Target="../printerSettings/printerSettings18.bin"/><Relationship Id="rId4" Type="http://schemas.openxmlformats.org/officeDocument/2006/relationships/comments" Target="../comments17.xml"/></Relationships>
</file>

<file path=xl/worksheets/_rels/sheet31.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4.xml"/><Relationship Id="rId1" Type="http://schemas.openxmlformats.org/officeDocument/2006/relationships/printerSettings" Target="../printerSettings/printerSettings19.bin"/><Relationship Id="rId4" Type="http://schemas.openxmlformats.org/officeDocument/2006/relationships/comments" Target="../comments18.xml"/></Relationships>
</file>

<file path=xl/worksheets/_rels/sheet32.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5.xml"/><Relationship Id="rId1" Type="http://schemas.openxmlformats.org/officeDocument/2006/relationships/printerSettings" Target="../printerSettings/printerSettings20.bin"/><Relationship Id="rId4" Type="http://schemas.openxmlformats.org/officeDocument/2006/relationships/comments" Target="../comments19.xml"/></Relationships>
</file>

<file path=xl/worksheets/_rels/sheet33.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6.xml"/><Relationship Id="rId1" Type="http://schemas.openxmlformats.org/officeDocument/2006/relationships/printerSettings" Target="../printerSettings/printerSettings21.bin"/><Relationship Id="rId4" Type="http://schemas.openxmlformats.org/officeDocument/2006/relationships/comments" Target="../comments20.xml"/></Relationships>
</file>

<file path=xl/worksheets/_rels/sheet34.xml.rels><?xml version="1.0" encoding="UTF-8" standalone="yes"?>
<Relationships xmlns="http://schemas.openxmlformats.org/package/2006/relationships"><Relationship Id="rId3" Type="http://schemas.openxmlformats.org/officeDocument/2006/relationships/comments" Target="../comments21.xml"/><Relationship Id="rId2" Type="http://schemas.openxmlformats.org/officeDocument/2006/relationships/vmlDrawing" Target="../drawings/vmlDrawing21.vml"/><Relationship Id="rId1" Type="http://schemas.openxmlformats.org/officeDocument/2006/relationships/printerSettings" Target="../printerSettings/printerSettings22.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11644-3B85-4962-9EC2-54927C421355}">
  <dimension ref="A2:A8"/>
  <sheetViews>
    <sheetView tabSelected="1" zoomScale="115" zoomScaleNormal="115" workbookViewId="0">
      <selection activeCell="A15" sqref="A15"/>
    </sheetView>
  </sheetViews>
  <sheetFormatPr defaultColWidth="9" defaultRowHeight="14.25" x14ac:dyDescent="0.2"/>
  <cols>
    <col min="1" max="16384" width="9" style="799"/>
  </cols>
  <sheetData>
    <row r="2" spans="1:1" x14ac:dyDescent="0.2">
      <c r="A2" s="1225" t="s">
        <v>2160</v>
      </c>
    </row>
    <row r="3" spans="1:1" x14ac:dyDescent="0.2">
      <c r="A3" s="1225"/>
    </row>
    <row r="4" spans="1:1" x14ac:dyDescent="0.2">
      <c r="A4" s="799" t="s">
        <v>2161</v>
      </c>
    </row>
    <row r="5" spans="1:1" x14ac:dyDescent="0.2">
      <c r="A5" s="1225"/>
    </row>
    <row r="6" spans="1:1" ht="20.25" x14ac:dyDescent="0.3">
      <c r="A6" s="1226" t="s">
        <v>2192</v>
      </c>
    </row>
    <row r="8" spans="1:1" ht="15" x14ac:dyDescent="0.2">
      <c r="A8" s="1227" t="s">
        <v>2162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DAED3-EBCD-47EE-8D90-79807FAB6F92}">
  <dimension ref="A2:B13"/>
  <sheetViews>
    <sheetView workbookViewId="0">
      <selection activeCell="A15" sqref="A15"/>
    </sheetView>
  </sheetViews>
  <sheetFormatPr defaultRowHeight="15" x14ac:dyDescent="0.25"/>
  <sheetData>
    <row r="2" spans="1:2" x14ac:dyDescent="0.25">
      <c r="A2" s="68" t="s">
        <v>1963</v>
      </c>
    </row>
    <row r="4" spans="1:2" x14ac:dyDescent="0.25">
      <c r="A4" t="s">
        <v>1767</v>
      </c>
      <c r="B4" t="s">
        <v>1916</v>
      </c>
    </row>
    <row r="5" spans="1:2" x14ac:dyDescent="0.25">
      <c r="A5" t="s">
        <v>1924</v>
      </c>
      <c r="B5" t="s">
        <v>1925</v>
      </c>
    </row>
    <row r="6" spans="1:2" x14ac:dyDescent="0.25">
      <c r="A6" t="s">
        <v>1926</v>
      </c>
      <c r="B6" t="s">
        <v>1798</v>
      </c>
    </row>
    <row r="7" spans="1:2" x14ac:dyDescent="0.25">
      <c r="A7" t="s">
        <v>1956</v>
      </c>
      <c r="B7" t="s">
        <v>1959</v>
      </c>
    </row>
    <row r="8" spans="1:2" x14ac:dyDescent="0.25">
      <c r="A8" t="s">
        <v>1881</v>
      </c>
      <c r="B8" t="s">
        <v>1224</v>
      </c>
    </row>
    <row r="9" spans="1:2" x14ac:dyDescent="0.25">
      <c r="A9" t="s">
        <v>1957</v>
      </c>
      <c r="B9" t="s">
        <v>1080</v>
      </c>
    </row>
    <row r="10" spans="1:2" x14ac:dyDescent="0.25">
      <c r="A10" t="s">
        <v>1958</v>
      </c>
      <c r="B10" t="s">
        <v>1960</v>
      </c>
    </row>
    <row r="11" spans="1:2" x14ac:dyDescent="0.25">
      <c r="A11" t="s">
        <v>1961</v>
      </c>
      <c r="B11" t="s">
        <v>1962</v>
      </c>
    </row>
    <row r="12" spans="1:2" x14ac:dyDescent="0.25">
      <c r="A12" t="s">
        <v>1970</v>
      </c>
      <c r="B12" t="s">
        <v>1971</v>
      </c>
    </row>
    <row r="13" spans="1:2" x14ac:dyDescent="0.25">
      <c r="A13" t="s">
        <v>1528</v>
      </c>
      <c r="B13" t="s">
        <v>390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99166-9F96-430A-91FD-51B0202A1A40}">
  <sheetPr>
    <tabColor theme="7" tint="-0.249977111117893"/>
  </sheetPr>
  <dimension ref="B2:F9"/>
  <sheetViews>
    <sheetView zoomScale="70" zoomScaleNormal="70" workbookViewId="0">
      <selection activeCell="B12" sqref="B12"/>
    </sheetView>
  </sheetViews>
  <sheetFormatPr defaultRowHeight="15" x14ac:dyDescent="0.25"/>
  <cols>
    <col min="1" max="1" width="3.140625" customWidth="1"/>
    <col min="2" max="2" width="29.85546875" customWidth="1"/>
    <col min="3" max="6" width="13.140625" customWidth="1"/>
  </cols>
  <sheetData>
    <row r="2" spans="2:6" ht="15.75" thickBot="1" x14ac:dyDescent="0.3">
      <c r="B2" s="811" t="s">
        <v>1775</v>
      </c>
    </row>
    <row r="3" spans="2:6" x14ac:dyDescent="0.25">
      <c r="B3" s="1278" t="s">
        <v>1760</v>
      </c>
      <c r="C3" s="1280" t="s">
        <v>1761</v>
      </c>
      <c r="D3" s="1281"/>
      <c r="E3" s="1281"/>
      <c r="F3" s="1282"/>
    </row>
    <row r="4" spans="2:6" ht="39" thickBot="1" x14ac:dyDescent="0.3">
      <c r="B4" s="1279"/>
      <c r="C4" s="863" t="s">
        <v>1762</v>
      </c>
      <c r="D4" s="864" t="s">
        <v>1763</v>
      </c>
      <c r="E4" s="864" t="s">
        <v>1764</v>
      </c>
      <c r="F4" s="864" t="s">
        <v>1765</v>
      </c>
    </row>
    <row r="5" spans="2:6" ht="25.5" x14ac:dyDescent="0.25">
      <c r="B5" s="865" t="s">
        <v>1766</v>
      </c>
      <c r="C5" s="866" t="s">
        <v>1767</v>
      </c>
      <c r="D5" s="867" t="s">
        <v>1767</v>
      </c>
      <c r="E5" s="867" t="s">
        <v>1767</v>
      </c>
      <c r="F5" s="867" t="s">
        <v>1767</v>
      </c>
    </row>
    <row r="6" spans="2:6" ht="76.5" x14ac:dyDescent="0.25">
      <c r="B6" s="868" t="s">
        <v>1768</v>
      </c>
      <c r="C6" s="869" t="s">
        <v>500</v>
      </c>
      <c r="D6" s="870" t="s">
        <v>121</v>
      </c>
      <c r="E6" s="870" t="s">
        <v>1769</v>
      </c>
      <c r="F6" s="869" t="s">
        <v>1769</v>
      </c>
    </row>
    <row r="7" spans="2:6" ht="51" customHeight="1" x14ac:dyDescent="0.25">
      <c r="B7" s="1283" t="s">
        <v>1770</v>
      </c>
      <c r="C7" s="1285" t="s">
        <v>500</v>
      </c>
      <c r="D7" s="1285" t="s">
        <v>121</v>
      </c>
      <c r="E7" s="809" t="s">
        <v>1771</v>
      </c>
      <c r="F7" s="809" t="s">
        <v>1773</v>
      </c>
    </row>
    <row r="8" spans="2:6" ht="51" customHeight="1" thickBot="1" x14ac:dyDescent="0.3">
      <c r="B8" s="1284"/>
      <c r="C8" s="1286"/>
      <c r="D8" s="1286"/>
      <c r="E8" s="808" t="s">
        <v>1772</v>
      </c>
      <c r="F8" s="808" t="s">
        <v>1774</v>
      </c>
    </row>
    <row r="9" spans="2:6" x14ac:dyDescent="0.25">
      <c r="B9" s="810"/>
    </row>
  </sheetData>
  <mergeCells count="5">
    <mergeCell ref="B3:B4"/>
    <mergeCell ref="C3:F3"/>
    <mergeCell ref="B7:B8"/>
    <mergeCell ref="C7:C8"/>
    <mergeCell ref="D7:D8"/>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5FCE1-1381-45DB-AA37-0B1F2C270348}">
  <sheetPr>
    <tabColor theme="7" tint="-0.499984740745262"/>
  </sheetPr>
  <dimension ref="A1:V62"/>
  <sheetViews>
    <sheetView zoomScale="55" zoomScaleNormal="55" workbookViewId="0">
      <selection activeCell="A2" sqref="A2"/>
    </sheetView>
  </sheetViews>
  <sheetFormatPr defaultRowHeight="15" x14ac:dyDescent="0.25"/>
  <cols>
    <col min="1" max="14" width="19.140625" customWidth="1"/>
  </cols>
  <sheetData>
    <row r="1" spans="1:22" ht="28.5" x14ac:dyDescent="0.45">
      <c r="A1" s="149" t="s">
        <v>76</v>
      </c>
    </row>
    <row r="2" spans="1:22" ht="20.25" customHeight="1" thickBot="1" x14ac:dyDescent="0.3">
      <c r="A2" t="s">
        <v>2041</v>
      </c>
      <c r="C2" s="54"/>
      <c r="F2" s="133"/>
      <c r="H2" s="135"/>
      <c r="L2" s="135"/>
    </row>
    <row r="3" spans="1:22" ht="21.75" thickBot="1" x14ac:dyDescent="0.4">
      <c r="C3" s="148" t="s">
        <v>74</v>
      </c>
      <c r="D3" s="1287" t="s">
        <v>1830</v>
      </c>
      <c r="E3" s="1288"/>
      <c r="F3" s="1288"/>
      <c r="G3" s="1288"/>
      <c r="H3" s="1288"/>
      <c r="I3" s="1289"/>
      <c r="J3" s="1287" t="s">
        <v>1829</v>
      </c>
      <c r="K3" s="1288"/>
      <c r="L3" s="1288"/>
      <c r="M3" s="1288"/>
      <c r="N3" s="1289"/>
    </row>
    <row r="4" spans="1:22" s="55" customFormat="1" ht="98.25" customHeight="1" x14ac:dyDescent="0.25">
      <c r="A4" s="136" t="s">
        <v>31</v>
      </c>
      <c r="B4" s="143" t="s">
        <v>32</v>
      </c>
      <c r="C4" s="877" t="s">
        <v>33</v>
      </c>
      <c r="D4" s="901" t="s">
        <v>1917</v>
      </c>
      <c r="E4" s="873" t="s">
        <v>1921</v>
      </c>
      <c r="F4" s="132" t="s">
        <v>1918</v>
      </c>
      <c r="G4" s="889" t="s">
        <v>1919</v>
      </c>
      <c r="H4" s="893" t="s">
        <v>1920</v>
      </c>
      <c r="I4" s="881" t="s">
        <v>1922</v>
      </c>
      <c r="J4" s="897" t="s">
        <v>1929</v>
      </c>
      <c r="K4" s="889" t="s">
        <v>34</v>
      </c>
      <c r="L4" s="893" t="s">
        <v>35</v>
      </c>
      <c r="M4" s="885" t="s">
        <v>75</v>
      </c>
      <c r="N4" s="142" t="s">
        <v>1923</v>
      </c>
    </row>
    <row r="5" spans="1:22" x14ac:dyDescent="0.25">
      <c r="A5" s="137" t="s">
        <v>17</v>
      </c>
      <c r="B5" s="144">
        <v>141680.476189732</v>
      </c>
      <c r="C5" s="878">
        <v>1222.3809861573682</v>
      </c>
      <c r="D5" s="898">
        <v>57950.291543245301</v>
      </c>
      <c r="E5" s="874">
        <f t="shared" ref="E5:E15" si="0">D5*(1-$B$23)</f>
        <v>8692.5437314867959</v>
      </c>
      <c r="F5" s="57">
        <f t="shared" ref="F5:F15" si="1">D5*$B$23</f>
        <v>49257.747811758505</v>
      </c>
      <c r="G5" s="890">
        <f t="shared" ref="G5:G15" si="2">F5*$B$24</f>
        <v>29554.648687055102</v>
      </c>
      <c r="H5" s="894">
        <f t="shared" ref="H5:H15" si="3">F5*(1-$B$24)</f>
        <v>19703.099124703404</v>
      </c>
      <c r="I5" s="882">
        <v>3988.0673705935401</v>
      </c>
      <c r="J5" s="898">
        <v>15341.313157975599</v>
      </c>
      <c r="K5" s="890">
        <f t="shared" ref="K5:K15" si="4">J5*$B$25</f>
        <v>7670.6565789877995</v>
      </c>
      <c r="L5" s="894">
        <f t="shared" ref="L5:L15" si="5">J5*(1-$B$25)</f>
        <v>7670.6565789877995</v>
      </c>
      <c r="M5" s="886">
        <v>263.423131760209</v>
      </c>
      <c r="N5" s="139">
        <v>62915</v>
      </c>
    </row>
    <row r="6" spans="1:22" x14ac:dyDescent="0.25">
      <c r="A6" s="137" t="s">
        <v>19</v>
      </c>
      <c r="B6" s="144">
        <v>113508.954599545</v>
      </c>
      <c r="C6" s="878">
        <v>370.15665518518654</v>
      </c>
      <c r="D6" s="898">
        <v>48670.583650773297</v>
      </c>
      <c r="E6" s="874">
        <f t="shared" si="0"/>
        <v>7300.5875476159954</v>
      </c>
      <c r="F6" s="57">
        <f t="shared" si="1"/>
        <v>41369.996103157304</v>
      </c>
      <c r="G6" s="890">
        <f t="shared" si="2"/>
        <v>24821.99766189438</v>
      </c>
      <c r="H6" s="894">
        <f t="shared" si="3"/>
        <v>16547.998441262924</v>
      </c>
      <c r="I6" s="882">
        <v>703.71386992931298</v>
      </c>
      <c r="J6" s="898">
        <v>23441.0388583899</v>
      </c>
      <c r="K6" s="890">
        <f t="shared" si="4"/>
        <v>11720.51942919495</v>
      </c>
      <c r="L6" s="894">
        <f t="shared" si="5"/>
        <v>11720.51942919495</v>
      </c>
      <c r="M6" s="886">
        <v>37.961565267294603</v>
      </c>
      <c r="N6" s="139">
        <v>40285.5</v>
      </c>
      <c r="U6" s="612"/>
      <c r="V6" s="613"/>
    </row>
    <row r="7" spans="1:22" x14ac:dyDescent="0.25">
      <c r="A7" s="137" t="s">
        <v>20</v>
      </c>
      <c r="B7" s="144">
        <v>145595.87483549101</v>
      </c>
      <c r="C7" s="878">
        <v>243.17902053246507</v>
      </c>
      <c r="D7" s="898">
        <v>49397.285296209098</v>
      </c>
      <c r="E7" s="874">
        <f t="shared" si="0"/>
        <v>7409.5927944313662</v>
      </c>
      <c r="F7" s="57">
        <f t="shared" si="1"/>
        <v>41987.692501777732</v>
      </c>
      <c r="G7" s="890">
        <f t="shared" si="2"/>
        <v>25192.615501066637</v>
      </c>
      <c r="H7" s="894">
        <f t="shared" si="3"/>
        <v>16795.077000711095</v>
      </c>
      <c r="I7" s="882">
        <v>0.30615117214620102</v>
      </c>
      <c r="J7" s="898">
        <v>17419.681965827898</v>
      </c>
      <c r="K7" s="890">
        <f t="shared" si="4"/>
        <v>8709.8409829139491</v>
      </c>
      <c r="L7" s="894">
        <f t="shared" si="5"/>
        <v>8709.8409829139491</v>
      </c>
      <c r="M7" s="886">
        <v>12978.822401749399</v>
      </c>
      <c r="N7" s="139">
        <v>65556.600000000006</v>
      </c>
      <c r="U7" s="612"/>
      <c r="V7" s="613"/>
    </row>
    <row r="8" spans="1:22" x14ac:dyDescent="0.25">
      <c r="A8" s="137" t="s">
        <v>21</v>
      </c>
      <c r="B8" s="144">
        <v>238833.462215423</v>
      </c>
      <c r="C8" s="878">
        <v>846.59313863472198</v>
      </c>
      <c r="D8" s="898">
        <v>95065.9132137298</v>
      </c>
      <c r="E8" s="874">
        <f t="shared" si="0"/>
        <v>14259.886982059472</v>
      </c>
      <c r="F8" s="57">
        <f t="shared" si="1"/>
        <v>80806.02623167033</v>
      </c>
      <c r="G8" s="890">
        <f t="shared" si="2"/>
        <v>48483.615739002198</v>
      </c>
      <c r="H8" s="894">
        <f t="shared" si="3"/>
        <v>32322.410492668132</v>
      </c>
      <c r="I8" s="882">
        <v>16439.298118591301</v>
      </c>
      <c r="J8" s="898">
        <v>39269.173709869297</v>
      </c>
      <c r="K8" s="890">
        <f t="shared" si="4"/>
        <v>19634.586854934649</v>
      </c>
      <c r="L8" s="894">
        <f t="shared" si="5"/>
        <v>19634.586854934649</v>
      </c>
      <c r="M8" s="886">
        <v>2816.98403459787</v>
      </c>
      <c r="N8" s="139">
        <v>84395.5</v>
      </c>
      <c r="U8" s="612"/>
      <c r="V8" s="613"/>
    </row>
    <row r="9" spans="1:22" x14ac:dyDescent="0.25">
      <c r="A9" s="137" t="s">
        <v>22</v>
      </c>
      <c r="B9" s="144">
        <v>96741.291428565906</v>
      </c>
      <c r="C9" s="878">
        <v>1903.315299975875</v>
      </c>
      <c r="D9" s="898">
        <v>58097.932598113999</v>
      </c>
      <c r="E9" s="874">
        <f t="shared" si="0"/>
        <v>8714.6898897171013</v>
      </c>
      <c r="F9" s="57">
        <f t="shared" si="1"/>
        <v>49383.242708396901</v>
      </c>
      <c r="G9" s="890">
        <f t="shared" si="2"/>
        <v>29629.945625038141</v>
      </c>
      <c r="H9" s="894">
        <f t="shared" si="3"/>
        <v>19753.297083358761</v>
      </c>
      <c r="I9" s="882">
        <v>727.04614043235699</v>
      </c>
      <c r="J9" s="898">
        <v>12578.0196666717</v>
      </c>
      <c r="K9" s="890">
        <f t="shared" si="4"/>
        <v>6289.0098333358501</v>
      </c>
      <c r="L9" s="894">
        <f t="shared" si="5"/>
        <v>6289.0098333358501</v>
      </c>
      <c r="M9" s="886">
        <v>42.277723371982503</v>
      </c>
      <c r="N9" s="139">
        <v>23392.7</v>
      </c>
      <c r="U9" s="612"/>
      <c r="V9" s="613"/>
    </row>
    <row r="10" spans="1:22" x14ac:dyDescent="0.25">
      <c r="A10" s="137" t="s">
        <v>23</v>
      </c>
      <c r="B10" s="144">
        <v>107561.097502708</v>
      </c>
      <c r="C10" s="878">
        <v>2160.1605067980272</v>
      </c>
      <c r="D10" s="898">
        <v>54897.952398538502</v>
      </c>
      <c r="E10" s="874">
        <f t="shared" si="0"/>
        <v>8234.6928597807764</v>
      </c>
      <c r="F10" s="57">
        <f t="shared" si="1"/>
        <v>46663.259538757724</v>
      </c>
      <c r="G10" s="890">
        <f t="shared" si="2"/>
        <v>27997.955723254632</v>
      </c>
      <c r="H10" s="894">
        <f t="shared" si="3"/>
        <v>18665.303815503092</v>
      </c>
      <c r="I10" s="882">
        <v>5169.6623744070503</v>
      </c>
      <c r="J10" s="898">
        <v>11485.366881370501</v>
      </c>
      <c r="K10" s="890">
        <f t="shared" si="4"/>
        <v>5742.6834406852504</v>
      </c>
      <c r="L10" s="894">
        <f t="shared" si="5"/>
        <v>5742.6834406852504</v>
      </c>
      <c r="M10" s="886">
        <v>276.55534159392101</v>
      </c>
      <c r="N10" s="139">
        <v>33571.4</v>
      </c>
      <c r="U10" s="612"/>
      <c r="V10" s="613"/>
    </row>
    <row r="11" spans="1:22" x14ac:dyDescent="0.25">
      <c r="A11" s="137" t="s">
        <v>24</v>
      </c>
      <c r="B11" s="144">
        <v>27707.5702514648</v>
      </c>
      <c r="C11" s="878">
        <v>5.7589745374571066E-3</v>
      </c>
      <c r="D11" s="898">
        <v>7028.7267646789496</v>
      </c>
      <c r="E11" s="874">
        <f t="shared" si="0"/>
        <v>1054.3090147018427</v>
      </c>
      <c r="F11" s="57">
        <f t="shared" si="1"/>
        <v>5974.4177499771067</v>
      </c>
      <c r="G11" s="890">
        <f t="shared" si="2"/>
        <v>3584.6506499862639</v>
      </c>
      <c r="H11" s="894">
        <f t="shared" si="3"/>
        <v>2389.7670999908428</v>
      </c>
      <c r="I11" s="882">
        <v>2493.92600250244</v>
      </c>
      <c r="J11" s="898">
        <v>10934.016151428201</v>
      </c>
      <c r="K11" s="890">
        <f t="shared" si="4"/>
        <v>5467.0080757141004</v>
      </c>
      <c r="L11" s="894">
        <f t="shared" si="5"/>
        <v>5467.0080757141004</v>
      </c>
      <c r="M11" s="886">
        <v>96.805573880672398</v>
      </c>
      <c r="N11" s="139">
        <v>7154.09</v>
      </c>
      <c r="U11" s="612"/>
      <c r="V11" s="613"/>
    </row>
    <row r="12" spans="1:22" x14ac:dyDescent="0.25">
      <c r="A12" s="137" t="s">
        <v>25</v>
      </c>
      <c r="B12" s="144">
        <v>13238.951122283899</v>
      </c>
      <c r="C12" s="878">
        <v>-7.4140620508842403E-3</v>
      </c>
      <c r="D12" s="898">
        <v>1512.4354619979799</v>
      </c>
      <c r="E12" s="874">
        <f t="shared" si="0"/>
        <v>226.86531929969703</v>
      </c>
      <c r="F12" s="57">
        <f t="shared" si="1"/>
        <v>1285.570142698283</v>
      </c>
      <c r="G12" s="890">
        <f t="shared" si="2"/>
        <v>771.3420856189698</v>
      </c>
      <c r="H12" s="894">
        <f t="shared" si="3"/>
        <v>514.2280570793132</v>
      </c>
      <c r="I12" s="882">
        <v>874.39757442474297</v>
      </c>
      <c r="J12" s="898">
        <v>6214.8123855590802</v>
      </c>
      <c r="K12" s="890">
        <f t="shared" si="4"/>
        <v>3107.4061927795401</v>
      </c>
      <c r="L12" s="894">
        <f t="shared" si="5"/>
        <v>3107.4061927795401</v>
      </c>
      <c r="M12" s="886">
        <v>41.293114364147101</v>
      </c>
      <c r="N12" s="139">
        <v>4596.0200000000004</v>
      </c>
      <c r="U12" s="612"/>
      <c r="V12" s="613"/>
    </row>
    <row r="13" spans="1:22" x14ac:dyDescent="0.25">
      <c r="A13" s="137" t="s">
        <v>26</v>
      </c>
      <c r="B13" s="144">
        <v>25005.9849967956</v>
      </c>
      <c r="C13" s="878">
        <v>24.568730564558791</v>
      </c>
      <c r="D13" s="898">
        <v>7126.0510189533197</v>
      </c>
      <c r="E13" s="874">
        <f t="shared" si="0"/>
        <v>1068.907652842998</v>
      </c>
      <c r="F13" s="57">
        <f t="shared" si="1"/>
        <v>6057.1433661103219</v>
      </c>
      <c r="G13" s="890">
        <f t="shared" si="2"/>
        <v>3634.2860196661932</v>
      </c>
      <c r="H13" s="894">
        <f t="shared" si="3"/>
        <v>2422.8573464441288</v>
      </c>
      <c r="I13" s="882">
        <v>2782.4533026814402</v>
      </c>
      <c r="J13" s="898">
        <v>6955.5656576156598</v>
      </c>
      <c r="K13" s="890">
        <f t="shared" si="4"/>
        <v>3477.7828288078299</v>
      </c>
      <c r="L13" s="894">
        <f t="shared" si="5"/>
        <v>3477.7828288078299</v>
      </c>
      <c r="M13" s="886">
        <v>7202.2792869806199</v>
      </c>
      <c r="N13" s="139">
        <v>915.06700000000001</v>
      </c>
      <c r="U13" s="612"/>
      <c r="V13" s="613"/>
    </row>
    <row r="14" spans="1:22" x14ac:dyDescent="0.25">
      <c r="A14" s="137" t="s">
        <v>27</v>
      </c>
      <c r="B14" s="144">
        <v>12442.687641143701</v>
      </c>
      <c r="C14" s="878">
        <v>8.0901383480522782E-3</v>
      </c>
      <c r="D14" s="898">
        <v>7749.6089901924097</v>
      </c>
      <c r="E14" s="874">
        <f t="shared" si="0"/>
        <v>1162.4413485288617</v>
      </c>
      <c r="F14" s="57">
        <f t="shared" si="1"/>
        <v>6587.1676416635482</v>
      </c>
      <c r="G14" s="890">
        <f t="shared" si="2"/>
        <v>3952.3005849981287</v>
      </c>
      <c r="H14" s="894">
        <f t="shared" si="3"/>
        <v>2634.8670566654196</v>
      </c>
      <c r="I14" s="882">
        <v>524.81055641174305</v>
      </c>
      <c r="J14" s="898">
        <v>4137.9558753967203</v>
      </c>
      <c r="K14" s="890">
        <f t="shared" si="4"/>
        <v>2068.9779376983602</v>
      </c>
      <c r="L14" s="894">
        <f t="shared" si="5"/>
        <v>2068.9779376983602</v>
      </c>
      <c r="M14" s="886">
        <v>30.304129004478401</v>
      </c>
      <c r="N14" s="139"/>
      <c r="U14" s="612"/>
      <c r="V14" s="613"/>
    </row>
    <row r="15" spans="1:22" x14ac:dyDescent="0.25">
      <c r="A15" s="137" t="s">
        <v>28</v>
      </c>
      <c r="B15" s="144">
        <v>116761.697616815</v>
      </c>
      <c r="C15" s="878">
        <v>1719.3490680452232</v>
      </c>
      <c r="D15" s="898">
        <v>94632.471317529606</v>
      </c>
      <c r="E15" s="874">
        <f t="shared" si="0"/>
        <v>14194.870697629443</v>
      </c>
      <c r="F15" s="57">
        <f t="shared" si="1"/>
        <v>80437.600619900157</v>
      </c>
      <c r="G15" s="890">
        <f t="shared" si="2"/>
        <v>48262.56037194009</v>
      </c>
      <c r="H15" s="894">
        <f t="shared" si="3"/>
        <v>32175.040247960063</v>
      </c>
      <c r="I15" s="882">
        <v>8366.6545269489197</v>
      </c>
      <c r="J15" s="898">
        <v>11591.6892642974</v>
      </c>
      <c r="K15" s="890">
        <f t="shared" si="4"/>
        <v>5795.8446321486999</v>
      </c>
      <c r="L15" s="894">
        <f t="shared" si="5"/>
        <v>5795.8446321486999</v>
      </c>
      <c r="M15" s="886">
        <v>451.533439993858</v>
      </c>
      <c r="N15" s="139"/>
      <c r="U15" s="612"/>
      <c r="V15" s="613"/>
    </row>
    <row r="16" spans="1:22" x14ac:dyDescent="0.25">
      <c r="A16" s="138"/>
      <c r="B16" s="145">
        <f>SUM(B5:B15)</f>
        <v>1039078.048399968</v>
      </c>
      <c r="C16" s="879">
        <v>8489.7098409442606</v>
      </c>
      <c r="D16" s="899">
        <f t="shared" ref="D16:J16" si="6">SUM(D5:D15)</f>
        <v>482129.25225396227</v>
      </c>
      <c r="E16" s="875">
        <f t="shared" si="6"/>
        <v>72319.387838094364</v>
      </c>
      <c r="F16" s="131">
        <f t="shared" si="6"/>
        <v>409809.86441586795</v>
      </c>
      <c r="G16" s="891">
        <f t="shared" si="6"/>
        <v>245885.9186495207</v>
      </c>
      <c r="H16" s="895">
        <f t="shared" si="6"/>
        <v>163923.9457663472</v>
      </c>
      <c r="I16" s="883">
        <f t="shared" si="6"/>
        <v>42070.335988095001</v>
      </c>
      <c r="J16" s="899">
        <f t="shared" si="6"/>
        <v>159368.63357440196</v>
      </c>
      <c r="K16" s="891">
        <f>SUM(K5:K15)</f>
        <v>79684.31678720098</v>
      </c>
      <c r="L16" s="895">
        <f>SUM(L5:L15)</f>
        <v>79684.31678720098</v>
      </c>
      <c r="M16" s="887">
        <f>SUM(M5:M15)</f>
        <v>24238.239742564452</v>
      </c>
      <c r="N16" s="140">
        <f>SUM(N5:N15)</f>
        <v>322781.87700000004</v>
      </c>
      <c r="U16" s="612"/>
      <c r="V16" s="613"/>
    </row>
    <row r="17" spans="1:14" x14ac:dyDescent="0.25">
      <c r="A17" s="138"/>
      <c r="B17" s="126"/>
      <c r="C17" s="880"/>
      <c r="D17" s="900"/>
      <c r="E17" s="876"/>
      <c r="F17" s="19"/>
      <c r="G17" s="892"/>
      <c r="H17" s="896"/>
      <c r="I17" s="884"/>
      <c r="J17" s="900"/>
      <c r="K17" s="892"/>
      <c r="L17" s="896"/>
      <c r="M17" s="888"/>
      <c r="N17" s="141"/>
    </row>
    <row r="18" spans="1:14" ht="21.75" thickBot="1" x14ac:dyDescent="0.4">
      <c r="A18" s="1290" t="s">
        <v>36</v>
      </c>
      <c r="B18" s="146">
        <f>SUM(C18,D18,I18,J18,M18,N18)</f>
        <v>1039078.0483999681</v>
      </c>
      <c r="C18" s="1305">
        <v>8489.7098409442606</v>
      </c>
      <c r="D18" s="1299">
        <f>D16</f>
        <v>482129.25225396227</v>
      </c>
      <c r="E18" s="1303">
        <f>E16</f>
        <v>72319.387838094364</v>
      </c>
      <c r="F18" s="1304"/>
      <c r="G18" s="1298">
        <f t="shared" ref="G18:N18" si="7">G16</f>
        <v>245885.9186495207</v>
      </c>
      <c r="H18" s="1296">
        <f t="shared" si="7"/>
        <v>163923.9457663472</v>
      </c>
      <c r="I18" s="1301">
        <f t="shared" si="7"/>
        <v>42070.335988095001</v>
      </c>
      <c r="J18" s="1299">
        <f t="shared" si="7"/>
        <v>159368.63357440196</v>
      </c>
      <c r="K18" s="1298">
        <f t="shared" si="7"/>
        <v>79684.31678720098</v>
      </c>
      <c r="L18" s="1296">
        <f t="shared" si="7"/>
        <v>79684.31678720098</v>
      </c>
      <c r="M18" s="1294">
        <f t="shared" si="7"/>
        <v>24238.239742564452</v>
      </c>
      <c r="N18" s="1292">
        <f t="shared" si="7"/>
        <v>322781.87700000004</v>
      </c>
    </row>
    <row r="19" spans="1:14" ht="55.5" customHeight="1" thickBot="1" x14ac:dyDescent="0.4">
      <c r="A19" s="1291"/>
      <c r="B19" s="147">
        <f>SUM(C18,E18:H18,I18,K18:L18,M18,N18)</f>
        <v>1039078.0483999681</v>
      </c>
      <c r="C19" s="1306"/>
      <c r="D19" s="1300"/>
      <c r="E19" s="1303"/>
      <c r="F19" s="1304"/>
      <c r="G19" s="1298"/>
      <c r="H19" s="1297"/>
      <c r="I19" s="1302"/>
      <c r="J19" s="1300"/>
      <c r="K19" s="1298"/>
      <c r="L19" s="1297"/>
      <c r="M19" s="1295"/>
      <c r="N19" s="1293"/>
    </row>
    <row r="20" spans="1:14" x14ac:dyDescent="0.25">
      <c r="A20" s="48"/>
      <c r="B20" s="48"/>
      <c r="I20" s="48"/>
      <c r="J20" s="61"/>
      <c r="M20" s="48"/>
      <c r="N20" s="48"/>
    </row>
    <row r="21" spans="1:14" x14ac:dyDescent="0.25">
      <c r="A21" s="914" t="s">
        <v>1836</v>
      </c>
      <c r="B21" s="48"/>
      <c r="I21" s="48"/>
      <c r="J21" s="61"/>
      <c r="M21" s="48"/>
      <c r="N21" s="48"/>
    </row>
    <row r="22" spans="1:14" x14ac:dyDescent="0.25">
      <c r="A22" s="48"/>
      <c r="B22" s="48"/>
      <c r="I22" s="48"/>
      <c r="J22" s="61"/>
      <c r="M22" s="48"/>
      <c r="N22" s="48"/>
    </row>
    <row r="23" spans="1:14" ht="18.75" x14ac:dyDescent="0.3">
      <c r="A23" s="904" t="s">
        <v>1927</v>
      </c>
      <c r="B23" s="902">
        <v>0.85</v>
      </c>
      <c r="I23" s="56"/>
      <c r="M23" s="62"/>
      <c r="N23" s="56"/>
    </row>
    <row r="24" spans="1:14" ht="18.75" x14ac:dyDescent="0.3">
      <c r="A24" s="904" t="s">
        <v>1928</v>
      </c>
      <c r="B24" s="903">
        <v>0.6</v>
      </c>
      <c r="I24" s="56"/>
      <c r="M24" s="62"/>
      <c r="N24" s="56"/>
    </row>
    <row r="25" spans="1:14" ht="18.75" x14ac:dyDescent="0.3">
      <c r="A25" s="904" t="s">
        <v>1930</v>
      </c>
      <c r="B25" s="903">
        <v>0.5</v>
      </c>
      <c r="I25" s="56"/>
      <c r="M25" s="62"/>
      <c r="N25" s="56"/>
    </row>
    <row r="26" spans="1:14" x14ac:dyDescent="0.25">
      <c r="B26" s="49"/>
      <c r="I26" s="56"/>
      <c r="M26" s="62"/>
      <c r="N26" s="56"/>
    </row>
    <row r="27" spans="1:14" x14ac:dyDescent="0.25">
      <c r="A27" t="s">
        <v>73</v>
      </c>
      <c r="B27" s="49"/>
      <c r="I27" s="56"/>
      <c r="M27" s="62"/>
      <c r="N27" s="56"/>
    </row>
    <row r="28" spans="1:14" x14ac:dyDescent="0.25">
      <c r="A28" s="49"/>
      <c r="B28" s="50"/>
      <c r="M28" s="62"/>
      <c r="N28" s="56"/>
    </row>
    <row r="29" spans="1:14" x14ac:dyDescent="0.25">
      <c r="A29" s="159" t="s">
        <v>1827</v>
      </c>
      <c r="B29" s="872">
        <f>SUM(G18,H18,K18,L18)</f>
        <v>569178.49799026991</v>
      </c>
      <c r="M29" s="62"/>
      <c r="N29" s="56"/>
    </row>
    <row r="30" spans="1:14" x14ac:dyDescent="0.25">
      <c r="A30" s="871" t="s">
        <v>1828</v>
      </c>
      <c r="B30" s="243">
        <f>B29/B19</f>
        <v>0.54777261329572269</v>
      </c>
      <c r="M30" s="62"/>
      <c r="N30" s="56"/>
    </row>
    <row r="31" spans="1:14" x14ac:dyDescent="0.25">
      <c r="A31" s="49"/>
      <c r="B31" s="50"/>
      <c r="M31" s="62"/>
      <c r="N31" s="56"/>
    </row>
    <row r="32" spans="1:14" x14ac:dyDescent="0.25">
      <c r="A32" s="49"/>
      <c r="B32" s="50"/>
      <c r="M32" s="62"/>
      <c r="N32" s="56"/>
    </row>
    <row r="33" spans="1:14" x14ac:dyDescent="0.25">
      <c r="A33" s="68" t="s">
        <v>1813</v>
      </c>
      <c r="M33" s="59"/>
      <c r="N33" s="59"/>
    </row>
    <row r="36" spans="1:14" x14ac:dyDescent="0.25">
      <c r="A36" t="s">
        <v>21</v>
      </c>
      <c r="B36" s="66">
        <v>115321.90428085314</v>
      </c>
      <c r="C36" s="66">
        <v>57660.952140426569</v>
      </c>
      <c r="D36" s="66">
        <f>SUM(B36:C36)</f>
        <v>172982.85642127972</v>
      </c>
    </row>
    <row r="37" spans="1:14" x14ac:dyDescent="0.25">
      <c r="A37" t="s">
        <v>28</v>
      </c>
      <c r="B37" s="66">
        <v>87297.666318321091</v>
      </c>
      <c r="C37" s="66">
        <v>43648.833159160546</v>
      </c>
      <c r="D37" s="66">
        <f t="shared" ref="D37:D46" si="8">SUM(B37:C37)</f>
        <v>130946.49947748164</v>
      </c>
      <c r="N37" s="63"/>
    </row>
    <row r="38" spans="1:14" x14ac:dyDescent="0.25">
      <c r="A38" t="s">
        <v>19</v>
      </c>
      <c r="B38" s="66">
        <v>62377.505779008541</v>
      </c>
      <c r="C38" s="66">
        <v>31188.752889504271</v>
      </c>
      <c r="D38" s="66">
        <f t="shared" si="8"/>
        <v>93566.258668512804</v>
      </c>
    </row>
    <row r="39" spans="1:14" x14ac:dyDescent="0.25">
      <c r="A39" t="s">
        <v>17</v>
      </c>
      <c r="B39" s="66">
        <v>61701.546392571843</v>
      </c>
      <c r="C39" s="66">
        <v>30850.773196285922</v>
      </c>
      <c r="D39" s="66">
        <f t="shared" si="8"/>
        <v>92552.319588857761</v>
      </c>
      <c r="H39" s="64"/>
      <c r="I39" s="48"/>
      <c r="K39" s="47"/>
      <c r="M39" s="48"/>
      <c r="N39" s="48"/>
    </row>
    <row r="40" spans="1:14" x14ac:dyDescent="0.25">
      <c r="A40" t="s">
        <v>22</v>
      </c>
      <c r="B40" s="66">
        <v>59056.365745162897</v>
      </c>
      <c r="C40" s="66">
        <v>29528.182872581452</v>
      </c>
      <c r="D40" s="66">
        <f t="shared" si="8"/>
        <v>88584.548617744353</v>
      </c>
      <c r="H40" s="65"/>
      <c r="I40" s="50"/>
      <c r="J40" s="61"/>
      <c r="K40" s="47"/>
      <c r="M40" s="50"/>
      <c r="N40" s="50"/>
    </row>
    <row r="41" spans="1:14" x14ac:dyDescent="0.25">
      <c r="A41" t="s">
        <v>20</v>
      </c>
      <c r="B41" s="66">
        <v>56937.51020279518</v>
      </c>
      <c r="C41" s="66">
        <v>28468.75510139759</v>
      </c>
      <c r="D41" s="66">
        <f t="shared" si="8"/>
        <v>85406.26530419277</v>
      </c>
    </row>
    <row r="42" spans="1:14" x14ac:dyDescent="0.25">
      <c r="A42" t="s">
        <v>23</v>
      </c>
      <c r="B42" s="66">
        <v>55403.728800201308</v>
      </c>
      <c r="C42" s="66">
        <v>27701.864400100654</v>
      </c>
      <c r="D42" s="66">
        <f t="shared" si="8"/>
        <v>83105.593200301955</v>
      </c>
    </row>
    <row r="43" spans="1:14" x14ac:dyDescent="0.25">
      <c r="A43" t="s">
        <v>24</v>
      </c>
      <c r="B43" s="66">
        <v>16556.997563171361</v>
      </c>
      <c r="C43" s="66">
        <v>8278.4987815856803</v>
      </c>
      <c r="D43" s="66">
        <f t="shared" si="8"/>
        <v>24835.496344757041</v>
      </c>
      <c r="G43" s="66"/>
      <c r="H43" s="67"/>
    </row>
    <row r="44" spans="1:14" x14ac:dyDescent="0.25">
      <c r="A44" t="s">
        <v>26</v>
      </c>
      <c r="B44" s="66">
        <v>12656.406472778315</v>
      </c>
      <c r="C44" s="66">
        <v>6328.2032363891576</v>
      </c>
      <c r="D44" s="66">
        <f t="shared" si="8"/>
        <v>18984.609709167475</v>
      </c>
      <c r="G44" s="66"/>
      <c r="H44" s="67"/>
    </row>
    <row r="45" spans="1:14" x14ac:dyDescent="0.25">
      <c r="A45" t="s">
        <v>27</v>
      </c>
      <c r="B45" s="66">
        <v>10337.643067550649</v>
      </c>
      <c r="C45" s="66">
        <v>5168.8215337753245</v>
      </c>
      <c r="D45" s="66">
        <f t="shared" si="8"/>
        <v>15506.464601325973</v>
      </c>
      <c r="G45" s="66"/>
      <c r="H45" s="67"/>
    </row>
    <row r="46" spans="1:14" x14ac:dyDescent="0.25">
      <c r="A46" t="s">
        <v>25</v>
      </c>
      <c r="B46" s="66">
        <v>7424.7607551574647</v>
      </c>
      <c r="C46" s="66">
        <v>3712.3803775787319</v>
      </c>
      <c r="D46" s="66">
        <f t="shared" si="8"/>
        <v>11137.141132736197</v>
      </c>
      <c r="G46" s="66"/>
      <c r="H46" s="67"/>
    </row>
    <row r="47" spans="1:14" x14ac:dyDescent="0.25">
      <c r="G47" s="66"/>
      <c r="H47" s="67"/>
    </row>
    <row r="48" spans="1:14" x14ac:dyDescent="0.25">
      <c r="G48" s="66"/>
      <c r="H48" s="67"/>
    </row>
    <row r="49" spans="1:8" x14ac:dyDescent="0.25">
      <c r="G49" s="66"/>
      <c r="H49" s="67"/>
    </row>
    <row r="50" spans="1:8" x14ac:dyDescent="0.25">
      <c r="A50" s="68" t="s">
        <v>2156</v>
      </c>
      <c r="G50" s="66"/>
      <c r="H50" s="67"/>
    </row>
    <row r="51" spans="1:8" x14ac:dyDescent="0.25">
      <c r="B51" t="s">
        <v>412</v>
      </c>
      <c r="C51" t="s">
        <v>416</v>
      </c>
      <c r="G51" s="66"/>
      <c r="H51" s="67"/>
    </row>
    <row r="52" spans="1:8" x14ac:dyDescent="0.25">
      <c r="A52" s="161" t="s">
        <v>500</v>
      </c>
      <c r="B52" s="243">
        <v>0</v>
      </c>
      <c r="C52" s="1221">
        <f>'S2.1.4 Gas_cred'!D7*SUM('S2.1.4 Gas_cred'!G15:G18)+'S2.1.4 Gas_cred'!D8*SUM('S2.1.4 Gas_cred'!E28:E34)</f>
        <v>0.95199999999999996</v>
      </c>
      <c r="G52" s="66"/>
      <c r="H52" s="67"/>
    </row>
    <row r="53" spans="1:8" x14ac:dyDescent="0.25">
      <c r="A53" s="161" t="s">
        <v>121</v>
      </c>
      <c r="B53" s="243">
        <v>0</v>
      </c>
      <c r="C53" s="1221">
        <f>'S2.2.3 Pyro_cred'!C6*SUM('S2.2.3 Pyro_cred'!E14:E27)+'S2.2.3 Pyro_cred'!C7*SUM('S2.2.3 Pyro_cred'!G36:G46)</f>
        <v>0.88500000000000001</v>
      </c>
      <c r="G53" s="66"/>
      <c r="H53" s="67"/>
    </row>
    <row r="54" spans="1:8" x14ac:dyDescent="0.25">
      <c r="A54" s="161" t="s">
        <v>11</v>
      </c>
      <c r="B54" s="1222">
        <f>MIN('S2.3.3 Depoly_cred'!C6*'S2.3.3 Depoly_cred'!D13,'S2.3.3 Depoly_cred'!C7*'S2.3.3 Depoly_cred'!D16,'S2.3.3 Depoly_cred'!C8*'S2.3.3 Depoly_cred'!D19,'S2.3.3 Depoly_cred'!C9*'S2.3.3 Depoly_cred'!D22)</f>
        <v>0.81414020371479934</v>
      </c>
      <c r="C54" s="1223">
        <f>MAX('S2.3.3 Depoly_cred'!C6*'S2.3.3 Depoly_cred'!F13,'S2.3.3 Depoly_cred'!C7*'S2.3.3 Depoly_cred'!F16,'S2.3.3 Depoly_cred'!C8*'S2.3.3 Depoly_cred'!F19,'S2.3.3 Depoly_cred'!C9*'S2.3.3 Depoly_cred'!F22)</f>
        <v>1.210545</v>
      </c>
      <c r="G54" s="66"/>
      <c r="H54" s="67"/>
    </row>
    <row r="55" spans="1:8" x14ac:dyDescent="0.25">
      <c r="A55" s="161" t="s">
        <v>12</v>
      </c>
      <c r="B55" s="1222">
        <f>'S2.4.2 Dissol_cred'!C10</f>
        <v>0.83000000000000007</v>
      </c>
      <c r="C55" s="1222">
        <f>'S2.4.2 Dissol_cred'!E10</f>
        <v>0.97</v>
      </c>
      <c r="G55" s="66"/>
      <c r="H55" s="67"/>
    </row>
    <row r="56" spans="1:8" x14ac:dyDescent="0.25">
      <c r="A56" s="68" t="s">
        <v>2154</v>
      </c>
      <c r="G56" s="66"/>
      <c r="H56" s="67"/>
    </row>
    <row r="57" spans="1:8" x14ac:dyDescent="0.25">
      <c r="A57" t="s">
        <v>2155</v>
      </c>
      <c r="G57" s="66"/>
      <c r="H57" s="67"/>
    </row>
    <row r="58" spans="1:8" x14ac:dyDescent="0.25">
      <c r="B58" t="s">
        <v>412</v>
      </c>
      <c r="C58" t="s">
        <v>416</v>
      </c>
      <c r="G58" s="66"/>
      <c r="H58" s="67"/>
    </row>
    <row r="59" spans="1:8" x14ac:dyDescent="0.25">
      <c r="A59" s="161" t="s">
        <v>1762</v>
      </c>
      <c r="B59" s="243">
        <f t="shared" ref="B59:B60" si="9">$B$29*B52/$B$19</f>
        <v>0</v>
      </c>
      <c r="C59" s="243">
        <f>$B$29*C52/$B$19</f>
        <v>0.52147952785752794</v>
      </c>
      <c r="G59" s="66"/>
      <c r="H59" s="67"/>
    </row>
    <row r="60" spans="1:8" x14ac:dyDescent="0.25">
      <c r="A60" s="161" t="s">
        <v>1763</v>
      </c>
      <c r="B60" s="243">
        <f t="shared" si="9"/>
        <v>0</v>
      </c>
      <c r="C60" s="243">
        <f>$B$29*C53/$B$19</f>
        <v>0.48477876276671455</v>
      </c>
      <c r="G60" s="59"/>
      <c r="H60" s="59"/>
    </row>
    <row r="61" spans="1:8" x14ac:dyDescent="0.25">
      <c r="A61" s="161" t="s">
        <v>1764</v>
      </c>
      <c r="B61" s="243">
        <f>((G18+K18)*B54+(H18+L18)*B53)/$B$19</f>
        <v>0.25509134584267473</v>
      </c>
      <c r="C61" s="243">
        <f>((G18+K18)*C54+(H18+L18)*C52)/$B$19</f>
        <v>0.60248841515969354</v>
      </c>
    </row>
    <row r="62" spans="1:8" x14ac:dyDescent="0.25">
      <c r="A62" s="161" t="s">
        <v>1765</v>
      </c>
      <c r="B62" s="243">
        <f>((G18+K18)*B55+(H18+L18)*B53)/$B$19</f>
        <v>0.26006063339379015</v>
      </c>
      <c r="C62" s="243">
        <f>((G18+K18)*C55+(H18+L18)*C52)/$B$19</f>
        <v>0.52711939701546562</v>
      </c>
      <c r="G62" s="61"/>
      <c r="H62" s="61"/>
    </row>
  </sheetData>
  <mergeCells count="15">
    <mergeCell ref="D3:I3"/>
    <mergeCell ref="J3:N3"/>
    <mergeCell ref="A18:A19"/>
    <mergeCell ref="N18:N19"/>
    <mergeCell ref="M18:M19"/>
    <mergeCell ref="L18:L19"/>
    <mergeCell ref="K18:K19"/>
    <mergeCell ref="J18:J19"/>
    <mergeCell ref="I18:I19"/>
    <mergeCell ref="H18:H19"/>
    <mergeCell ref="G18:G19"/>
    <mergeCell ref="E18:E19"/>
    <mergeCell ref="F18:F19"/>
    <mergeCell ref="D18:D19"/>
    <mergeCell ref="C18:C19"/>
  </mergeCells>
  <conditionalFormatting sqref="B36:B46">
    <cfRule type="colorScale" priority="3">
      <colorScale>
        <cfvo type="min"/>
        <cfvo type="max"/>
        <color rgb="FFFCFCFF"/>
        <color rgb="FF63BE7B"/>
      </colorScale>
    </cfRule>
  </conditionalFormatting>
  <conditionalFormatting sqref="C36:C46">
    <cfRule type="colorScale" priority="2">
      <colorScale>
        <cfvo type="min"/>
        <cfvo type="max"/>
        <color rgb="FFFCFCFF"/>
        <color rgb="FF63BE7B"/>
      </colorScale>
    </cfRule>
  </conditionalFormatting>
  <conditionalFormatting sqref="B36:D46">
    <cfRule type="colorScale" priority="1">
      <colorScale>
        <cfvo type="min"/>
        <cfvo type="max"/>
        <color rgb="FFFCFCFF"/>
        <color rgb="FF63BE7B"/>
      </colorScale>
    </cfRule>
  </conditionalFormatting>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B0143-6537-4571-AEDF-926BFBAF7598}">
  <sheetPr>
    <tabColor theme="7" tint="-0.499984740745262"/>
  </sheetPr>
  <dimension ref="A1:V62"/>
  <sheetViews>
    <sheetView zoomScale="55" zoomScaleNormal="55" workbookViewId="0">
      <selection activeCell="A2" sqref="A2"/>
    </sheetView>
  </sheetViews>
  <sheetFormatPr defaultRowHeight="15" x14ac:dyDescent="0.25"/>
  <cols>
    <col min="1" max="14" width="19.140625" customWidth="1"/>
  </cols>
  <sheetData>
    <row r="1" spans="1:22" ht="28.5" x14ac:dyDescent="0.45">
      <c r="A1" s="149" t="s">
        <v>76</v>
      </c>
    </row>
    <row r="2" spans="1:22" ht="20.25" customHeight="1" thickBot="1" x14ac:dyDescent="0.3">
      <c r="A2" t="s">
        <v>2041</v>
      </c>
      <c r="C2" s="54"/>
      <c r="F2" s="133"/>
      <c r="H2" s="135"/>
      <c r="L2" s="135"/>
    </row>
    <row r="3" spans="1:22" ht="21.75" thickBot="1" x14ac:dyDescent="0.4">
      <c r="C3" s="148" t="s">
        <v>74</v>
      </c>
      <c r="D3" s="1287" t="s">
        <v>1830</v>
      </c>
      <c r="E3" s="1288"/>
      <c r="F3" s="1288"/>
      <c r="G3" s="1288"/>
      <c r="H3" s="1288"/>
      <c r="I3" s="1289"/>
      <c r="J3" s="1287" t="s">
        <v>1829</v>
      </c>
      <c r="K3" s="1288"/>
      <c r="L3" s="1288"/>
      <c r="M3" s="1288"/>
      <c r="N3" s="1289"/>
    </row>
    <row r="4" spans="1:22" s="55" customFormat="1" ht="98.25" customHeight="1" x14ac:dyDescent="0.25">
      <c r="A4" s="136" t="s">
        <v>31</v>
      </c>
      <c r="B4" s="143" t="s">
        <v>32</v>
      </c>
      <c r="C4" s="877" t="s">
        <v>33</v>
      </c>
      <c r="D4" s="901" t="s">
        <v>1917</v>
      </c>
      <c r="E4" s="873" t="s">
        <v>1921</v>
      </c>
      <c r="F4" s="132" t="s">
        <v>1918</v>
      </c>
      <c r="G4" s="889" t="s">
        <v>1919</v>
      </c>
      <c r="H4" s="893" t="s">
        <v>1920</v>
      </c>
      <c r="I4" s="881" t="s">
        <v>1922</v>
      </c>
      <c r="J4" s="897" t="s">
        <v>1929</v>
      </c>
      <c r="K4" s="889" t="s">
        <v>34</v>
      </c>
      <c r="L4" s="893" t="s">
        <v>35</v>
      </c>
      <c r="M4" s="885" t="s">
        <v>75</v>
      </c>
      <c r="N4" s="142" t="s">
        <v>1923</v>
      </c>
    </row>
    <row r="5" spans="1:22" x14ac:dyDescent="0.25">
      <c r="A5" s="137" t="s">
        <v>17</v>
      </c>
      <c r="B5" s="144">
        <v>141680.476189732</v>
      </c>
      <c r="C5" s="878">
        <v>1222.3809861573682</v>
      </c>
      <c r="D5" s="898">
        <v>57950.291543245301</v>
      </c>
      <c r="E5" s="874">
        <f t="shared" ref="E5:E15" si="0">D5*(1-$B$23)</f>
        <v>28975.14577162265</v>
      </c>
      <c r="F5" s="57">
        <f t="shared" ref="F5:F15" si="1">D5*$B$23</f>
        <v>28975.14577162265</v>
      </c>
      <c r="G5" s="890">
        <f t="shared" ref="G5:G15" si="2">F5*$B$24</f>
        <v>7243.7864429056626</v>
      </c>
      <c r="H5" s="894">
        <f t="shared" ref="H5:H15" si="3">F5*(1-$B$24)</f>
        <v>21731.359328716986</v>
      </c>
      <c r="I5" s="882">
        <v>3988.0673705935401</v>
      </c>
      <c r="J5" s="898">
        <v>15341.313157975599</v>
      </c>
      <c r="K5" s="890">
        <f t="shared" ref="K5:K15" si="4">J5*$B$25</f>
        <v>3835.3282894938998</v>
      </c>
      <c r="L5" s="894">
        <f t="shared" ref="L5:L15" si="5">J5*(1-$B$25)</f>
        <v>11505.984868481699</v>
      </c>
      <c r="M5" s="886">
        <v>263.423131760209</v>
      </c>
      <c r="N5" s="139">
        <v>62915</v>
      </c>
    </row>
    <row r="6" spans="1:22" x14ac:dyDescent="0.25">
      <c r="A6" s="137" t="s">
        <v>19</v>
      </c>
      <c r="B6" s="144">
        <v>113508.954599545</v>
      </c>
      <c r="C6" s="878">
        <v>370.15665518518654</v>
      </c>
      <c r="D6" s="898">
        <v>48670.583650773297</v>
      </c>
      <c r="E6" s="874">
        <f t="shared" si="0"/>
        <v>24335.291825386648</v>
      </c>
      <c r="F6" s="57">
        <f t="shared" si="1"/>
        <v>24335.291825386648</v>
      </c>
      <c r="G6" s="890">
        <f t="shared" si="2"/>
        <v>6083.8229563466621</v>
      </c>
      <c r="H6" s="894">
        <f t="shared" si="3"/>
        <v>18251.468869039985</v>
      </c>
      <c r="I6" s="882">
        <v>703.71386992931298</v>
      </c>
      <c r="J6" s="898">
        <v>23441.0388583899</v>
      </c>
      <c r="K6" s="890">
        <f t="shared" si="4"/>
        <v>5860.2597145974751</v>
      </c>
      <c r="L6" s="894">
        <f t="shared" si="5"/>
        <v>17580.779143792424</v>
      </c>
      <c r="M6" s="886">
        <v>37.961565267294603</v>
      </c>
      <c r="N6" s="139">
        <v>40285.5</v>
      </c>
      <c r="U6" s="612"/>
      <c r="V6" s="613"/>
    </row>
    <row r="7" spans="1:22" x14ac:dyDescent="0.25">
      <c r="A7" s="137" t="s">
        <v>20</v>
      </c>
      <c r="B7" s="144">
        <v>145595.87483549101</v>
      </c>
      <c r="C7" s="878">
        <v>243.17902053246507</v>
      </c>
      <c r="D7" s="898">
        <v>49397.285296209098</v>
      </c>
      <c r="E7" s="874">
        <f t="shared" si="0"/>
        <v>24698.642648104549</v>
      </c>
      <c r="F7" s="57">
        <f t="shared" si="1"/>
        <v>24698.642648104549</v>
      </c>
      <c r="G7" s="890">
        <f t="shared" si="2"/>
        <v>6174.6606620261373</v>
      </c>
      <c r="H7" s="894">
        <f t="shared" si="3"/>
        <v>18523.981986078412</v>
      </c>
      <c r="I7" s="882">
        <v>0.30615117214620102</v>
      </c>
      <c r="J7" s="898">
        <v>17419.681965827898</v>
      </c>
      <c r="K7" s="890">
        <f t="shared" si="4"/>
        <v>4354.9204914569746</v>
      </c>
      <c r="L7" s="894">
        <f t="shared" si="5"/>
        <v>13064.761474370924</v>
      </c>
      <c r="M7" s="886">
        <v>12978.822401749399</v>
      </c>
      <c r="N7" s="139">
        <v>65556.600000000006</v>
      </c>
      <c r="U7" s="612"/>
      <c r="V7" s="613"/>
    </row>
    <row r="8" spans="1:22" x14ac:dyDescent="0.25">
      <c r="A8" s="137" t="s">
        <v>21</v>
      </c>
      <c r="B8" s="144">
        <v>238833.462215423</v>
      </c>
      <c r="C8" s="878">
        <v>846.59313863472198</v>
      </c>
      <c r="D8" s="898">
        <v>95065.9132137298</v>
      </c>
      <c r="E8" s="874">
        <f t="shared" si="0"/>
        <v>47532.9566068649</v>
      </c>
      <c r="F8" s="57">
        <f t="shared" si="1"/>
        <v>47532.9566068649</v>
      </c>
      <c r="G8" s="890">
        <f t="shared" si="2"/>
        <v>11883.239151716225</v>
      </c>
      <c r="H8" s="894">
        <f t="shared" si="3"/>
        <v>35649.717455148675</v>
      </c>
      <c r="I8" s="882">
        <v>16439.298118591301</v>
      </c>
      <c r="J8" s="898">
        <v>39269.173709869297</v>
      </c>
      <c r="K8" s="890">
        <f t="shared" si="4"/>
        <v>9817.2934274673244</v>
      </c>
      <c r="L8" s="894">
        <f t="shared" si="5"/>
        <v>29451.880282401973</v>
      </c>
      <c r="M8" s="886">
        <v>2816.98403459787</v>
      </c>
      <c r="N8" s="139">
        <v>84395.5</v>
      </c>
      <c r="U8" s="612"/>
      <c r="V8" s="613"/>
    </row>
    <row r="9" spans="1:22" x14ac:dyDescent="0.25">
      <c r="A9" s="137" t="s">
        <v>22</v>
      </c>
      <c r="B9" s="144">
        <v>96741.291428565906</v>
      </c>
      <c r="C9" s="878">
        <v>1903.315299975875</v>
      </c>
      <c r="D9" s="898">
        <v>58097.932598113999</v>
      </c>
      <c r="E9" s="874">
        <f t="shared" si="0"/>
        <v>29048.966299057</v>
      </c>
      <c r="F9" s="57">
        <f t="shared" si="1"/>
        <v>29048.966299057</v>
      </c>
      <c r="G9" s="890">
        <f t="shared" si="2"/>
        <v>7262.2415747642499</v>
      </c>
      <c r="H9" s="894">
        <f t="shared" si="3"/>
        <v>21786.724724292748</v>
      </c>
      <c r="I9" s="882">
        <v>727.04614043235699</v>
      </c>
      <c r="J9" s="898">
        <v>12578.0196666717</v>
      </c>
      <c r="K9" s="890">
        <f t="shared" si="4"/>
        <v>3144.504916667925</v>
      </c>
      <c r="L9" s="894">
        <f t="shared" si="5"/>
        <v>9433.5147500037747</v>
      </c>
      <c r="M9" s="886">
        <v>42.277723371982503</v>
      </c>
      <c r="N9" s="139">
        <v>23392.7</v>
      </c>
      <c r="U9" s="612"/>
      <c r="V9" s="613"/>
    </row>
    <row r="10" spans="1:22" x14ac:dyDescent="0.25">
      <c r="A10" s="137" t="s">
        <v>23</v>
      </c>
      <c r="B10" s="144">
        <v>107561.097502708</v>
      </c>
      <c r="C10" s="878">
        <v>2160.1605067980272</v>
      </c>
      <c r="D10" s="898">
        <v>54897.952398538502</v>
      </c>
      <c r="E10" s="874">
        <f t="shared" si="0"/>
        <v>27448.976199269251</v>
      </c>
      <c r="F10" s="57">
        <f t="shared" si="1"/>
        <v>27448.976199269251</v>
      </c>
      <c r="G10" s="890">
        <f t="shared" si="2"/>
        <v>6862.2440498173128</v>
      </c>
      <c r="H10" s="894">
        <f t="shared" si="3"/>
        <v>20586.732149451938</v>
      </c>
      <c r="I10" s="882">
        <v>5169.6623744070503</v>
      </c>
      <c r="J10" s="898">
        <v>11485.366881370501</v>
      </c>
      <c r="K10" s="890">
        <f t="shared" si="4"/>
        <v>2871.3417203426252</v>
      </c>
      <c r="L10" s="894">
        <f t="shared" si="5"/>
        <v>8614.0251610278756</v>
      </c>
      <c r="M10" s="886">
        <v>276.55534159392101</v>
      </c>
      <c r="N10" s="139">
        <v>33571.4</v>
      </c>
      <c r="U10" s="612"/>
      <c r="V10" s="613"/>
    </row>
    <row r="11" spans="1:22" x14ac:dyDescent="0.25">
      <c r="A11" s="137" t="s">
        <v>24</v>
      </c>
      <c r="B11" s="144">
        <v>27707.5702514648</v>
      </c>
      <c r="C11" s="878">
        <v>5.7589745374571066E-3</v>
      </c>
      <c r="D11" s="898">
        <v>7028.7267646789496</v>
      </c>
      <c r="E11" s="874">
        <f t="shared" si="0"/>
        <v>3514.3633823394748</v>
      </c>
      <c r="F11" s="57">
        <f t="shared" si="1"/>
        <v>3514.3633823394748</v>
      </c>
      <c r="G11" s="890">
        <f t="shared" si="2"/>
        <v>878.5908455848687</v>
      </c>
      <c r="H11" s="894">
        <f t="shared" si="3"/>
        <v>2635.7725367546063</v>
      </c>
      <c r="I11" s="882">
        <v>2493.92600250244</v>
      </c>
      <c r="J11" s="898">
        <v>10934.016151428201</v>
      </c>
      <c r="K11" s="890">
        <f t="shared" si="4"/>
        <v>2733.5040378570502</v>
      </c>
      <c r="L11" s="894">
        <f t="shared" si="5"/>
        <v>8200.5121135711506</v>
      </c>
      <c r="M11" s="886">
        <v>96.805573880672398</v>
      </c>
      <c r="N11" s="139">
        <v>7154.09</v>
      </c>
      <c r="U11" s="612"/>
      <c r="V11" s="613"/>
    </row>
    <row r="12" spans="1:22" x14ac:dyDescent="0.25">
      <c r="A12" s="137" t="s">
        <v>25</v>
      </c>
      <c r="B12" s="144">
        <v>13238.951122283899</v>
      </c>
      <c r="C12" s="878">
        <v>-7.4140620508842403E-3</v>
      </c>
      <c r="D12" s="898">
        <v>1512.4354619979799</v>
      </c>
      <c r="E12" s="874">
        <f t="shared" si="0"/>
        <v>756.21773099898996</v>
      </c>
      <c r="F12" s="57">
        <f t="shared" si="1"/>
        <v>756.21773099898996</v>
      </c>
      <c r="G12" s="890">
        <f t="shared" si="2"/>
        <v>189.05443274974749</v>
      </c>
      <c r="H12" s="894">
        <f t="shared" si="3"/>
        <v>567.16329824924242</v>
      </c>
      <c r="I12" s="882">
        <v>874.39757442474297</v>
      </c>
      <c r="J12" s="898">
        <v>6214.8123855590802</v>
      </c>
      <c r="K12" s="890">
        <f t="shared" si="4"/>
        <v>1553.7030963897701</v>
      </c>
      <c r="L12" s="894">
        <f t="shared" si="5"/>
        <v>4661.1092891693097</v>
      </c>
      <c r="M12" s="886">
        <v>41.293114364147101</v>
      </c>
      <c r="N12" s="139">
        <v>4596.0200000000004</v>
      </c>
      <c r="U12" s="612"/>
      <c r="V12" s="613"/>
    </row>
    <row r="13" spans="1:22" x14ac:dyDescent="0.25">
      <c r="A13" s="137" t="s">
        <v>26</v>
      </c>
      <c r="B13" s="144">
        <v>25005.9849967956</v>
      </c>
      <c r="C13" s="878">
        <v>24.568730564558791</v>
      </c>
      <c r="D13" s="898">
        <v>7126.0510189533197</v>
      </c>
      <c r="E13" s="874">
        <f t="shared" si="0"/>
        <v>3563.0255094766599</v>
      </c>
      <c r="F13" s="57">
        <f t="shared" si="1"/>
        <v>3563.0255094766599</v>
      </c>
      <c r="G13" s="890">
        <f t="shared" si="2"/>
        <v>890.75637736916497</v>
      </c>
      <c r="H13" s="894">
        <f t="shared" si="3"/>
        <v>2672.2691321074949</v>
      </c>
      <c r="I13" s="882">
        <v>2782.4533026814402</v>
      </c>
      <c r="J13" s="898">
        <v>6955.5656576156598</v>
      </c>
      <c r="K13" s="890">
        <f t="shared" si="4"/>
        <v>1738.891414403915</v>
      </c>
      <c r="L13" s="894">
        <f t="shared" si="5"/>
        <v>5216.6742432117444</v>
      </c>
      <c r="M13" s="886">
        <v>7202.2792869806199</v>
      </c>
      <c r="N13" s="139">
        <v>915.06700000000001</v>
      </c>
      <c r="U13" s="612"/>
      <c r="V13" s="613"/>
    </row>
    <row r="14" spans="1:22" x14ac:dyDescent="0.25">
      <c r="A14" s="137" t="s">
        <v>27</v>
      </c>
      <c r="B14" s="144">
        <v>12442.687641143701</v>
      </c>
      <c r="C14" s="878">
        <v>8.0901383480522782E-3</v>
      </c>
      <c r="D14" s="898">
        <v>7749.6089901924097</v>
      </c>
      <c r="E14" s="874">
        <f t="shared" si="0"/>
        <v>3874.8044950962048</v>
      </c>
      <c r="F14" s="57">
        <f t="shared" si="1"/>
        <v>3874.8044950962048</v>
      </c>
      <c r="G14" s="890">
        <f t="shared" si="2"/>
        <v>968.70112377405121</v>
      </c>
      <c r="H14" s="894">
        <f t="shared" si="3"/>
        <v>2906.1033713221536</v>
      </c>
      <c r="I14" s="882">
        <v>524.81055641174305</v>
      </c>
      <c r="J14" s="898">
        <v>4137.9558753967203</v>
      </c>
      <c r="K14" s="890">
        <f t="shared" si="4"/>
        <v>1034.4889688491801</v>
      </c>
      <c r="L14" s="894">
        <f t="shared" si="5"/>
        <v>3103.46690654754</v>
      </c>
      <c r="M14" s="886">
        <v>30.304129004478401</v>
      </c>
      <c r="N14" s="139"/>
      <c r="U14" s="612"/>
      <c r="V14" s="613"/>
    </row>
    <row r="15" spans="1:22" x14ac:dyDescent="0.25">
      <c r="A15" s="137" t="s">
        <v>28</v>
      </c>
      <c r="B15" s="144">
        <v>116761.697616815</v>
      </c>
      <c r="C15" s="878">
        <v>1719.3490680452232</v>
      </c>
      <c r="D15" s="898">
        <v>94632.471317529606</v>
      </c>
      <c r="E15" s="874">
        <f t="shared" si="0"/>
        <v>47316.235658764803</v>
      </c>
      <c r="F15" s="57">
        <f t="shared" si="1"/>
        <v>47316.235658764803</v>
      </c>
      <c r="G15" s="890">
        <f t="shared" si="2"/>
        <v>11829.058914691201</v>
      </c>
      <c r="H15" s="894">
        <f t="shared" si="3"/>
        <v>35487.1767440736</v>
      </c>
      <c r="I15" s="882">
        <v>8366.6545269489197</v>
      </c>
      <c r="J15" s="898">
        <v>11591.6892642974</v>
      </c>
      <c r="K15" s="890">
        <f t="shared" si="4"/>
        <v>2897.92231607435</v>
      </c>
      <c r="L15" s="894">
        <f t="shared" si="5"/>
        <v>8693.7669482230503</v>
      </c>
      <c r="M15" s="886">
        <v>451.533439993858</v>
      </c>
      <c r="N15" s="139"/>
      <c r="U15" s="612"/>
      <c r="V15" s="613"/>
    </row>
    <row r="16" spans="1:22" x14ac:dyDescent="0.25">
      <c r="A16" s="138"/>
      <c r="B16" s="145">
        <f>SUM(B5:B15)</f>
        <v>1039078.048399968</v>
      </c>
      <c r="C16" s="879">
        <v>8489.7098409442606</v>
      </c>
      <c r="D16" s="899">
        <f t="shared" ref="D16:J16" si="6">SUM(D5:D15)</f>
        <v>482129.25225396227</v>
      </c>
      <c r="E16" s="875">
        <f t="shared" si="6"/>
        <v>241064.62612698114</v>
      </c>
      <c r="F16" s="131">
        <f t="shared" si="6"/>
        <v>241064.62612698114</v>
      </c>
      <c r="G16" s="891">
        <f t="shared" si="6"/>
        <v>60266.156531745284</v>
      </c>
      <c r="H16" s="895">
        <f t="shared" si="6"/>
        <v>180798.46959523586</v>
      </c>
      <c r="I16" s="883">
        <f t="shared" si="6"/>
        <v>42070.335988095001</v>
      </c>
      <c r="J16" s="899">
        <f t="shared" si="6"/>
        <v>159368.63357440196</v>
      </c>
      <c r="K16" s="891">
        <f>SUM(K5:K15)</f>
        <v>39842.15839360049</v>
      </c>
      <c r="L16" s="895">
        <f>SUM(L5:L15)</f>
        <v>119526.47518080147</v>
      </c>
      <c r="M16" s="887">
        <f>SUM(M5:M15)</f>
        <v>24238.239742564452</v>
      </c>
      <c r="N16" s="140">
        <f>SUM(N5:N15)</f>
        <v>322781.87700000004</v>
      </c>
      <c r="U16" s="612"/>
      <c r="V16" s="613"/>
    </row>
    <row r="17" spans="1:14" x14ac:dyDescent="0.25">
      <c r="A17" s="138"/>
      <c r="B17" s="126"/>
      <c r="C17" s="880"/>
      <c r="D17" s="900"/>
      <c r="E17" s="876"/>
      <c r="F17" s="19"/>
      <c r="G17" s="892"/>
      <c r="H17" s="896"/>
      <c r="I17" s="884"/>
      <c r="J17" s="900"/>
      <c r="K17" s="892"/>
      <c r="L17" s="896"/>
      <c r="M17" s="888"/>
      <c r="N17" s="141"/>
    </row>
    <row r="18" spans="1:14" ht="21.75" thickBot="1" x14ac:dyDescent="0.4">
      <c r="A18" s="1290" t="s">
        <v>36</v>
      </c>
      <c r="B18" s="146">
        <f>SUM(C18,D18,I18,J18,M18,N18)</f>
        <v>1039078.0483999681</v>
      </c>
      <c r="C18" s="1305">
        <v>8489.7098409442606</v>
      </c>
      <c r="D18" s="1299">
        <f>D16</f>
        <v>482129.25225396227</v>
      </c>
      <c r="E18" s="1303">
        <f>E16</f>
        <v>241064.62612698114</v>
      </c>
      <c r="F18" s="1304"/>
      <c r="G18" s="1298">
        <f t="shared" ref="G18:N18" si="7">G16</f>
        <v>60266.156531745284</v>
      </c>
      <c r="H18" s="1296">
        <f t="shared" si="7"/>
        <v>180798.46959523586</v>
      </c>
      <c r="I18" s="1301">
        <f t="shared" si="7"/>
        <v>42070.335988095001</v>
      </c>
      <c r="J18" s="1299">
        <f t="shared" si="7"/>
        <v>159368.63357440196</v>
      </c>
      <c r="K18" s="1298">
        <f t="shared" si="7"/>
        <v>39842.15839360049</v>
      </c>
      <c r="L18" s="1296">
        <f t="shared" si="7"/>
        <v>119526.47518080147</v>
      </c>
      <c r="M18" s="1294">
        <f t="shared" si="7"/>
        <v>24238.239742564452</v>
      </c>
      <c r="N18" s="1292">
        <f t="shared" si="7"/>
        <v>322781.87700000004</v>
      </c>
    </row>
    <row r="19" spans="1:14" ht="55.5" customHeight="1" thickBot="1" x14ac:dyDescent="0.4">
      <c r="A19" s="1291"/>
      <c r="B19" s="147">
        <f>SUM(C18,E18:H18,I18,K18:L18,M18,N18)</f>
        <v>1039078.0483999681</v>
      </c>
      <c r="C19" s="1306"/>
      <c r="D19" s="1300"/>
      <c r="E19" s="1303"/>
      <c r="F19" s="1304"/>
      <c r="G19" s="1298"/>
      <c r="H19" s="1297"/>
      <c r="I19" s="1302"/>
      <c r="J19" s="1300"/>
      <c r="K19" s="1298"/>
      <c r="L19" s="1297"/>
      <c r="M19" s="1295"/>
      <c r="N19" s="1293"/>
    </row>
    <row r="20" spans="1:14" x14ac:dyDescent="0.25">
      <c r="A20" s="48"/>
      <c r="B20" s="48"/>
      <c r="I20" s="48"/>
      <c r="J20" s="61"/>
      <c r="M20" s="48"/>
      <c r="N20" s="48"/>
    </row>
    <row r="21" spans="1:14" x14ac:dyDescent="0.25">
      <c r="A21" s="914" t="s">
        <v>1836</v>
      </c>
      <c r="B21" s="48"/>
      <c r="I21" s="48"/>
      <c r="J21" s="61"/>
      <c r="M21" s="48"/>
      <c r="N21" s="48"/>
    </row>
    <row r="22" spans="1:14" x14ac:dyDescent="0.25">
      <c r="A22" s="48"/>
      <c r="B22" s="48"/>
      <c r="I22" s="48"/>
      <c r="J22" s="61"/>
      <c r="M22" s="48"/>
      <c r="N22" s="48"/>
    </row>
    <row r="23" spans="1:14" ht="18.75" x14ac:dyDescent="0.3">
      <c r="A23" s="904" t="s">
        <v>1927</v>
      </c>
      <c r="B23" s="902">
        <v>0.5</v>
      </c>
      <c r="I23" s="56"/>
      <c r="M23" s="62"/>
      <c r="N23" s="56"/>
    </row>
    <row r="24" spans="1:14" ht="18.75" x14ac:dyDescent="0.3">
      <c r="A24" s="904" t="s">
        <v>1928</v>
      </c>
      <c r="B24" s="903">
        <v>0.25</v>
      </c>
      <c r="I24" s="56"/>
      <c r="M24" s="62"/>
      <c r="N24" s="56"/>
    </row>
    <row r="25" spans="1:14" ht="18.75" x14ac:dyDescent="0.3">
      <c r="A25" s="904" t="s">
        <v>1930</v>
      </c>
      <c r="B25" s="903">
        <v>0.25</v>
      </c>
      <c r="I25" s="56"/>
      <c r="M25" s="62"/>
      <c r="N25" s="56"/>
    </row>
    <row r="26" spans="1:14" x14ac:dyDescent="0.25">
      <c r="B26" s="49"/>
      <c r="I26" s="56"/>
      <c r="M26" s="62"/>
      <c r="N26" s="56"/>
    </row>
    <row r="27" spans="1:14" x14ac:dyDescent="0.25">
      <c r="A27" t="s">
        <v>73</v>
      </c>
      <c r="B27" s="49"/>
      <c r="I27" s="56"/>
      <c r="M27" s="62"/>
      <c r="N27" s="56"/>
    </row>
    <row r="28" spans="1:14" x14ac:dyDescent="0.25">
      <c r="A28" s="49"/>
      <c r="B28" s="50"/>
      <c r="M28" s="62"/>
      <c r="N28" s="56"/>
    </row>
    <row r="29" spans="1:14" x14ac:dyDescent="0.25">
      <c r="A29" s="159" t="s">
        <v>1827</v>
      </c>
      <c r="B29" s="872">
        <f>SUM(G18,H18,K18,L18)</f>
        <v>400433.25970138307</v>
      </c>
      <c r="M29" s="62"/>
      <c r="N29" s="56"/>
    </row>
    <row r="30" spans="1:14" x14ac:dyDescent="0.25">
      <c r="A30" s="871" t="s">
        <v>1828</v>
      </c>
      <c r="B30" s="243">
        <f>B29/B19</f>
        <v>0.38537361107569651</v>
      </c>
      <c r="M30" s="62"/>
      <c r="N30" s="56"/>
    </row>
    <row r="31" spans="1:14" x14ac:dyDescent="0.25">
      <c r="A31" s="49"/>
      <c r="B31" s="50"/>
      <c r="M31" s="62"/>
      <c r="N31" s="56"/>
    </row>
    <row r="32" spans="1:14" x14ac:dyDescent="0.25">
      <c r="A32" s="49"/>
      <c r="B32" s="50"/>
      <c r="M32" s="62"/>
      <c r="N32" s="56"/>
    </row>
    <row r="33" spans="1:14" x14ac:dyDescent="0.25">
      <c r="A33" s="68" t="s">
        <v>1813</v>
      </c>
      <c r="M33" s="59"/>
      <c r="N33" s="59"/>
    </row>
    <row r="36" spans="1:14" x14ac:dyDescent="0.25">
      <c r="A36" t="s">
        <v>21</v>
      </c>
      <c r="B36" s="66">
        <v>115321.90428085314</v>
      </c>
      <c r="C36" s="66">
        <v>57660.952140426569</v>
      </c>
      <c r="D36" s="66">
        <f>SUM(B36:C36)</f>
        <v>172982.85642127972</v>
      </c>
    </row>
    <row r="37" spans="1:14" x14ac:dyDescent="0.25">
      <c r="A37" t="s">
        <v>28</v>
      </c>
      <c r="B37" s="66">
        <v>87297.666318321091</v>
      </c>
      <c r="C37" s="66">
        <v>43648.833159160546</v>
      </c>
      <c r="D37" s="66">
        <f t="shared" ref="D37:D46" si="8">SUM(B37:C37)</f>
        <v>130946.49947748164</v>
      </c>
      <c r="N37" s="63"/>
    </row>
    <row r="38" spans="1:14" x14ac:dyDescent="0.25">
      <c r="A38" t="s">
        <v>19</v>
      </c>
      <c r="B38" s="66">
        <v>62377.505779008541</v>
      </c>
      <c r="C38" s="66">
        <v>31188.752889504271</v>
      </c>
      <c r="D38" s="66">
        <f t="shared" si="8"/>
        <v>93566.258668512804</v>
      </c>
    </row>
    <row r="39" spans="1:14" x14ac:dyDescent="0.25">
      <c r="A39" t="s">
        <v>17</v>
      </c>
      <c r="B39" s="66">
        <v>61701.546392571843</v>
      </c>
      <c r="C39" s="66">
        <v>30850.773196285922</v>
      </c>
      <c r="D39" s="66">
        <f t="shared" si="8"/>
        <v>92552.319588857761</v>
      </c>
      <c r="H39" s="64"/>
      <c r="I39" s="48"/>
      <c r="K39" s="47"/>
      <c r="M39" s="48"/>
      <c r="N39" s="48"/>
    </row>
    <row r="40" spans="1:14" x14ac:dyDescent="0.25">
      <c r="A40" t="s">
        <v>22</v>
      </c>
      <c r="B40" s="66">
        <v>59056.365745162897</v>
      </c>
      <c r="C40" s="66">
        <v>29528.182872581452</v>
      </c>
      <c r="D40" s="66">
        <f t="shared" si="8"/>
        <v>88584.548617744353</v>
      </c>
      <c r="H40" s="65"/>
      <c r="I40" s="50"/>
      <c r="J40" s="61"/>
      <c r="K40" s="47"/>
      <c r="M40" s="50"/>
      <c r="N40" s="50"/>
    </row>
    <row r="41" spans="1:14" x14ac:dyDescent="0.25">
      <c r="A41" t="s">
        <v>20</v>
      </c>
      <c r="B41" s="66">
        <v>56937.51020279518</v>
      </c>
      <c r="C41" s="66">
        <v>28468.75510139759</v>
      </c>
      <c r="D41" s="66">
        <f t="shared" si="8"/>
        <v>85406.26530419277</v>
      </c>
    </row>
    <row r="42" spans="1:14" x14ac:dyDescent="0.25">
      <c r="A42" t="s">
        <v>23</v>
      </c>
      <c r="B42" s="66">
        <v>55403.728800201308</v>
      </c>
      <c r="C42" s="66">
        <v>27701.864400100654</v>
      </c>
      <c r="D42" s="66">
        <f t="shared" si="8"/>
        <v>83105.593200301955</v>
      </c>
    </row>
    <row r="43" spans="1:14" x14ac:dyDescent="0.25">
      <c r="A43" t="s">
        <v>24</v>
      </c>
      <c r="B43" s="66">
        <v>16556.997563171361</v>
      </c>
      <c r="C43" s="66">
        <v>8278.4987815856803</v>
      </c>
      <c r="D43" s="66">
        <f t="shared" si="8"/>
        <v>24835.496344757041</v>
      </c>
      <c r="G43" s="66"/>
      <c r="H43" s="67"/>
    </row>
    <row r="44" spans="1:14" x14ac:dyDescent="0.25">
      <c r="A44" t="s">
        <v>26</v>
      </c>
      <c r="B44" s="66">
        <v>12656.406472778315</v>
      </c>
      <c r="C44" s="66">
        <v>6328.2032363891576</v>
      </c>
      <c r="D44" s="66">
        <f t="shared" si="8"/>
        <v>18984.609709167475</v>
      </c>
      <c r="G44" s="66"/>
      <c r="H44" s="67"/>
    </row>
    <row r="45" spans="1:14" x14ac:dyDescent="0.25">
      <c r="A45" t="s">
        <v>27</v>
      </c>
      <c r="B45" s="66">
        <v>10337.643067550649</v>
      </c>
      <c r="C45" s="66">
        <v>5168.8215337753245</v>
      </c>
      <c r="D45" s="66">
        <f t="shared" si="8"/>
        <v>15506.464601325973</v>
      </c>
      <c r="G45" s="66"/>
      <c r="H45" s="67"/>
    </row>
    <row r="46" spans="1:14" x14ac:dyDescent="0.25">
      <c r="A46" t="s">
        <v>25</v>
      </c>
      <c r="B46" s="66">
        <v>7424.7607551574647</v>
      </c>
      <c r="C46" s="66">
        <v>3712.3803775787319</v>
      </c>
      <c r="D46" s="66">
        <f t="shared" si="8"/>
        <v>11137.141132736197</v>
      </c>
      <c r="G46" s="66"/>
      <c r="H46" s="67"/>
    </row>
    <row r="47" spans="1:14" x14ac:dyDescent="0.25">
      <c r="G47" s="66"/>
      <c r="H47" s="67"/>
    </row>
    <row r="48" spans="1:14" x14ac:dyDescent="0.25">
      <c r="G48" s="66"/>
      <c r="H48" s="67"/>
    </row>
    <row r="49" spans="1:8" x14ac:dyDescent="0.25">
      <c r="G49" s="66"/>
      <c r="H49" s="67"/>
    </row>
    <row r="50" spans="1:8" x14ac:dyDescent="0.25">
      <c r="A50" s="68" t="s">
        <v>2156</v>
      </c>
      <c r="G50" s="66"/>
      <c r="H50" s="67"/>
    </row>
    <row r="51" spans="1:8" x14ac:dyDescent="0.25">
      <c r="B51" t="s">
        <v>412</v>
      </c>
      <c r="C51" t="s">
        <v>416</v>
      </c>
      <c r="G51" s="66"/>
      <c r="H51" s="67"/>
    </row>
    <row r="52" spans="1:8" x14ac:dyDescent="0.25">
      <c r="A52" s="161" t="s">
        <v>500</v>
      </c>
      <c r="B52" s="243">
        <v>0</v>
      </c>
      <c r="C52" s="1221">
        <f>'S2.1.4 Gas_cred'!D7*SUM('S2.1.4 Gas_cred'!G15:G18)+'S2.1.4 Gas_cred'!D8*SUM('S2.1.4 Gas_cred'!E28:E34)</f>
        <v>0.95199999999999996</v>
      </c>
      <c r="G52" s="66"/>
      <c r="H52" s="67"/>
    </row>
    <row r="53" spans="1:8" x14ac:dyDescent="0.25">
      <c r="A53" s="161" t="s">
        <v>121</v>
      </c>
      <c r="B53" s="243">
        <v>0</v>
      </c>
      <c r="C53" s="1221">
        <f>'S2.2.3 Pyro_cred'!C6*SUM('S2.2.3 Pyro_cred'!E14:E27)+'S2.2.3 Pyro_cred'!C7*SUM('S2.2.3 Pyro_cred'!G36:G46)</f>
        <v>0.88500000000000001</v>
      </c>
      <c r="G53" s="66"/>
      <c r="H53" s="67"/>
    </row>
    <row r="54" spans="1:8" x14ac:dyDescent="0.25">
      <c r="A54" s="161" t="s">
        <v>11</v>
      </c>
      <c r="B54" s="1222">
        <f>MIN('S2.3.3 Depoly_cred'!C6*'S2.3.3 Depoly_cred'!D13,'S2.3.3 Depoly_cred'!C7*'S2.3.3 Depoly_cred'!D16,'S2.3.3 Depoly_cred'!C8*'S2.3.3 Depoly_cred'!D19,'S2.3.3 Depoly_cred'!C9*'S2.3.3 Depoly_cred'!D22)</f>
        <v>0.81414020371479934</v>
      </c>
      <c r="C54" s="1223">
        <f>MAX('S2.3.3 Depoly_cred'!C6*'S2.3.3 Depoly_cred'!F13,'S2.3.3 Depoly_cred'!C7*'S2.3.3 Depoly_cred'!F16,'S2.3.3 Depoly_cred'!C8*'S2.3.3 Depoly_cred'!F19,'S2.3.3 Depoly_cred'!C9*'S2.3.3 Depoly_cred'!F22)</f>
        <v>1.210545</v>
      </c>
      <c r="G54" s="59"/>
      <c r="H54" s="59"/>
    </row>
    <row r="55" spans="1:8" x14ac:dyDescent="0.25">
      <c r="A55" s="161" t="s">
        <v>12</v>
      </c>
      <c r="B55" s="1222">
        <f>'S2.4.2 Dissol_cred'!C10</f>
        <v>0.83000000000000007</v>
      </c>
      <c r="C55" s="1222">
        <f>'S2.4.2 Dissol_cred'!E10</f>
        <v>0.97</v>
      </c>
    </row>
    <row r="56" spans="1:8" x14ac:dyDescent="0.25">
      <c r="A56" s="68" t="s">
        <v>2154</v>
      </c>
      <c r="G56" s="61"/>
      <c r="H56" s="61"/>
    </row>
    <row r="57" spans="1:8" x14ac:dyDescent="0.25">
      <c r="A57" t="s">
        <v>2155</v>
      </c>
    </row>
    <row r="58" spans="1:8" x14ac:dyDescent="0.25">
      <c r="B58" t="s">
        <v>412</v>
      </c>
      <c r="C58" t="s">
        <v>416</v>
      </c>
    </row>
    <row r="59" spans="1:8" x14ac:dyDescent="0.25">
      <c r="A59" s="161" t="s">
        <v>1762</v>
      </c>
      <c r="B59" s="243">
        <f t="shared" ref="B59:B60" si="9">$B$29*B52/$B$19</f>
        <v>0</v>
      </c>
      <c r="C59" s="243">
        <f>$B$29*C52/$B$19</f>
        <v>0.3668756777440631</v>
      </c>
    </row>
    <row r="60" spans="1:8" x14ac:dyDescent="0.25">
      <c r="A60" s="161" t="s">
        <v>1763</v>
      </c>
      <c r="B60" s="243">
        <f t="shared" si="9"/>
        <v>0</v>
      </c>
      <c r="C60" s="243">
        <f>$B$29*C53/$B$19</f>
        <v>0.34105564580199144</v>
      </c>
    </row>
    <row r="61" spans="1:8" x14ac:dyDescent="0.25">
      <c r="A61" s="161" t="s">
        <v>1764</v>
      </c>
      <c r="B61" s="243">
        <f>((G18+K18)*B54+(H18+L18)*B53)/$B$19</f>
        <v>7.8437037556868858E-2</v>
      </c>
      <c r="C61" s="243">
        <f>((G18+K18)*C54+(H18+L18)*C52)/$B$19</f>
        <v>0.39178478281295459</v>
      </c>
    </row>
    <row r="62" spans="1:8" x14ac:dyDescent="0.25">
      <c r="A62" s="161" t="s">
        <v>1765</v>
      </c>
      <c r="B62" s="243">
        <f>((G18+K18)*B55+(H18+L18)*B53)/$B$19</f>
        <v>7.9965024298207038E-2</v>
      </c>
      <c r="C62" s="243">
        <f>((G18+K18)*C55+(H18+L18)*C52)/$B$19</f>
        <v>0.36860985899390375</v>
      </c>
    </row>
  </sheetData>
  <mergeCells count="15">
    <mergeCell ref="D3:I3"/>
    <mergeCell ref="J3:N3"/>
    <mergeCell ref="A18:A19"/>
    <mergeCell ref="C18:C19"/>
    <mergeCell ref="D18:D19"/>
    <mergeCell ref="E18:E19"/>
    <mergeCell ref="F18:F19"/>
    <mergeCell ref="G18:G19"/>
    <mergeCell ref="H18:H19"/>
    <mergeCell ref="I18:I19"/>
    <mergeCell ref="J18:J19"/>
    <mergeCell ref="K18:K19"/>
    <mergeCell ref="L18:L19"/>
    <mergeCell ref="M18:M19"/>
    <mergeCell ref="N18:N19"/>
  </mergeCells>
  <conditionalFormatting sqref="B36:B46">
    <cfRule type="colorScale" priority="3">
      <colorScale>
        <cfvo type="min"/>
        <cfvo type="max"/>
        <color rgb="FFFCFCFF"/>
        <color rgb="FF63BE7B"/>
      </colorScale>
    </cfRule>
  </conditionalFormatting>
  <conditionalFormatting sqref="C36:C46">
    <cfRule type="colorScale" priority="2">
      <colorScale>
        <cfvo type="min"/>
        <cfvo type="max"/>
        <color rgb="FFFCFCFF"/>
        <color rgb="FF63BE7B"/>
      </colorScale>
    </cfRule>
  </conditionalFormatting>
  <conditionalFormatting sqref="B36:D46">
    <cfRule type="colorScale" priority="1">
      <colorScale>
        <cfvo type="min"/>
        <cfvo type="max"/>
        <color rgb="FFFCFCFF"/>
        <color rgb="FF63BE7B"/>
      </colorScale>
    </cfRule>
  </conditionalFormatting>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9F377-FC84-4151-993E-2B1FD2B599CA}">
  <sheetPr>
    <tabColor rgb="FF663300"/>
  </sheetPr>
  <dimension ref="A1:AQ42"/>
  <sheetViews>
    <sheetView zoomScale="55" zoomScaleNormal="55" workbookViewId="0">
      <pane ySplit="1" topLeftCell="A2" activePane="bottomLeft" state="frozen"/>
      <selection activeCell="J31" sqref="J31"/>
      <selection pane="bottomLeft" activeCell="L18" sqref="L18"/>
    </sheetView>
  </sheetViews>
  <sheetFormatPr defaultColWidth="11.42578125" defaultRowHeight="15" x14ac:dyDescent="0.25"/>
  <cols>
    <col min="1" max="1" width="11.42578125" customWidth="1"/>
    <col min="2" max="2" width="15.42578125" bestFit="1" customWidth="1"/>
    <col min="3" max="3" width="12.7109375" bestFit="1" customWidth="1"/>
    <col min="4" max="5" width="24.140625" customWidth="1"/>
    <col min="6" max="6" width="11.42578125" customWidth="1"/>
    <col min="7" max="7" width="48.28515625" bestFit="1" customWidth="1"/>
    <col min="8" max="8" width="53.42578125" customWidth="1"/>
    <col min="9" max="14" width="11.42578125" customWidth="1"/>
    <col min="15" max="15" width="25.7109375" customWidth="1"/>
    <col min="16" max="16" width="22.28515625" customWidth="1"/>
    <col min="17" max="17" width="28.7109375" customWidth="1"/>
    <col min="18" max="18" width="16.42578125" customWidth="1"/>
    <col min="19" max="19" width="17.140625" customWidth="1"/>
    <col min="20" max="22" width="8.140625" customWidth="1"/>
    <col min="23" max="23" width="115.140625" customWidth="1"/>
    <col min="24" max="30" width="5.140625" customWidth="1"/>
    <col min="31" max="31" width="5.85546875" customWidth="1"/>
    <col min="32" max="37" width="6.140625" style="243" customWidth="1"/>
    <col min="38" max="39" width="6.140625" style="170" customWidth="1"/>
  </cols>
  <sheetData>
    <row r="1" spans="1:43" ht="47.1" customHeight="1" x14ac:dyDescent="0.25">
      <c r="A1" s="130" t="s">
        <v>86</v>
      </c>
      <c r="B1" s="130" t="s">
        <v>87</v>
      </c>
      <c r="C1" s="130" t="s">
        <v>88</v>
      </c>
      <c r="D1" s="130" t="s">
        <v>89</v>
      </c>
      <c r="E1" s="130" t="s">
        <v>488</v>
      </c>
      <c r="F1" s="130" t="s">
        <v>90</v>
      </c>
      <c r="G1" s="130" t="s">
        <v>91</v>
      </c>
      <c r="H1" s="130" t="s">
        <v>92</v>
      </c>
      <c r="I1" s="130" t="s">
        <v>93</v>
      </c>
      <c r="J1" s="130" t="s">
        <v>94</v>
      </c>
      <c r="K1" s="130" t="s">
        <v>95</v>
      </c>
      <c r="L1" s="130" t="s">
        <v>96</v>
      </c>
      <c r="M1" s="130" t="s">
        <v>97</v>
      </c>
      <c r="N1" s="130" t="s">
        <v>98</v>
      </c>
      <c r="O1" s="130" t="s">
        <v>99</v>
      </c>
      <c r="P1" s="130" t="s">
        <v>100</v>
      </c>
      <c r="Q1" s="130" t="s">
        <v>101</v>
      </c>
      <c r="R1" s="130" t="s">
        <v>102</v>
      </c>
      <c r="S1" s="130" t="s">
        <v>489</v>
      </c>
      <c r="T1" s="162" t="s">
        <v>105</v>
      </c>
      <c r="U1" s="162" t="s">
        <v>104</v>
      </c>
      <c r="V1" s="162" t="s">
        <v>106</v>
      </c>
      <c r="W1" s="130" t="s">
        <v>490</v>
      </c>
      <c r="X1" s="236" t="s">
        <v>448</v>
      </c>
      <c r="Y1" s="237" t="s">
        <v>457</v>
      </c>
      <c r="Z1" s="237" t="s">
        <v>466</v>
      </c>
      <c r="AA1" s="237" t="s">
        <v>491</v>
      </c>
      <c r="AB1" s="237" t="s">
        <v>492</v>
      </c>
      <c r="AC1" s="238" t="s">
        <v>493</v>
      </c>
      <c r="AD1" s="239" t="s">
        <v>494</v>
      </c>
      <c r="AE1" s="240" t="s">
        <v>495</v>
      </c>
      <c r="AF1" s="241" t="s">
        <v>448</v>
      </c>
      <c r="AG1" s="241" t="s">
        <v>457</v>
      </c>
      <c r="AH1" s="241" t="s">
        <v>466</v>
      </c>
      <c r="AI1" s="241" t="s">
        <v>491</v>
      </c>
      <c r="AJ1" s="241" t="s">
        <v>492</v>
      </c>
      <c r="AK1" s="241" t="s">
        <v>496</v>
      </c>
      <c r="AL1" s="242" t="s">
        <v>494</v>
      </c>
      <c r="AM1" s="242" t="s">
        <v>495</v>
      </c>
      <c r="AN1" s="130" t="s">
        <v>497</v>
      </c>
      <c r="AO1" s="130" t="s">
        <v>498</v>
      </c>
      <c r="AP1" s="130" t="s">
        <v>103</v>
      </c>
      <c r="AQ1" s="130" t="s">
        <v>119</v>
      </c>
    </row>
    <row r="2" spans="1:43" x14ac:dyDescent="0.25">
      <c r="B2" t="s">
        <v>499</v>
      </c>
      <c r="C2" t="s">
        <v>500</v>
      </c>
      <c r="D2" t="s">
        <v>501</v>
      </c>
      <c r="F2" t="s">
        <v>123</v>
      </c>
      <c r="G2" t="s">
        <v>502</v>
      </c>
      <c r="I2">
        <v>1000</v>
      </c>
      <c r="J2">
        <v>25</v>
      </c>
      <c r="L2" t="s">
        <v>503</v>
      </c>
      <c r="O2" t="s">
        <v>504</v>
      </c>
      <c r="P2" t="s">
        <v>505</v>
      </c>
      <c r="Q2" t="s">
        <v>506</v>
      </c>
      <c r="R2" t="s">
        <v>507</v>
      </c>
      <c r="W2" t="s">
        <v>508</v>
      </c>
      <c r="X2" s="243">
        <v>0.32100000000000001</v>
      </c>
      <c r="Y2" s="243">
        <v>0.38300000000000001</v>
      </c>
      <c r="Z2" s="243">
        <v>0.13400000000000001</v>
      </c>
      <c r="AA2" s="243">
        <v>0.14599999999999999</v>
      </c>
      <c r="AB2" s="243">
        <v>1E-3</v>
      </c>
      <c r="AC2" s="243">
        <v>1.2E-2</v>
      </c>
      <c r="AD2" s="243"/>
      <c r="AE2" s="243">
        <f>SUM(X2:AD2)</f>
        <v>0.997</v>
      </c>
      <c r="AF2" s="244">
        <v>0.32100000000000001</v>
      </c>
      <c r="AG2" s="244">
        <v>0.38300000000000001</v>
      </c>
      <c r="AH2" s="244">
        <v>0.13400000000000001</v>
      </c>
      <c r="AI2" s="244">
        <v>0.14599999999999999</v>
      </c>
      <c r="AJ2" s="244">
        <v>1E-3</v>
      </c>
      <c r="AK2" s="244">
        <v>1.2E-2</v>
      </c>
      <c r="AL2" s="244"/>
      <c r="AM2" s="244">
        <f>SUM(AF2:AL2)</f>
        <v>0.997</v>
      </c>
      <c r="AP2" s="245">
        <v>0.53600000000000003</v>
      </c>
    </row>
    <row r="3" spans="1:43" x14ac:dyDescent="0.25">
      <c r="B3" t="s">
        <v>499</v>
      </c>
      <c r="C3" t="s">
        <v>500</v>
      </c>
      <c r="D3" t="s">
        <v>509</v>
      </c>
      <c r="F3" t="s">
        <v>123</v>
      </c>
      <c r="G3" t="s">
        <v>502</v>
      </c>
      <c r="I3">
        <v>950</v>
      </c>
      <c r="J3">
        <v>1</v>
      </c>
      <c r="L3" t="s">
        <v>503</v>
      </c>
      <c r="O3" t="s">
        <v>504</v>
      </c>
      <c r="P3" t="s">
        <v>510</v>
      </c>
      <c r="Q3" t="s">
        <v>511</v>
      </c>
      <c r="R3" t="s">
        <v>507</v>
      </c>
      <c r="W3" t="s">
        <v>512</v>
      </c>
      <c r="X3" s="243">
        <v>0.25</v>
      </c>
      <c r="Y3" s="243">
        <v>0.372</v>
      </c>
      <c r="Z3" s="243">
        <v>0.153</v>
      </c>
      <c r="AA3" s="243">
        <v>0.21</v>
      </c>
      <c r="AB3" s="243">
        <v>8.0000000000000004E-4</v>
      </c>
      <c r="AC3" s="243">
        <v>1.0999999999999999E-2</v>
      </c>
      <c r="AD3" s="243"/>
      <c r="AE3" s="243">
        <f>SUM(X3:AD3)</f>
        <v>0.99680000000000002</v>
      </c>
      <c r="AF3" s="244">
        <v>0.25</v>
      </c>
      <c r="AG3" s="244">
        <v>0.372</v>
      </c>
      <c r="AH3" s="244">
        <v>0.153</v>
      </c>
      <c r="AI3" s="244">
        <v>0.21</v>
      </c>
      <c r="AJ3" s="244">
        <v>8.0000000000000004E-4</v>
      </c>
      <c r="AK3" s="244">
        <v>1.0999999999999999E-2</v>
      </c>
      <c r="AL3" s="244"/>
      <c r="AM3" s="244">
        <f t="shared" ref="AM3:AM36" si="0">SUM(AF3:AL3)</f>
        <v>0.99680000000000002</v>
      </c>
      <c r="AP3" s="245">
        <v>0.34200000000000003</v>
      </c>
    </row>
    <row r="4" spans="1:43" x14ac:dyDescent="0.25">
      <c r="B4" t="s">
        <v>499</v>
      </c>
      <c r="C4" t="s">
        <v>500</v>
      </c>
      <c r="D4" t="s">
        <v>513</v>
      </c>
      <c r="F4" t="s">
        <v>123</v>
      </c>
      <c r="G4" t="s">
        <v>502</v>
      </c>
      <c r="I4">
        <v>1250</v>
      </c>
      <c r="J4">
        <v>65</v>
      </c>
      <c r="L4" t="s">
        <v>514</v>
      </c>
      <c r="O4" t="s">
        <v>515</v>
      </c>
      <c r="P4" t="s">
        <v>516</v>
      </c>
      <c r="Q4" t="s">
        <v>517</v>
      </c>
      <c r="R4" t="s">
        <v>518</v>
      </c>
      <c r="W4" t="s">
        <v>519</v>
      </c>
      <c r="X4" s="243">
        <v>0.25600000000000001</v>
      </c>
      <c r="Y4" s="243">
        <v>0.27300000000000002</v>
      </c>
      <c r="Z4" s="243">
        <v>7.0999999999999994E-2</v>
      </c>
      <c r="AA4" s="243">
        <v>0.39200000000000002</v>
      </c>
      <c r="AB4" s="243">
        <v>1E-3</v>
      </c>
      <c r="AC4" s="243">
        <v>7.0000000000000001E-3</v>
      </c>
      <c r="AD4" s="243"/>
      <c r="AE4" s="243">
        <f>SUM(X4:AD4)</f>
        <v>1</v>
      </c>
      <c r="AF4" s="244">
        <v>0.25600000000000001</v>
      </c>
      <c r="AG4" s="244">
        <v>0.27300000000000002</v>
      </c>
      <c r="AH4" s="244">
        <v>7.0999999999999994E-2</v>
      </c>
      <c r="AI4" s="244">
        <v>0.39200000000000002</v>
      </c>
      <c r="AJ4" s="244">
        <v>1E-3</v>
      </c>
      <c r="AK4" s="244">
        <v>7.0000000000000001E-3</v>
      </c>
      <c r="AL4" s="244"/>
      <c r="AM4" s="244">
        <f t="shared" si="0"/>
        <v>1</v>
      </c>
      <c r="AP4" s="245">
        <v>0.34799999999999998</v>
      </c>
    </row>
    <row r="5" spans="1:43" x14ac:dyDescent="0.25">
      <c r="B5" t="s">
        <v>520</v>
      </c>
      <c r="C5" t="s">
        <v>500</v>
      </c>
      <c r="L5" t="s">
        <v>521</v>
      </c>
      <c r="X5" s="15"/>
      <c r="Y5" s="19"/>
      <c r="Z5" s="19"/>
      <c r="AA5" s="19"/>
      <c r="AB5" s="19"/>
      <c r="AC5" s="19"/>
      <c r="AD5" s="19"/>
      <c r="AE5" s="27"/>
      <c r="AF5" s="244"/>
      <c r="AG5" s="244"/>
      <c r="AH5" s="244"/>
      <c r="AI5" s="244"/>
      <c r="AJ5" s="244"/>
      <c r="AK5" s="244"/>
      <c r="AL5" s="244"/>
      <c r="AM5" s="244">
        <f t="shared" si="0"/>
        <v>0</v>
      </c>
    </row>
    <row r="6" spans="1:43" s="246" customFormat="1" x14ac:dyDescent="0.25">
      <c r="B6" s="246" t="s">
        <v>522</v>
      </c>
      <c r="C6" s="246" t="s">
        <v>500</v>
      </c>
      <c r="D6" s="246" t="s">
        <v>509</v>
      </c>
      <c r="F6" s="246" t="s">
        <v>123</v>
      </c>
      <c r="G6" s="246" t="s">
        <v>17</v>
      </c>
      <c r="I6" s="246">
        <v>900</v>
      </c>
      <c r="L6" s="246" t="s">
        <v>523</v>
      </c>
      <c r="N6" s="246" t="s">
        <v>390</v>
      </c>
      <c r="Q6" s="246" t="s">
        <v>168</v>
      </c>
      <c r="X6" s="247"/>
      <c r="Y6" s="248"/>
      <c r="Z6" s="248"/>
      <c r="AA6" s="248"/>
      <c r="AB6" s="248"/>
      <c r="AC6" s="248"/>
      <c r="AD6" s="248"/>
      <c r="AE6" s="249"/>
      <c r="AF6" s="244"/>
      <c r="AG6" s="244"/>
      <c r="AH6" s="244"/>
      <c r="AI6" s="244"/>
      <c r="AJ6" s="244"/>
      <c r="AK6" s="244"/>
      <c r="AL6" s="244"/>
      <c r="AM6" s="244">
        <f t="shared" si="0"/>
        <v>0</v>
      </c>
    </row>
    <row r="7" spans="1:43" x14ac:dyDescent="0.25">
      <c r="B7" t="s">
        <v>524</v>
      </c>
      <c r="C7" t="s">
        <v>500</v>
      </c>
      <c r="D7" t="s">
        <v>525</v>
      </c>
      <c r="F7" t="s">
        <v>123</v>
      </c>
      <c r="G7" t="s">
        <v>526</v>
      </c>
      <c r="H7" t="s">
        <v>527</v>
      </c>
      <c r="I7">
        <v>1013</v>
      </c>
      <c r="L7" t="s">
        <v>125</v>
      </c>
      <c r="M7" t="s">
        <v>528</v>
      </c>
      <c r="O7" t="s">
        <v>160</v>
      </c>
      <c r="P7" t="s">
        <v>529</v>
      </c>
      <c r="Q7" t="s">
        <v>530</v>
      </c>
      <c r="R7" t="s">
        <v>507</v>
      </c>
      <c r="X7" s="15"/>
      <c r="Y7" s="19"/>
      <c r="Z7" s="19"/>
      <c r="AA7" s="19"/>
      <c r="AB7" s="19"/>
      <c r="AC7" s="19"/>
      <c r="AD7" s="19"/>
      <c r="AE7" s="27"/>
      <c r="AF7" s="244"/>
      <c r="AG7" s="244"/>
      <c r="AH7" s="244"/>
      <c r="AI7" s="244"/>
      <c r="AJ7" s="244"/>
      <c r="AK7" s="244"/>
      <c r="AL7" s="244"/>
      <c r="AM7" s="244">
        <f t="shared" si="0"/>
        <v>0</v>
      </c>
    </row>
    <row r="8" spans="1:43" x14ac:dyDescent="0.25">
      <c r="B8" t="s">
        <v>531</v>
      </c>
      <c r="C8" t="s">
        <v>532</v>
      </c>
      <c r="D8" t="s">
        <v>533</v>
      </c>
      <c r="F8" t="s">
        <v>123</v>
      </c>
      <c r="G8" t="s">
        <v>534</v>
      </c>
      <c r="H8" t="s">
        <v>535</v>
      </c>
      <c r="I8" t="s">
        <v>536</v>
      </c>
      <c r="J8" t="s">
        <v>537</v>
      </c>
      <c r="L8" t="s">
        <v>125</v>
      </c>
      <c r="N8" t="s">
        <v>390</v>
      </c>
      <c r="P8" t="s">
        <v>538</v>
      </c>
      <c r="Q8" t="s">
        <v>168</v>
      </c>
      <c r="R8" t="s">
        <v>507</v>
      </c>
      <c r="S8" t="s">
        <v>539</v>
      </c>
      <c r="X8" s="15"/>
      <c r="Y8" s="19"/>
      <c r="Z8" s="19"/>
      <c r="AA8" s="19"/>
      <c r="AB8" s="19"/>
      <c r="AC8" s="19"/>
      <c r="AD8" s="19"/>
      <c r="AE8" s="27"/>
      <c r="AF8" s="244"/>
      <c r="AG8" s="244"/>
      <c r="AH8" s="244"/>
      <c r="AI8" s="244"/>
      <c r="AJ8" s="244"/>
      <c r="AK8" s="244"/>
      <c r="AL8" s="244"/>
      <c r="AM8" s="244">
        <f t="shared" si="0"/>
        <v>0</v>
      </c>
    </row>
    <row r="9" spans="1:43" x14ac:dyDescent="0.25">
      <c r="B9" t="s">
        <v>540</v>
      </c>
      <c r="C9" t="s">
        <v>500</v>
      </c>
      <c r="D9" t="s">
        <v>541</v>
      </c>
      <c r="F9" t="s">
        <v>123</v>
      </c>
      <c r="G9" t="s">
        <v>542</v>
      </c>
      <c r="I9" t="s">
        <v>543</v>
      </c>
      <c r="L9" t="s">
        <v>544</v>
      </c>
      <c r="O9" t="s">
        <v>160</v>
      </c>
      <c r="P9" t="s">
        <v>545</v>
      </c>
      <c r="Q9" t="s">
        <v>546</v>
      </c>
      <c r="R9" t="s">
        <v>507</v>
      </c>
      <c r="X9" s="15"/>
      <c r="Y9" s="19"/>
      <c r="Z9" s="19"/>
      <c r="AA9" s="19"/>
      <c r="AB9" s="19"/>
      <c r="AC9" s="19"/>
      <c r="AD9" s="19"/>
      <c r="AE9" s="27"/>
      <c r="AF9" s="244"/>
      <c r="AG9" s="244"/>
      <c r="AH9" s="244"/>
      <c r="AI9" s="244"/>
      <c r="AJ9" s="244"/>
      <c r="AK9" s="244"/>
      <c r="AL9" s="244"/>
      <c r="AM9" s="244">
        <f t="shared" si="0"/>
        <v>0</v>
      </c>
    </row>
    <row r="10" spans="1:43" x14ac:dyDescent="0.25">
      <c r="X10" s="15"/>
      <c r="Y10" s="19"/>
      <c r="Z10" s="19"/>
      <c r="AA10" s="19"/>
      <c r="AB10" s="19"/>
      <c r="AC10" s="19"/>
      <c r="AD10" s="19"/>
      <c r="AE10" s="27"/>
      <c r="AF10" s="244"/>
      <c r="AG10" s="244"/>
      <c r="AH10" s="244"/>
      <c r="AI10" s="244"/>
      <c r="AJ10" s="244"/>
      <c r="AK10" s="244"/>
      <c r="AL10" s="244"/>
      <c r="AM10" s="244">
        <f t="shared" si="0"/>
        <v>0</v>
      </c>
    </row>
    <row r="11" spans="1:43" x14ac:dyDescent="0.25">
      <c r="X11" s="15"/>
      <c r="Y11" s="19"/>
      <c r="Z11" s="19"/>
      <c r="AA11" s="19"/>
      <c r="AB11" s="19"/>
      <c r="AC11" s="19"/>
      <c r="AD11" s="19"/>
      <c r="AE11" s="27"/>
      <c r="AF11" s="244"/>
      <c r="AG11" s="244"/>
      <c r="AH11" s="244"/>
      <c r="AI11" s="244"/>
      <c r="AJ11" s="244"/>
      <c r="AK11" s="244"/>
      <c r="AL11" s="244"/>
      <c r="AM11" s="244">
        <f t="shared" si="0"/>
        <v>0</v>
      </c>
    </row>
    <row r="12" spans="1:43" s="246" customFormat="1" x14ac:dyDescent="0.25">
      <c r="B12" s="246" t="s">
        <v>547</v>
      </c>
      <c r="C12" s="246" t="s">
        <v>500</v>
      </c>
      <c r="D12" s="246" t="s">
        <v>548</v>
      </c>
      <c r="E12" s="246" t="s">
        <v>549</v>
      </c>
      <c r="F12" s="246" t="s">
        <v>123</v>
      </c>
      <c r="G12" s="246" t="s">
        <v>550</v>
      </c>
      <c r="H12" s="246" t="s">
        <v>551</v>
      </c>
      <c r="I12" s="246">
        <v>829</v>
      </c>
      <c r="L12" s="246" t="s">
        <v>523</v>
      </c>
      <c r="N12" s="246" t="s">
        <v>390</v>
      </c>
      <c r="P12" s="246" t="s">
        <v>552</v>
      </c>
      <c r="Q12" s="246" t="s">
        <v>553</v>
      </c>
      <c r="R12" s="246" t="s">
        <v>554</v>
      </c>
      <c r="S12" s="246" t="s">
        <v>170</v>
      </c>
      <c r="W12" s="246" t="s">
        <v>555</v>
      </c>
      <c r="X12" s="250">
        <f>AF12/SUM($AF12:$AJ12,$AL12)</f>
        <v>0.36648250460405157</v>
      </c>
      <c r="Y12" s="251">
        <f t="shared" ref="Y12:AD25" si="1">AG12/SUM($AF12:$AJ12,$AL12)</f>
        <v>0.54327808471454875</v>
      </c>
      <c r="Z12" s="251">
        <f t="shared" si="1"/>
        <v>3.1307550644567222E-2</v>
      </c>
      <c r="AA12" s="251"/>
      <c r="AB12" s="251">
        <f t="shared" si="1"/>
        <v>4.6040515653775323E-2</v>
      </c>
      <c r="AC12" s="251"/>
      <c r="AD12" s="251">
        <f t="shared" si="1"/>
        <v>1.289134438305709E-2</v>
      </c>
      <c r="AE12" s="252">
        <f>SUM(X12:AD12)</f>
        <v>0.99999999999999989</v>
      </c>
      <c r="AF12" s="244">
        <v>0.19900000000000001</v>
      </c>
      <c r="AG12" s="244">
        <v>0.29499999999999998</v>
      </c>
      <c r="AH12" s="244">
        <v>1.7000000000000001E-2</v>
      </c>
      <c r="AI12" s="244"/>
      <c r="AJ12" s="244">
        <v>2.5000000000000001E-2</v>
      </c>
      <c r="AK12" s="244"/>
      <c r="AL12" s="244">
        <v>7.0000000000000001E-3</v>
      </c>
      <c r="AM12" s="244">
        <f t="shared" si="0"/>
        <v>0.54300000000000004</v>
      </c>
      <c r="AN12" s="246" t="s">
        <v>170</v>
      </c>
      <c r="AO12" s="246" t="s">
        <v>170</v>
      </c>
    </row>
    <row r="13" spans="1:43" s="246" customFormat="1" x14ac:dyDescent="0.25">
      <c r="B13" s="246" t="s">
        <v>547</v>
      </c>
      <c r="C13" s="246" t="s">
        <v>500</v>
      </c>
      <c r="D13" s="246" t="s">
        <v>548</v>
      </c>
      <c r="E13" s="246" t="s">
        <v>556</v>
      </c>
      <c r="F13" s="246" t="s">
        <v>123</v>
      </c>
      <c r="G13" s="246" t="s">
        <v>550</v>
      </c>
      <c r="H13" s="246" t="s">
        <v>551</v>
      </c>
      <c r="I13" s="246">
        <v>879</v>
      </c>
      <c r="L13" s="246" t="s">
        <v>523</v>
      </c>
      <c r="N13" s="246" t="s">
        <v>390</v>
      </c>
      <c r="P13" s="246" t="s">
        <v>552</v>
      </c>
      <c r="Q13" s="246" t="s">
        <v>553</v>
      </c>
      <c r="R13" s="246" t="s">
        <v>554</v>
      </c>
      <c r="S13" s="246" t="s">
        <v>170</v>
      </c>
      <c r="W13" s="246" t="s">
        <v>557</v>
      </c>
      <c r="X13" s="250">
        <f t="shared" ref="X13:X25" si="2">AF13/SUM($AF13:$AJ13,$AL13)</f>
        <v>0.36946902654867253</v>
      </c>
      <c r="Y13" s="251">
        <f t="shared" si="1"/>
        <v>0.30309734513274333</v>
      </c>
      <c r="Z13" s="251">
        <f t="shared" si="1"/>
        <v>0.11283185840707963</v>
      </c>
      <c r="AA13" s="251"/>
      <c r="AB13" s="251">
        <f t="shared" si="1"/>
        <v>0.16150442477876104</v>
      </c>
      <c r="AC13" s="251"/>
      <c r="AD13" s="251">
        <f t="shared" si="1"/>
        <v>5.3097345132743355E-2</v>
      </c>
      <c r="AE13" s="252">
        <f t="shared" ref="AE13:AE36" si="3">SUM(X13:AD13)</f>
        <v>0.99999999999999989</v>
      </c>
      <c r="AF13" s="244">
        <v>0.16700000000000001</v>
      </c>
      <c r="AG13" s="244">
        <v>0.13700000000000001</v>
      </c>
      <c r="AH13" s="244">
        <v>5.0999999999999997E-2</v>
      </c>
      <c r="AI13" s="244"/>
      <c r="AJ13" s="244">
        <v>7.2999999999999995E-2</v>
      </c>
      <c r="AK13" s="244"/>
      <c r="AL13" s="244">
        <v>2.4E-2</v>
      </c>
      <c r="AM13" s="244">
        <f t="shared" si="0"/>
        <v>0.45200000000000007</v>
      </c>
      <c r="AN13" s="246" t="s">
        <v>170</v>
      </c>
      <c r="AO13" s="246" t="s">
        <v>170</v>
      </c>
    </row>
    <row r="14" spans="1:43" s="246" customFormat="1" x14ac:dyDescent="0.25">
      <c r="B14" s="246" t="s">
        <v>558</v>
      </c>
      <c r="C14" s="246" t="s">
        <v>500</v>
      </c>
      <c r="D14" s="246" t="s">
        <v>548</v>
      </c>
      <c r="E14" s="246" t="s">
        <v>559</v>
      </c>
      <c r="F14" s="246" t="s">
        <v>123</v>
      </c>
      <c r="G14" s="246" t="s">
        <v>560</v>
      </c>
      <c r="H14" s="246" t="s">
        <v>561</v>
      </c>
      <c r="I14" s="246">
        <v>811</v>
      </c>
      <c r="L14" s="246" t="s">
        <v>523</v>
      </c>
      <c r="N14" s="246" t="s">
        <v>390</v>
      </c>
      <c r="Q14" s="246" t="s">
        <v>168</v>
      </c>
      <c r="R14" s="246" t="s">
        <v>554</v>
      </c>
      <c r="S14" s="246" t="s">
        <v>170</v>
      </c>
      <c r="W14" s="246" t="s">
        <v>562</v>
      </c>
      <c r="X14" s="250">
        <f t="shared" si="2"/>
        <v>7.93296089385475E-2</v>
      </c>
      <c r="Y14" s="251">
        <f t="shared" si="1"/>
        <v>0.2930167597765363</v>
      </c>
      <c r="Z14" s="251">
        <f t="shared" si="1"/>
        <v>0.11843575418994413</v>
      </c>
      <c r="AA14" s="251"/>
      <c r="AB14" s="251">
        <f t="shared" si="1"/>
        <v>0.35111731843575422</v>
      </c>
      <c r="AC14" s="251"/>
      <c r="AD14" s="251">
        <f t="shared" si="1"/>
        <v>0.15810055865921788</v>
      </c>
      <c r="AE14" s="252">
        <f t="shared" si="3"/>
        <v>1</v>
      </c>
      <c r="AF14" s="244">
        <v>2.8400000000000002E-2</v>
      </c>
      <c r="AG14" s="244">
        <v>0.10489999999999999</v>
      </c>
      <c r="AH14" s="244">
        <v>4.24E-2</v>
      </c>
      <c r="AI14" s="244"/>
      <c r="AJ14" s="244">
        <v>0.12570000000000001</v>
      </c>
      <c r="AK14" s="244">
        <v>0.63349999999999995</v>
      </c>
      <c r="AL14" s="244">
        <v>5.6599999999999998E-2</v>
      </c>
      <c r="AM14" s="244">
        <f t="shared" si="0"/>
        <v>0.99149999999999994</v>
      </c>
      <c r="AN14" s="246">
        <v>3320</v>
      </c>
      <c r="AO14" s="246" t="s">
        <v>170</v>
      </c>
    </row>
    <row r="15" spans="1:43" s="246" customFormat="1" x14ac:dyDescent="0.25">
      <c r="B15" s="246" t="s">
        <v>558</v>
      </c>
      <c r="C15" s="246" t="s">
        <v>500</v>
      </c>
      <c r="D15" s="246" t="s">
        <v>548</v>
      </c>
      <c r="E15" s="246" t="s">
        <v>563</v>
      </c>
      <c r="F15" s="246" t="s">
        <v>123</v>
      </c>
      <c r="G15" s="246" t="s">
        <v>560</v>
      </c>
      <c r="H15" s="246" t="s">
        <v>561</v>
      </c>
      <c r="I15" s="246">
        <v>805</v>
      </c>
      <c r="L15" s="246" t="s">
        <v>523</v>
      </c>
      <c r="N15" s="246" t="s">
        <v>390</v>
      </c>
      <c r="Q15" s="246" t="s">
        <v>168</v>
      </c>
      <c r="R15" s="246" t="s">
        <v>554</v>
      </c>
      <c r="S15" s="246" t="s">
        <v>170</v>
      </c>
      <c r="W15" s="246" t="s">
        <v>564</v>
      </c>
      <c r="X15" s="250">
        <f t="shared" si="2"/>
        <v>0.22950417280314189</v>
      </c>
      <c r="Y15" s="251">
        <f t="shared" si="1"/>
        <v>0.36548846342660779</v>
      </c>
      <c r="Z15" s="251">
        <f t="shared" si="1"/>
        <v>2.4300441826215026E-2</v>
      </c>
      <c r="AA15" s="251"/>
      <c r="AB15" s="251">
        <f t="shared" si="1"/>
        <v>0.27245949926362301</v>
      </c>
      <c r="AC15" s="251"/>
      <c r="AD15" s="251">
        <f t="shared" si="1"/>
        <v>0.10824742268041238</v>
      </c>
      <c r="AE15" s="252">
        <f t="shared" si="3"/>
        <v>1.0000000000000002</v>
      </c>
      <c r="AF15" s="244">
        <v>9.35E-2</v>
      </c>
      <c r="AG15" s="244">
        <v>0.1489</v>
      </c>
      <c r="AH15" s="244">
        <v>9.9000000000000008E-3</v>
      </c>
      <c r="AI15" s="244"/>
      <c r="AJ15" s="244">
        <v>0.111</v>
      </c>
      <c r="AK15" s="244">
        <v>0.57579999999999998</v>
      </c>
      <c r="AL15" s="244">
        <v>4.41E-2</v>
      </c>
      <c r="AM15" s="244">
        <f t="shared" si="0"/>
        <v>0.98320000000000007</v>
      </c>
      <c r="AN15" s="246">
        <v>2440</v>
      </c>
      <c r="AO15" s="246" t="s">
        <v>170</v>
      </c>
    </row>
    <row r="16" spans="1:43" s="246" customFormat="1" x14ac:dyDescent="0.25">
      <c r="B16" s="246" t="s">
        <v>558</v>
      </c>
      <c r="C16" s="246" t="s">
        <v>500</v>
      </c>
      <c r="D16" s="246" t="s">
        <v>548</v>
      </c>
      <c r="E16" s="246" t="s">
        <v>563</v>
      </c>
      <c r="F16" s="246" t="s">
        <v>565</v>
      </c>
      <c r="G16" s="246" t="s">
        <v>560</v>
      </c>
      <c r="H16" s="246" t="s">
        <v>561</v>
      </c>
      <c r="I16" s="246">
        <v>815</v>
      </c>
      <c r="L16" s="246" t="s">
        <v>523</v>
      </c>
      <c r="N16" s="246" t="s">
        <v>390</v>
      </c>
      <c r="Q16" s="246" t="s">
        <v>168</v>
      </c>
      <c r="R16" s="246" t="s">
        <v>554</v>
      </c>
      <c r="S16" s="246" t="s">
        <v>170</v>
      </c>
      <c r="W16" s="246" t="s">
        <v>566</v>
      </c>
      <c r="X16" s="250">
        <f t="shared" si="2"/>
        <v>0.23698458975426906</v>
      </c>
      <c r="Y16" s="251">
        <f t="shared" si="1"/>
        <v>0.3775510204081633</v>
      </c>
      <c r="Z16" s="251">
        <f t="shared" si="1"/>
        <v>0.16576426488962934</v>
      </c>
      <c r="AA16" s="251"/>
      <c r="AB16" s="251">
        <f t="shared" si="1"/>
        <v>0.18242399000416495</v>
      </c>
      <c r="AC16" s="251"/>
      <c r="AD16" s="251">
        <f t="shared" si="1"/>
        <v>3.727613494377343E-2</v>
      </c>
      <c r="AE16" s="252">
        <f t="shared" si="3"/>
        <v>1.0000000000000002</v>
      </c>
      <c r="AF16" s="244">
        <v>0.1138</v>
      </c>
      <c r="AG16" s="244">
        <v>0.18129999999999999</v>
      </c>
      <c r="AH16" s="244">
        <v>7.9600000000000004E-2</v>
      </c>
      <c r="AI16" s="244"/>
      <c r="AJ16" s="244">
        <v>8.7599999999999997E-2</v>
      </c>
      <c r="AK16" s="244">
        <v>0.51329999999999998</v>
      </c>
      <c r="AL16" s="244">
        <v>1.7899999999999999E-2</v>
      </c>
      <c r="AM16" s="244">
        <f t="shared" si="0"/>
        <v>0.99350000000000005</v>
      </c>
      <c r="AN16" s="246">
        <v>640</v>
      </c>
      <c r="AO16" s="246" t="s">
        <v>170</v>
      </c>
    </row>
    <row r="17" spans="2:41" s="246" customFormat="1" x14ac:dyDescent="0.25">
      <c r="B17" s="246" t="s">
        <v>558</v>
      </c>
      <c r="C17" s="246" t="s">
        <v>500</v>
      </c>
      <c r="D17" s="246" t="s">
        <v>548</v>
      </c>
      <c r="E17" s="246" t="s">
        <v>563</v>
      </c>
      <c r="F17" s="246" t="s">
        <v>565</v>
      </c>
      <c r="G17" s="246" t="s">
        <v>560</v>
      </c>
      <c r="H17" s="246" t="s">
        <v>561</v>
      </c>
      <c r="I17" s="246">
        <v>809</v>
      </c>
      <c r="L17" s="246" t="s">
        <v>523</v>
      </c>
      <c r="N17" s="246" t="s">
        <v>390</v>
      </c>
      <c r="Q17" s="246" t="s">
        <v>168</v>
      </c>
      <c r="R17" s="246" t="s">
        <v>554</v>
      </c>
      <c r="S17" s="246" t="s">
        <v>170</v>
      </c>
      <c r="W17" s="246" t="s">
        <v>567</v>
      </c>
      <c r="X17" s="250">
        <f t="shared" si="2"/>
        <v>0.30772045371386753</v>
      </c>
      <c r="Y17" s="251">
        <f t="shared" si="1"/>
        <v>0.47768020490303698</v>
      </c>
      <c r="Z17" s="251">
        <f t="shared" si="1"/>
        <v>7.7387486278814491E-2</v>
      </c>
      <c r="AA17" s="251"/>
      <c r="AB17" s="251">
        <f t="shared" si="1"/>
        <v>0.13721185510428102</v>
      </c>
      <c r="AC17" s="251"/>
      <c r="AD17" s="251"/>
      <c r="AE17" s="252">
        <f t="shared" si="3"/>
        <v>1</v>
      </c>
      <c r="AF17" s="244">
        <v>0.16819999999999999</v>
      </c>
      <c r="AG17" s="244">
        <v>0.2611</v>
      </c>
      <c r="AH17" s="244">
        <v>4.2299999999999997E-2</v>
      </c>
      <c r="AI17" s="244"/>
      <c r="AJ17" s="244">
        <v>7.4999999999999997E-2</v>
      </c>
      <c r="AK17" s="244">
        <v>0.45300000000000001</v>
      </c>
      <c r="AL17" s="244"/>
      <c r="AM17" s="244">
        <f t="shared" si="0"/>
        <v>0.99960000000000004</v>
      </c>
      <c r="AN17" s="246">
        <v>23</v>
      </c>
      <c r="AO17" s="246" t="s">
        <v>170</v>
      </c>
    </row>
    <row r="18" spans="2:41" s="246" customFormat="1" x14ac:dyDescent="0.25">
      <c r="B18" s="246" t="s">
        <v>568</v>
      </c>
      <c r="C18" s="246" t="s">
        <v>500</v>
      </c>
      <c r="D18" s="246" t="s">
        <v>548</v>
      </c>
      <c r="E18" s="246" t="s">
        <v>559</v>
      </c>
      <c r="F18" s="246" t="s">
        <v>123</v>
      </c>
      <c r="G18" s="246" t="s">
        <v>560</v>
      </c>
      <c r="H18" s="246" t="s">
        <v>569</v>
      </c>
      <c r="I18" s="246">
        <v>819</v>
      </c>
      <c r="L18" s="246" t="s">
        <v>523</v>
      </c>
      <c r="N18" s="246" t="s">
        <v>390</v>
      </c>
      <c r="Q18" s="246" t="s">
        <v>168</v>
      </c>
      <c r="R18" s="246" t="s">
        <v>554</v>
      </c>
      <c r="S18" s="246" t="s">
        <v>170</v>
      </c>
      <c r="W18" s="246" t="s">
        <v>570</v>
      </c>
      <c r="X18" s="250">
        <f t="shared" si="2"/>
        <v>0.11128284389489954</v>
      </c>
      <c r="Y18" s="251">
        <f t="shared" si="1"/>
        <v>0.24243762419960255</v>
      </c>
      <c r="Z18" s="251">
        <f t="shared" si="1"/>
        <v>0.12099801280635902</v>
      </c>
      <c r="AA18" s="251"/>
      <c r="AB18" s="251">
        <f t="shared" si="1"/>
        <v>0.37734599249282397</v>
      </c>
      <c r="AC18" s="251"/>
      <c r="AD18" s="251">
        <f t="shared" si="1"/>
        <v>0.14793552660631487</v>
      </c>
      <c r="AE18" s="252">
        <f t="shared" si="3"/>
        <v>1</v>
      </c>
      <c r="AF18" s="244">
        <v>5.04E-2</v>
      </c>
      <c r="AG18" s="244">
        <v>0.10979999999999999</v>
      </c>
      <c r="AH18" s="244">
        <v>5.4800000000000001E-2</v>
      </c>
      <c r="AI18" s="244"/>
      <c r="AJ18" s="244">
        <v>0.1709</v>
      </c>
      <c r="AK18" s="244">
        <v>0.51910000000000001</v>
      </c>
      <c r="AL18" s="244">
        <v>6.7000000000000004E-2</v>
      </c>
      <c r="AM18" s="244">
        <f t="shared" si="0"/>
        <v>0.97199999999999998</v>
      </c>
      <c r="AN18" s="246">
        <v>3.51</v>
      </c>
      <c r="AO18" s="246" t="s">
        <v>170</v>
      </c>
    </row>
    <row r="19" spans="2:41" s="246" customFormat="1" x14ac:dyDescent="0.25">
      <c r="B19" s="246" t="s">
        <v>568</v>
      </c>
      <c r="C19" s="246" t="s">
        <v>500</v>
      </c>
      <c r="D19" s="246" t="s">
        <v>548</v>
      </c>
      <c r="E19" s="246" t="s">
        <v>559</v>
      </c>
      <c r="F19" s="246" t="s">
        <v>565</v>
      </c>
      <c r="G19" s="246" t="s">
        <v>560</v>
      </c>
      <c r="H19" s="246" t="s">
        <v>569</v>
      </c>
      <c r="I19" s="246">
        <v>798</v>
      </c>
      <c r="L19" s="246" t="s">
        <v>523</v>
      </c>
      <c r="N19" s="246" t="s">
        <v>390</v>
      </c>
      <c r="Q19" s="246" t="s">
        <v>168</v>
      </c>
      <c r="R19" s="246" t="s">
        <v>554</v>
      </c>
      <c r="S19" s="246" t="s">
        <v>170</v>
      </c>
      <c r="W19" s="246" t="s">
        <v>571</v>
      </c>
      <c r="X19" s="250">
        <f t="shared" si="2"/>
        <v>0.14119672836848904</v>
      </c>
      <c r="Y19" s="251">
        <f t="shared" si="1"/>
        <v>0.30520878174774002</v>
      </c>
      <c r="Z19" s="251">
        <f t="shared" si="1"/>
        <v>8.52346104175635E-2</v>
      </c>
      <c r="AA19" s="251"/>
      <c r="AB19" s="251">
        <f t="shared" si="1"/>
        <v>0.33792509685751182</v>
      </c>
      <c r="AC19" s="251"/>
      <c r="AD19" s="251">
        <f t="shared" si="1"/>
        <v>0.13043478260869565</v>
      </c>
      <c r="AE19" s="252">
        <f t="shared" si="3"/>
        <v>1</v>
      </c>
      <c r="AF19" s="244">
        <v>6.5600000000000006E-2</v>
      </c>
      <c r="AG19" s="244">
        <v>0.14180000000000001</v>
      </c>
      <c r="AH19" s="244">
        <v>3.9600000000000003E-2</v>
      </c>
      <c r="AI19" s="244"/>
      <c r="AJ19" s="244">
        <v>0.157</v>
      </c>
      <c r="AK19" s="244">
        <v>0.50990000000000002</v>
      </c>
      <c r="AL19" s="244">
        <v>6.0599999999999994E-2</v>
      </c>
      <c r="AM19" s="244">
        <f t="shared" si="0"/>
        <v>0.97450000000000003</v>
      </c>
      <c r="AN19" s="246">
        <v>3.22</v>
      </c>
      <c r="AO19" s="246" t="s">
        <v>170</v>
      </c>
    </row>
    <row r="20" spans="2:41" s="246" customFormat="1" x14ac:dyDescent="0.25">
      <c r="B20" s="246" t="s">
        <v>568</v>
      </c>
      <c r="C20" s="246" t="s">
        <v>500</v>
      </c>
      <c r="D20" s="246" t="s">
        <v>548</v>
      </c>
      <c r="E20" s="246" t="s">
        <v>559</v>
      </c>
      <c r="F20" s="246" t="s">
        <v>572</v>
      </c>
      <c r="G20" s="246" t="s">
        <v>560</v>
      </c>
      <c r="H20" s="246" t="s">
        <v>569</v>
      </c>
      <c r="I20" s="246">
        <v>819</v>
      </c>
      <c r="L20" s="246" t="s">
        <v>523</v>
      </c>
      <c r="N20" s="246" t="s">
        <v>390</v>
      </c>
      <c r="Q20" s="246" t="s">
        <v>168</v>
      </c>
      <c r="R20" s="246" t="s">
        <v>554</v>
      </c>
      <c r="S20" s="246" t="s">
        <v>170</v>
      </c>
      <c r="W20" s="246" t="s">
        <v>573</v>
      </c>
      <c r="X20" s="250">
        <f t="shared" si="2"/>
        <v>0.15134287394628504</v>
      </c>
      <c r="Y20" s="251">
        <f t="shared" si="1"/>
        <v>0.25896882964124679</v>
      </c>
      <c r="Z20" s="251">
        <f t="shared" si="1"/>
        <v>0.13781611448735542</v>
      </c>
      <c r="AA20" s="251"/>
      <c r="AB20" s="251">
        <f t="shared" si="1"/>
        <v>0.32562242697510291</v>
      </c>
      <c r="AC20" s="251"/>
      <c r="AD20" s="251">
        <f t="shared" si="1"/>
        <v>0.12624975495000981</v>
      </c>
      <c r="AE20" s="252">
        <f t="shared" si="3"/>
        <v>0.99999999999999989</v>
      </c>
      <c r="AF20" s="244">
        <v>7.7200000000000005E-2</v>
      </c>
      <c r="AG20" s="244">
        <v>0.1321</v>
      </c>
      <c r="AH20" s="244">
        <v>7.0300000000000001E-2</v>
      </c>
      <c r="AI20" s="244"/>
      <c r="AJ20" s="244">
        <v>0.1661</v>
      </c>
      <c r="AK20" s="244">
        <v>0.46139999999999998</v>
      </c>
      <c r="AL20" s="244">
        <v>6.4399999999999999E-2</v>
      </c>
      <c r="AM20" s="244">
        <f t="shared" si="0"/>
        <v>0.97150000000000003</v>
      </c>
      <c r="AN20" s="246">
        <v>4.3600000000000003</v>
      </c>
      <c r="AO20" s="246" t="s">
        <v>170</v>
      </c>
    </row>
    <row r="21" spans="2:41" s="246" customFormat="1" x14ac:dyDescent="0.25">
      <c r="B21" s="246" t="s">
        <v>574</v>
      </c>
      <c r="C21" s="246" t="s">
        <v>500</v>
      </c>
      <c r="D21" s="246" t="s">
        <v>548</v>
      </c>
      <c r="E21" s="246" t="s">
        <v>575</v>
      </c>
      <c r="F21" s="246" t="s">
        <v>563</v>
      </c>
      <c r="G21" s="246" t="s">
        <v>560</v>
      </c>
      <c r="H21" s="246" t="s">
        <v>576</v>
      </c>
      <c r="I21" s="246">
        <v>791</v>
      </c>
      <c r="L21" s="246" t="s">
        <v>523</v>
      </c>
      <c r="N21" s="246" t="s">
        <v>390</v>
      </c>
      <c r="P21" s="246" t="s">
        <v>577</v>
      </c>
      <c r="Q21" s="246" t="s">
        <v>168</v>
      </c>
      <c r="R21" s="246" t="s">
        <v>554</v>
      </c>
      <c r="S21" s="246" t="s">
        <v>578</v>
      </c>
      <c r="T21" s="253">
        <v>0.95099999999999996</v>
      </c>
      <c r="U21" s="253">
        <v>3.6999999999999998E-2</v>
      </c>
      <c r="V21" s="253">
        <v>1.2E-2</v>
      </c>
      <c r="W21" s="246" t="s">
        <v>579</v>
      </c>
      <c r="X21" s="250">
        <f t="shared" si="2"/>
        <v>0.30321285140562243</v>
      </c>
      <c r="Y21" s="251">
        <f t="shared" si="1"/>
        <v>0.37996430165104861</v>
      </c>
      <c r="Z21" s="251">
        <f t="shared" si="1"/>
        <v>7.0950468540829981E-2</v>
      </c>
      <c r="AA21" s="251"/>
      <c r="AB21" s="251">
        <f t="shared" si="1"/>
        <v>0.19567157518964745</v>
      </c>
      <c r="AC21" s="251"/>
      <c r="AD21" s="251">
        <f t="shared" si="1"/>
        <v>5.0200803212851398E-2</v>
      </c>
      <c r="AE21" s="252">
        <f t="shared" si="3"/>
        <v>0.99999999999999978</v>
      </c>
      <c r="AF21" s="244">
        <v>0.13589999999999999</v>
      </c>
      <c r="AG21" s="244">
        <v>0.17030000000000001</v>
      </c>
      <c r="AH21" s="244">
        <v>3.1800000000000002E-2</v>
      </c>
      <c r="AI21" s="244"/>
      <c r="AJ21" s="244">
        <v>8.77E-2</v>
      </c>
      <c r="AK21" s="244">
        <v>0.54079999999999995</v>
      </c>
      <c r="AL21" s="244">
        <v>2.2499999999999999E-2</v>
      </c>
      <c r="AM21" s="244">
        <f t="shared" si="0"/>
        <v>0.98899999999999988</v>
      </c>
      <c r="AN21" s="246">
        <v>795</v>
      </c>
      <c r="AO21" s="246" t="s">
        <v>170</v>
      </c>
    </row>
    <row r="22" spans="2:41" s="246" customFormat="1" x14ac:dyDescent="0.25">
      <c r="B22" s="246" t="s">
        <v>574</v>
      </c>
      <c r="C22" s="246" t="s">
        <v>500</v>
      </c>
      <c r="D22" s="246" t="s">
        <v>548</v>
      </c>
      <c r="E22" s="246" t="s">
        <v>575</v>
      </c>
      <c r="F22" s="246" t="s">
        <v>580</v>
      </c>
      <c r="G22" s="246" t="s">
        <v>560</v>
      </c>
      <c r="H22" s="246" t="s">
        <v>576</v>
      </c>
      <c r="I22" s="246">
        <v>813</v>
      </c>
      <c r="L22" s="246" t="s">
        <v>523</v>
      </c>
      <c r="N22" s="246" t="s">
        <v>390</v>
      </c>
      <c r="P22" s="246" t="s">
        <v>577</v>
      </c>
      <c r="Q22" s="246" t="s">
        <v>168</v>
      </c>
      <c r="R22" s="246" t="s">
        <v>554</v>
      </c>
      <c r="S22" s="246" t="s">
        <v>581</v>
      </c>
      <c r="T22" s="253">
        <v>0.90400000000000003</v>
      </c>
      <c r="U22" s="253">
        <v>4.8000000000000001E-2</v>
      </c>
      <c r="V22" s="253">
        <v>4.8000000000000001E-2</v>
      </c>
      <c r="W22" s="246" t="s">
        <v>582</v>
      </c>
      <c r="X22" s="250">
        <f t="shared" si="2"/>
        <v>0.25754060324825989</v>
      </c>
      <c r="Y22" s="251">
        <f t="shared" si="1"/>
        <v>0.4860788863109049</v>
      </c>
      <c r="Z22" s="251">
        <f t="shared" si="1"/>
        <v>0.10750193348801237</v>
      </c>
      <c r="AA22" s="251"/>
      <c r="AB22" s="251">
        <f t="shared" si="1"/>
        <v>0.14887857695282289</v>
      </c>
      <c r="AC22" s="251"/>
      <c r="AD22" s="251"/>
      <c r="AE22" s="252">
        <f t="shared" si="3"/>
        <v>1</v>
      </c>
      <c r="AF22" s="244">
        <v>0.13320000000000001</v>
      </c>
      <c r="AG22" s="244">
        <v>0.25140000000000001</v>
      </c>
      <c r="AH22" s="244">
        <v>5.5599999999999997E-2</v>
      </c>
      <c r="AI22" s="244"/>
      <c r="AJ22" s="244">
        <v>7.6999999999999999E-2</v>
      </c>
      <c r="AK22" s="244">
        <v>0.4824</v>
      </c>
      <c r="AL22" s="244"/>
      <c r="AM22" s="244">
        <f t="shared" si="0"/>
        <v>0.99960000000000004</v>
      </c>
      <c r="AN22" s="246">
        <v>11</v>
      </c>
      <c r="AO22" s="246" t="s">
        <v>170</v>
      </c>
    </row>
    <row r="23" spans="2:41" s="246" customFormat="1" x14ac:dyDescent="0.25">
      <c r="B23" s="246" t="s">
        <v>574</v>
      </c>
      <c r="C23" s="246" t="s">
        <v>500</v>
      </c>
      <c r="D23" s="246" t="s">
        <v>548</v>
      </c>
      <c r="E23" s="246" t="s">
        <v>575</v>
      </c>
      <c r="F23" s="246" t="s">
        <v>583</v>
      </c>
      <c r="G23" s="246" t="s">
        <v>560</v>
      </c>
      <c r="H23" s="246" t="s">
        <v>576</v>
      </c>
      <c r="I23" s="246">
        <v>781</v>
      </c>
      <c r="L23" s="246" t="s">
        <v>584</v>
      </c>
      <c r="N23" s="246" t="s">
        <v>390</v>
      </c>
      <c r="P23" s="246" t="s">
        <v>577</v>
      </c>
      <c r="Q23" s="246" t="s">
        <v>168</v>
      </c>
      <c r="R23" s="246" t="s">
        <v>554</v>
      </c>
      <c r="S23" s="246" t="s">
        <v>585</v>
      </c>
      <c r="T23" s="253">
        <v>0.84699999999999998</v>
      </c>
      <c r="U23" s="253">
        <v>0.10199999999999999</v>
      </c>
      <c r="V23" s="253">
        <v>5.0999999999999997E-2</v>
      </c>
      <c r="W23" s="246" t="s">
        <v>586</v>
      </c>
      <c r="X23" s="250">
        <f t="shared" si="2"/>
        <v>0.11809563066776585</v>
      </c>
      <c r="Y23" s="251">
        <f t="shared" si="1"/>
        <v>0.55688375927452582</v>
      </c>
      <c r="Z23" s="251">
        <f t="shared" si="1"/>
        <v>0.17394888705688374</v>
      </c>
      <c r="AA23" s="251"/>
      <c r="AB23" s="251">
        <f t="shared" si="1"/>
        <v>0.15107172300082439</v>
      </c>
      <c r="AC23" s="251"/>
      <c r="AD23" s="251"/>
      <c r="AE23" s="252">
        <f t="shared" si="3"/>
        <v>0.99999999999999978</v>
      </c>
      <c r="AF23" s="244">
        <v>5.7299999999999997E-2</v>
      </c>
      <c r="AG23" s="244">
        <v>0.2702</v>
      </c>
      <c r="AH23" s="244">
        <v>8.4400000000000003E-2</v>
      </c>
      <c r="AI23" s="244"/>
      <c r="AJ23" s="244">
        <v>7.3300000000000004E-2</v>
      </c>
      <c r="AK23" s="244">
        <v>0.51239999999999997</v>
      </c>
      <c r="AL23" s="244"/>
      <c r="AM23" s="244">
        <f t="shared" si="0"/>
        <v>0.99760000000000004</v>
      </c>
      <c r="AN23" s="246">
        <v>48</v>
      </c>
      <c r="AO23" s="246" t="s">
        <v>170</v>
      </c>
    </row>
    <row r="24" spans="2:41" s="246" customFormat="1" x14ac:dyDescent="0.25">
      <c r="B24" s="246" t="s">
        <v>587</v>
      </c>
      <c r="C24" s="246" t="s">
        <v>500</v>
      </c>
      <c r="D24" s="246" t="s">
        <v>525</v>
      </c>
      <c r="E24" s="246" t="s">
        <v>559</v>
      </c>
      <c r="F24" s="246" t="s">
        <v>123</v>
      </c>
      <c r="G24" s="246" t="s">
        <v>560</v>
      </c>
      <c r="H24" s="246" t="s">
        <v>588</v>
      </c>
      <c r="I24" s="246">
        <v>877</v>
      </c>
      <c r="L24" s="246" t="s">
        <v>523</v>
      </c>
      <c r="N24" s="246" t="s">
        <v>390</v>
      </c>
      <c r="P24" s="246" t="s">
        <v>589</v>
      </c>
      <c r="Q24" s="246" t="s">
        <v>590</v>
      </c>
      <c r="R24" s="246" t="s">
        <v>554</v>
      </c>
      <c r="S24" s="246" t="s">
        <v>170</v>
      </c>
      <c r="W24" s="246" t="s">
        <v>591</v>
      </c>
      <c r="X24" s="250">
        <f t="shared" si="2"/>
        <v>0.12392513909964595</v>
      </c>
      <c r="Y24" s="251">
        <f t="shared" si="1"/>
        <v>0.23267577137076378</v>
      </c>
      <c r="Z24" s="251">
        <f t="shared" si="1"/>
        <v>0.28325746079919073</v>
      </c>
      <c r="AA24" s="251"/>
      <c r="AB24" s="251">
        <f t="shared" si="1"/>
        <v>0.23014668689934245</v>
      </c>
      <c r="AC24" s="251"/>
      <c r="AD24" s="251">
        <f t="shared" si="1"/>
        <v>0.12999494183105717</v>
      </c>
      <c r="AE24" s="252">
        <f t="shared" si="3"/>
        <v>1</v>
      </c>
      <c r="AF24" s="244">
        <v>4.9000000000000002E-2</v>
      </c>
      <c r="AG24" s="244">
        <v>9.1999999999999998E-2</v>
      </c>
      <c r="AH24" s="244">
        <v>0.112</v>
      </c>
      <c r="AI24" s="244"/>
      <c r="AJ24" s="244">
        <v>9.0999999999999998E-2</v>
      </c>
      <c r="AK24" s="244"/>
      <c r="AL24" s="244">
        <v>5.1400000000000001E-2</v>
      </c>
      <c r="AM24" s="244">
        <f t="shared" si="0"/>
        <v>0.39539999999999997</v>
      </c>
      <c r="AN24" s="246">
        <v>46060</v>
      </c>
      <c r="AO24" s="246" t="s">
        <v>592</v>
      </c>
    </row>
    <row r="25" spans="2:41" s="246" customFormat="1" x14ac:dyDescent="0.25">
      <c r="B25" s="246" t="s">
        <v>587</v>
      </c>
      <c r="C25" s="246" t="s">
        <v>532</v>
      </c>
      <c r="D25" s="246" t="s">
        <v>525</v>
      </c>
      <c r="E25" s="246" t="s">
        <v>559</v>
      </c>
      <c r="F25" s="246" t="s">
        <v>123</v>
      </c>
      <c r="G25" s="246" t="s">
        <v>593</v>
      </c>
      <c r="H25" s="246" t="s">
        <v>594</v>
      </c>
      <c r="I25" s="246">
        <v>872</v>
      </c>
      <c r="L25" s="246" t="s">
        <v>523</v>
      </c>
      <c r="N25" s="246" t="s">
        <v>390</v>
      </c>
      <c r="P25" s="246" t="s">
        <v>595</v>
      </c>
      <c r="Q25" s="246" t="s">
        <v>590</v>
      </c>
      <c r="R25" s="246" t="s">
        <v>554</v>
      </c>
      <c r="S25" s="246" t="s">
        <v>170</v>
      </c>
      <c r="W25" s="246" t="s">
        <v>596</v>
      </c>
      <c r="X25" s="250">
        <f t="shared" si="2"/>
        <v>0.18007081436519981</v>
      </c>
      <c r="Y25" s="251">
        <f t="shared" si="1"/>
        <v>0.25063227111785535</v>
      </c>
      <c r="Z25" s="251">
        <f t="shared" si="1"/>
        <v>0.27567020738492665</v>
      </c>
      <c r="AA25" s="251"/>
      <c r="AB25" s="251">
        <f t="shared" si="1"/>
        <v>0.19221041982802226</v>
      </c>
      <c r="AC25" s="251"/>
      <c r="AD25" s="251">
        <f t="shared" si="1"/>
        <v>0.10141628730399595</v>
      </c>
      <c r="AE25" s="252">
        <f t="shared" si="3"/>
        <v>1</v>
      </c>
      <c r="AF25" s="244">
        <v>7.1199999999999999E-2</v>
      </c>
      <c r="AG25" s="244">
        <v>9.9099999999999994E-2</v>
      </c>
      <c r="AH25" s="244">
        <v>0.109</v>
      </c>
      <c r="AI25" s="244"/>
      <c r="AJ25" s="244">
        <v>7.5999999999999998E-2</v>
      </c>
      <c r="AK25" s="244"/>
      <c r="AL25" s="244">
        <v>4.0099999999999997E-2</v>
      </c>
      <c r="AM25" s="244">
        <f t="shared" si="0"/>
        <v>0.39539999999999997</v>
      </c>
      <c r="AN25" s="246">
        <v>34240</v>
      </c>
      <c r="AO25" s="246" t="s">
        <v>597</v>
      </c>
    </row>
    <row r="26" spans="2:41" x14ac:dyDescent="0.25">
      <c r="B26" t="s">
        <v>598</v>
      </c>
      <c r="C26" t="s">
        <v>599</v>
      </c>
      <c r="D26" t="s">
        <v>219</v>
      </c>
      <c r="F26" t="s">
        <v>600</v>
      </c>
      <c r="G26" t="s">
        <v>19</v>
      </c>
      <c r="H26" t="s">
        <v>601</v>
      </c>
      <c r="I26">
        <v>450</v>
      </c>
      <c r="J26" s="254" t="s">
        <v>602</v>
      </c>
      <c r="L26" t="s">
        <v>603</v>
      </c>
      <c r="R26" t="s">
        <v>170</v>
      </c>
      <c r="S26" t="s">
        <v>170</v>
      </c>
      <c r="W26" t="s">
        <v>604</v>
      </c>
      <c r="X26" s="243"/>
      <c r="Y26" s="243">
        <v>7.5999999999999998E-2</v>
      </c>
      <c r="Z26" s="243">
        <v>0.27450000000000002</v>
      </c>
      <c r="AA26" s="243"/>
      <c r="AB26" s="243">
        <v>0.60450000000000004</v>
      </c>
      <c r="AC26" s="243"/>
      <c r="AD26" s="170">
        <v>9.1649999999999995E-2</v>
      </c>
      <c r="AE26" s="243">
        <f t="shared" si="3"/>
        <v>1.0466500000000001</v>
      </c>
      <c r="AF26" s="244"/>
      <c r="AG26" s="244">
        <v>7.5999999999999998E-2</v>
      </c>
      <c r="AH26" s="244">
        <v>0.27450000000000002</v>
      </c>
      <c r="AI26" s="244"/>
      <c r="AJ26" s="244">
        <v>0.60450000000000004</v>
      </c>
      <c r="AK26" s="244"/>
      <c r="AL26" s="244">
        <v>9.1649999999999995E-2</v>
      </c>
      <c r="AM26" s="244">
        <f t="shared" si="0"/>
        <v>1.0466500000000001</v>
      </c>
      <c r="AN26" t="s">
        <v>170</v>
      </c>
      <c r="AO26" t="s">
        <v>170</v>
      </c>
    </row>
    <row r="27" spans="2:41" x14ac:dyDescent="0.25">
      <c r="B27" t="s">
        <v>598</v>
      </c>
      <c r="C27" t="s">
        <v>599</v>
      </c>
      <c r="D27" t="s">
        <v>219</v>
      </c>
      <c r="F27" t="s">
        <v>600</v>
      </c>
      <c r="G27" t="s">
        <v>17</v>
      </c>
      <c r="H27" t="s">
        <v>605</v>
      </c>
      <c r="I27">
        <v>450</v>
      </c>
      <c r="J27" t="s">
        <v>602</v>
      </c>
      <c r="L27" t="s">
        <v>603</v>
      </c>
      <c r="R27" t="s">
        <v>170</v>
      </c>
      <c r="S27" t="s">
        <v>170</v>
      </c>
      <c r="W27" t="s">
        <v>606</v>
      </c>
      <c r="X27" s="243"/>
      <c r="Y27" s="243">
        <v>0.10299999999999999</v>
      </c>
      <c r="Z27" s="243">
        <v>0.29399999999999998</v>
      </c>
      <c r="AA27" s="243"/>
      <c r="AB27" s="243">
        <v>0.55000000000000004</v>
      </c>
      <c r="AC27" s="243"/>
      <c r="AD27" s="170">
        <v>0.10009999999999999</v>
      </c>
      <c r="AE27" s="243">
        <f t="shared" si="3"/>
        <v>1.0471000000000001</v>
      </c>
      <c r="AF27" s="244"/>
      <c r="AG27" s="244">
        <v>0.10299999999999999</v>
      </c>
      <c r="AH27" s="244">
        <v>0.29399999999999998</v>
      </c>
      <c r="AI27" s="244"/>
      <c r="AJ27" s="244">
        <v>0.55000000000000004</v>
      </c>
      <c r="AK27" s="244"/>
      <c r="AL27" s="244">
        <v>0.10009999999999999</v>
      </c>
      <c r="AM27" s="244">
        <f t="shared" si="0"/>
        <v>1.0471000000000001</v>
      </c>
      <c r="AN27" t="s">
        <v>170</v>
      </c>
      <c r="AO27" t="s">
        <v>170</v>
      </c>
    </row>
    <row r="28" spans="2:41" x14ac:dyDescent="0.25">
      <c r="B28" t="s">
        <v>598</v>
      </c>
      <c r="C28" t="s">
        <v>599</v>
      </c>
      <c r="D28" t="s">
        <v>219</v>
      </c>
      <c r="F28" t="s">
        <v>600</v>
      </c>
      <c r="G28" t="s">
        <v>21</v>
      </c>
      <c r="H28" t="s">
        <v>607</v>
      </c>
      <c r="I28">
        <v>450</v>
      </c>
      <c r="J28" t="s">
        <v>602</v>
      </c>
      <c r="L28" t="s">
        <v>603</v>
      </c>
      <c r="R28" t="s">
        <v>170</v>
      </c>
      <c r="S28" t="s">
        <v>170</v>
      </c>
      <c r="W28" t="s">
        <v>608</v>
      </c>
      <c r="X28" s="243"/>
      <c r="Y28" s="243">
        <v>6.7500000000000004E-2</v>
      </c>
      <c r="Z28" s="243">
        <v>0.28399999999999997</v>
      </c>
      <c r="AA28" s="243"/>
      <c r="AB28" s="243">
        <v>0.58099999999999996</v>
      </c>
      <c r="AC28" s="243"/>
      <c r="AD28" s="170">
        <v>0.13519999999999999</v>
      </c>
      <c r="AE28" s="243">
        <f t="shared" si="3"/>
        <v>1.0676999999999999</v>
      </c>
      <c r="AF28" s="244"/>
      <c r="AG28" s="244">
        <v>6.7500000000000004E-2</v>
      </c>
      <c r="AH28" s="244">
        <v>0.28399999999999997</v>
      </c>
      <c r="AI28" s="244"/>
      <c r="AJ28" s="244">
        <v>0.58099999999999996</v>
      </c>
      <c r="AK28" s="244"/>
      <c r="AL28" s="244">
        <v>0.13519999999999999</v>
      </c>
      <c r="AM28" s="244">
        <f t="shared" si="0"/>
        <v>1.0676999999999999</v>
      </c>
      <c r="AN28" t="s">
        <v>170</v>
      </c>
      <c r="AO28" t="s">
        <v>170</v>
      </c>
    </row>
    <row r="29" spans="2:41" x14ac:dyDescent="0.25">
      <c r="B29" t="s">
        <v>598</v>
      </c>
      <c r="C29" t="s">
        <v>599</v>
      </c>
      <c r="D29" t="s">
        <v>219</v>
      </c>
      <c r="F29" t="s">
        <v>600</v>
      </c>
      <c r="G29" t="s">
        <v>22</v>
      </c>
      <c r="H29" t="s">
        <v>609</v>
      </c>
      <c r="I29">
        <v>450</v>
      </c>
      <c r="J29" t="s">
        <v>602</v>
      </c>
      <c r="L29" t="s">
        <v>603</v>
      </c>
      <c r="R29" t="s">
        <v>170</v>
      </c>
      <c r="S29" t="s">
        <v>170</v>
      </c>
      <c r="W29" t="s">
        <v>610</v>
      </c>
      <c r="X29" s="243"/>
      <c r="Y29" s="243">
        <v>6.0900000000000003E-2</v>
      </c>
      <c r="Z29" s="243">
        <v>0.40500000000000003</v>
      </c>
      <c r="AA29" s="243"/>
      <c r="AB29" s="243">
        <v>0.53100000000000003</v>
      </c>
      <c r="AC29" s="243"/>
      <c r="AD29" s="170">
        <v>4.4000000000000003E-3</v>
      </c>
      <c r="AE29" s="243">
        <f t="shared" si="3"/>
        <v>1.0013000000000001</v>
      </c>
      <c r="AF29" s="244"/>
      <c r="AG29" s="244">
        <v>6.0900000000000003E-2</v>
      </c>
      <c r="AH29" s="244">
        <v>0.40500000000000003</v>
      </c>
      <c r="AI29" s="244"/>
      <c r="AJ29" s="244">
        <v>0.53100000000000003</v>
      </c>
      <c r="AK29" s="244"/>
      <c r="AL29" s="244">
        <v>4.4000000000000003E-3</v>
      </c>
      <c r="AM29" s="244">
        <f t="shared" si="0"/>
        <v>1.0013000000000001</v>
      </c>
      <c r="AN29" t="s">
        <v>170</v>
      </c>
      <c r="AO29" t="s">
        <v>170</v>
      </c>
    </row>
    <row r="30" spans="2:41" s="246" customFormat="1" x14ac:dyDescent="0.25">
      <c r="B30" s="246" t="s">
        <v>611</v>
      </c>
      <c r="C30" s="246" t="s">
        <v>500</v>
      </c>
      <c r="D30" s="246" t="s">
        <v>260</v>
      </c>
      <c r="F30" s="246" t="s">
        <v>123</v>
      </c>
      <c r="G30" s="246" t="s">
        <v>355</v>
      </c>
      <c r="H30" s="246" t="s">
        <v>612</v>
      </c>
      <c r="I30" s="246">
        <v>900</v>
      </c>
      <c r="L30" s="246" t="s">
        <v>523</v>
      </c>
      <c r="N30" s="246" t="s">
        <v>390</v>
      </c>
      <c r="O30" s="246" t="s">
        <v>368</v>
      </c>
      <c r="P30" s="246" t="s">
        <v>613</v>
      </c>
      <c r="Q30" s="246" t="s">
        <v>168</v>
      </c>
      <c r="R30" s="246" t="s">
        <v>170</v>
      </c>
      <c r="S30" s="246" t="s">
        <v>170</v>
      </c>
      <c r="W30" s="246" t="s">
        <v>614</v>
      </c>
      <c r="X30" s="250">
        <f t="shared" ref="X30:Y33" si="4">AF30/SUM($AF30:$AJ30,$AL30)</f>
        <v>0.36462882096069871</v>
      </c>
      <c r="Y30" s="251">
        <f t="shared" si="4"/>
        <v>0.42030567685589526</v>
      </c>
      <c r="Z30" s="251"/>
      <c r="AA30" s="251"/>
      <c r="AB30" s="251">
        <f>AJ30/SUM($AF30:$AJ30,$AL30)</f>
        <v>0.21506550218340614</v>
      </c>
      <c r="AC30" s="251"/>
      <c r="AD30" s="251"/>
      <c r="AE30" s="252">
        <f t="shared" si="3"/>
        <v>1</v>
      </c>
      <c r="AF30" s="244">
        <v>3.3399999999999999E-2</v>
      </c>
      <c r="AG30" s="244">
        <v>3.85E-2</v>
      </c>
      <c r="AH30" s="244"/>
      <c r="AI30" s="244"/>
      <c r="AJ30" s="244">
        <v>1.9699999999999999E-2</v>
      </c>
      <c r="AK30" s="244"/>
      <c r="AL30" s="244"/>
      <c r="AM30" s="244">
        <f t="shared" si="0"/>
        <v>9.1599999999999987E-2</v>
      </c>
      <c r="AN30" s="246" t="s">
        <v>170</v>
      </c>
      <c r="AO30" s="246" t="s">
        <v>170</v>
      </c>
    </row>
    <row r="31" spans="2:41" s="246" customFormat="1" x14ac:dyDescent="0.25">
      <c r="B31" s="246" t="s">
        <v>611</v>
      </c>
      <c r="C31" s="246" t="s">
        <v>500</v>
      </c>
      <c r="D31" s="246" t="s">
        <v>260</v>
      </c>
      <c r="F31" s="246" t="s">
        <v>615</v>
      </c>
      <c r="G31" s="246" t="s">
        <v>355</v>
      </c>
      <c r="H31" s="246" t="s">
        <v>612</v>
      </c>
      <c r="I31" s="246">
        <v>900</v>
      </c>
      <c r="L31" s="246" t="s">
        <v>523</v>
      </c>
      <c r="N31" s="246" t="s">
        <v>390</v>
      </c>
      <c r="O31" s="246" t="s">
        <v>368</v>
      </c>
      <c r="P31" s="246" t="s">
        <v>613</v>
      </c>
      <c r="Q31" s="246" t="s">
        <v>168</v>
      </c>
      <c r="R31" s="246" t="s">
        <v>170</v>
      </c>
      <c r="S31" s="246" t="s">
        <v>170</v>
      </c>
      <c r="W31" s="246" t="s">
        <v>616</v>
      </c>
      <c r="X31" s="250">
        <f t="shared" si="4"/>
        <v>0.28938471940500338</v>
      </c>
      <c r="Y31" s="251">
        <f t="shared" si="4"/>
        <v>0.32657200811359027</v>
      </c>
      <c r="Z31" s="251"/>
      <c r="AA31" s="251"/>
      <c r="AB31" s="251">
        <f>AJ31/SUM($AF31:$AJ31,$AL31)</f>
        <v>0.38404327248140635</v>
      </c>
      <c r="AC31" s="251"/>
      <c r="AD31" s="251"/>
      <c r="AE31" s="252">
        <f t="shared" si="3"/>
        <v>1</v>
      </c>
      <c r="AF31" s="244">
        <v>4.2799999999999998E-2</v>
      </c>
      <c r="AG31" s="244">
        <v>4.8300000000000003E-2</v>
      </c>
      <c r="AH31" s="244"/>
      <c r="AI31" s="244"/>
      <c r="AJ31" s="244">
        <v>5.6800000000000003E-2</v>
      </c>
      <c r="AK31" s="244"/>
      <c r="AL31" s="244"/>
      <c r="AM31" s="244">
        <f t="shared" si="0"/>
        <v>0.1479</v>
      </c>
      <c r="AN31" s="246" t="s">
        <v>170</v>
      </c>
      <c r="AO31" s="246" t="s">
        <v>170</v>
      </c>
    </row>
    <row r="32" spans="2:41" s="246" customFormat="1" x14ac:dyDescent="0.25">
      <c r="B32" s="246" t="s">
        <v>611</v>
      </c>
      <c r="C32" s="246" t="s">
        <v>500</v>
      </c>
      <c r="D32" s="246" t="s">
        <v>548</v>
      </c>
      <c r="E32" s="246" t="s">
        <v>559</v>
      </c>
      <c r="F32" s="246" t="s">
        <v>123</v>
      </c>
      <c r="G32" s="246" t="s">
        <v>355</v>
      </c>
      <c r="H32" s="246" t="s">
        <v>612</v>
      </c>
      <c r="I32" s="246">
        <v>900</v>
      </c>
      <c r="L32" s="246" t="s">
        <v>523</v>
      </c>
      <c r="N32" s="246" t="s">
        <v>390</v>
      </c>
      <c r="O32" s="246" t="s">
        <v>368</v>
      </c>
      <c r="P32" s="246" t="s">
        <v>613</v>
      </c>
      <c r="Q32" s="246" t="s">
        <v>168</v>
      </c>
      <c r="R32" s="246" t="s">
        <v>170</v>
      </c>
      <c r="S32" s="246" t="s">
        <v>170</v>
      </c>
      <c r="W32" s="246" t="s">
        <v>617</v>
      </c>
      <c r="X32" s="250">
        <f t="shared" si="4"/>
        <v>0.16068052930056712</v>
      </c>
      <c r="Y32" s="251">
        <f t="shared" si="4"/>
        <v>0.29631379962192816</v>
      </c>
      <c r="Z32" s="251"/>
      <c r="AA32" s="251"/>
      <c r="AB32" s="251">
        <f>AJ32/SUM($AF32:$AJ32,$AL32)</f>
        <v>0.23818525519848771</v>
      </c>
      <c r="AC32" s="251"/>
      <c r="AD32" s="251">
        <f>AL32/SUM($AF32:$AJ32,$AL32)</f>
        <v>0.30482041587901698</v>
      </c>
      <c r="AE32" s="252">
        <f t="shared" si="3"/>
        <v>0.99999999999999989</v>
      </c>
      <c r="AF32" s="244">
        <v>3.4000000000000002E-2</v>
      </c>
      <c r="AG32" s="244">
        <v>6.2700000000000006E-2</v>
      </c>
      <c r="AH32" s="244"/>
      <c r="AI32" s="244"/>
      <c r="AJ32" s="244">
        <v>5.04E-2</v>
      </c>
      <c r="AK32" s="244"/>
      <c r="AL32" s="244">
        <v>6.4500000000000002E-2</v>
      </c>
      <c r="AM32" s="244">
        <f t="shared" si="0"/>
        <v>0.21160000000000001</v>
      </c>
      <c r="AN32" s="246" t="s">
        <v>170</v>
      </c>
      <c r="AO32" s="246" t="s">
        <v>170</v>
      </c>
    </row>
    <row r="33" spans="2:41" s="246" customFormat="1" x14ac:dyDescent="0.25">
      <c r="B33" s="246" t="s">
        <v>611</v>
      </c>
      <c r="C33" s="246" t="s">
        <v>500</v>
      </c>
      <c r="D33" s="246" t="s">
        <v>548</v>
      </c>
      <c r="E33" s="246" t="s">
        <v>559</v>
      </c>
      <c r="F33" s="246" t="s">
        <v>615</v>
      </c>
      <c r="G33" s="246" t="s">
        <v>355</v>
      </c>
      <c r="H33" s="246" t="s">
        <v>612</v>
      </c>
      <c r="I33" s="246">
        <v>900</v>
      </c>
      <c r="L33" s="246" t="s">
        <v>523</v>
      </c>
      <c r="N33" s="246" t="s">
        <v>390</v>
      </c>
      <c r="O33" s="246" t="s">
        <v>368</v>
      </c>
      <c r="P33" s="246" t="s">
        <v>613</v>
      </c>
      <c r="Q33" s="246" t="s">
        <v>168</v>
      </c>
      <c r="R33" s="246" t="s">
        <v>170</v>
      </c>
      <c r="S33" s="246" t="s">
        <v>170</v>
      </c>
      <c r="W33" s="246" t="s">
        <v>618</v>
      </c>
      <c r="X33" s="250">
        <f t="shared" si="4"/>
        <v>0.27462806594290312</v>
      </c>
      <c r="Y33" s="251">
        <f t="shared" si="4"/>
        <v>0.25894652191395257</v>
      </c>
      <c r="Z33" s="251"/>
      <c r="AA33" s="251"/>
      <c r="AB33" s="251">
        <f>AJ33/SUM($AF33:$AJ33,$AL33)</f>
        <v>0.2070767993566546</v>
      </c>
      <c r="AC33" s="251"/>
      <c r="AD33" s="251">
        <f>AL33/SUM($AF33:$AJ33,$AL33)</f>
        <v>0.2593486127864898</v>
      </c>
      <c r="AE33" s="252">
        <f t="shared" si="3"/>
        <v>1</v>
      </c>
      <c r="AF33" s="244">
        <v>6.83E-2</v>
      </c>
      <c r="AG33" s="244">
        <v>6.4399999999999999E-2</v>
      </c>
      <c r="AH33" s="244"/>
      <c r="AI33" s="244"/>
      <c r="AJ33" s="244">
        <v>5.1499999999999997E-2</v>
      </c>
      <c r="AK33" s="244"/>
      <c r="AL33" s="244">
        <v>6.4500000000000002E-2</v>
      </c>
      <c r="AM33" s="244">
        <f t="shared" si="0"/>
        <v>0.24869999999999998</v>
      </c>
      <c r="AN33" s="246" t="s">
        <v>170</v>
      </c>
      <c r="AO33" s="246" t="s">
        <v>170</v>
      </c>
    </row>
    <row r="34" spans="2:41" x14ac:dyDescent="0.25">
      <c r="B34" t="s">
        <v>619</v>
      </c>
      <c r="C34" t="s">
        <v>500</v>
      </c>
      <c r="D34" t="s">
        <v>620</v>
      </c>
      <c r="E34" t="s">
        <v>621</v>
      </c>
      <c r="F34" t="s">
        <v>123</v>
      </c>
      <c r="G34" t="s">
        <v>355</v>
      </c>
      <c r="H34" t="s">
        <v>622</v>
      </c>
      <c r="I34">
        <v>790</v>
      </c>
      <c r="L34" t="s">
        <v>125</v>
      </c>
      <c r="N34" t="s">
        <v>390</v>
      </c>
      <c r="O34" t="s">
        <v>368</v>
      </c>
      <c r="Q34" t="s">
        <v>623</v>
      </c>
      <c r="R34" t="s">
        <v>554</v>
      </c>
      <c r="S34" t="s">
        <v>624</v>
      </c>
      <c r="T34" s="243">
        <f>55%/(55%+10%+15%)</f>
        <v>0.6875</v>
      </c>
      <c r="V34" s="243">
        <f>10%/(55%+10%+15%)</f>
        <v>0.125</v>
      </c>
      <c r="W34" t="s">
        <v>625</v>
      </c>
      <c r="X34" s="243">
        <v>0.121</v>
      </c>
      <c r="Y34" s="243">
        <v>0.24199999999999999</v>
      </c>
      <c r="Z34" s="243">
        <v>0.39400000000000002</v>
      </c>
      <c r="AA34" s="243"/>
      <c r="AB34" s="243">
        <v>0.121</v>
      </c>
      <c r="AC34" s="243"/>
      <c r="AD34" s="170">
        <v>0.121</v>
      </c>
      <c r="AE34" s="243">
        <f t="shared" si="3"/>
        <v>0.999</v>
      </c>
      <c r="AF34" s="244">
        <v>0.121</v>
      </c>
      <c r="AG34" s="244">
        <v>0.24199999999999999</v>
      </c>
      <c r="AH34" s="244">
        <v>0.39400000000000002</v>
      </c>
      <c r="AI34" s="244"/>
      <c r="AJ34" s="244">
        <v>0.121</v>
      </c>
      <c r="AK34" s="244"/>
      <c r="AL34" s="244">
        <v>0.121</v>
      </c>
      <c r="AM34" s="244">
        <f t="shared" si="0"/>
        <v>0.999</v>
      </c>
      <c r="AN34" t="s">
        <v>170</v>
      </c>
      <c r="AO34" t="s">
        <v>626</v>
      </c>
    </row>
    <row r="35" spans="2:41" x14ac:dyDescent="0.25">
      <c r="B35" t="s">
        <v>619</v>
      </c>
      <c r="C35" t="s">
        <v>500</v>
      </c>
      <c r="D35" t="s">
        <v>620</v>
      </c>
      <c r="E35" t="s">
        <v>549</v>
      </c>
      <c r="F35" t="s">
        <v>123</v>
      </c>
      <c r="G35" t="s">
        <v>355</v>
      </c>
      <c r="H35" t="s">
        <v>622</v>
      </c>
      <c r="I35">
        <v>840</v>
      </c>
      <c r="L35" t="s">
        <v>125</v>
      </c>
      <c r="N35" t="s">
        <v>390</v>
      </c>
      <c r="O35" t="s">
        <v>368</v>
      </c>
      <c r="Q35" t="s">
        <v>623</v>
      </c>
      <c r="R35" t="s">
        <v>554</v>
      </c>
      <c r="S35" t="s">
        <v>627</v>
      </c>
      <c r="T35" s="243">
        <f>60%/(60%+10%+10%)</f>
        <v>0.75</v>
      </c>
      <c r="V35" s="243">
        <f>10%/(60%+10%+10%)</f>
        <v>0.12500000000000003</v>
      </c>
      <c r="W35" t="s">
        <v>628</v>
      </c>
      <c r="X35" s="243">
        <v>0.121</v>
      </c>
      <c r="Y35" s="243">
        <v>0.24199999999999999</v>
      </c>
      <c r="Z35" s="243">
        <v>0.39400000000000002</v>
      </c>
      <c r="AA35" s="243"/>
      <c r="AB35" s="243">
        <v>0.13600000000000001</v>
      </c>
      <c r="AC35" s="243"/>
      <c r="AD35" s="170">
        <v>0.106</v>
      </c>
      <c r="AE35" s="243">
        <f t="shared" si="3"/>
        <v>0.999</v>
      </c>
      <c r="AF35" s="244">
        <v>0.121</v>
      </c>
      <c r="AG35" s="244">
        <v>0.24199999999999999</v>
      </c>
      <c r="AH35" s="244">
        <v>0.39400000000000002</v>
      </c>
      <c r="AI35" s="244"/>
      <c r="AJ35" s="244">
        <v>0.13600000000000001</v>
      </c>
      <c r="AK35" s="244"/>
      <c r="AL35" s="244">
        <v>0.106</v>
      </c>
      <c r="AM35" s="244">
        <f t="shared" si="0"/>
        <v>0.999</v>
      </c>
      <c r="AN35" t="s">
        <v>170</v>
      </c>
      <c r="AO35" t="s">
        <v>629</v>
      </c>
    </row>
    <row r="36" spans="2:41" s="246" customFormat="1" x14ac:dyDescent="0.25">
      <c r="B36" s="246" t="s">
        <v>387</v>
      </c>
      <c r="C36" s="246" t="s">
        <v>500</v>
      </c>
      <c r="D36" s="246" t="s">
        <v>630</v>
      </c>
      <c r="F36" s="246" t="s">
        <v>123</v>
      </c>
      <c r="G36" s="246" t="s">
        <v>355</v>
      </c>
      <c r="H36" s="246" t="s">
        <v>389</v>
      </c>
      <c r="I36" s="246">
        <v>700</v>
      </c>
      <c r="L36" s="246" t="s">
        <v>631</v>
      </c>
      <c r="N36" s="246" t="s">
        <v>632</v>
      </c>
      <c r="O36" s="246" t="s">
        <v>368</v>
      </c>
      <c r="P36" s="246" t="s">
        <v>391</v>
      </c>
      <c r="Q36" s="246" t="s">
        <v>633</v>
      </c>
      <c r="R36" s="246" t="s">
        <v>634</v>
      </c>
      <c r="S36" s="246" t="s">
        <v>170</v>
      </c>
      <c r="W36" s="246" t="s">
        <v>635</v>
      </c>
      <c r="X36" s="250">
        <f>AF36/SUM($AF36:$AJ36,$AL36)</f>
        <v>0.53265121877821242</v>
      </c>
      <c r="Y36" s="251">
        <f>AG36/SUM($AF36:$AJ36,$AL36)</f>
        <v>0.21667168221486605</v>
      </c>
      <c r="Z36" s="251">
        <f>AH36/SUM($AF36:$AJ36,$AL36)</f>
        <v>0.18025880228708996</v>
      </c>
      <c r="AA36" s="251"/>
      <c r="AB36" s="251">
        <f>AJ36/SUM($AF36:$AJ36,$AL36)</f>
        <v>3.9121275955461929E-2</v>
      </c>
      <c r="AC36" s="251"/>
      <c r="AD36" s="251">
        <f>AL36/SUM($AF36:$AJ36,$AL36)</f>
        <v>3.1297020764369542E-2</v>
      </c>
      <c r="AE36" s="252">
        <f t="shared" si="3"/>
        <v>0.99999999999999978</v>
      </c>
      <c r="AF36" s="244">
        <v>0.35399999999999998</v>
      </c>
      <c r="AG36" s="244">
        <v>0.14399999999999999</v>
      </c>
      <c r="AH36" s="244">
        <v>0.1198</v>
      </c>
      <c r="AI36" s="244"/>
      <c r="AJ36" s="244">
        <v>2.5999999999999999E-2</v>
      </c>
      <c r="AK36" s="244"/>
      <c r="AL36" s="244">
        <v>2.0799999999999999E-2</v>
      </c>
      <c r="AM36" s="244">
        <f t="shared" si="0"/>
        <v>0.66460000000000008</v>
      </c>
      <c r="AN36" s="246" t="s">
        <v>170</v>
      </c>
      <c r="AO36" s="246" t="s">
        <v>170</v>
      </c>
    </row>
    <row r="37" spans="2:41" x14ac:dyDescent="0.25">
      <c r="X37" s="15"/>
      <c r="Y37" s="19"/>
      <c r="Z37" s="19"/>
      <c r="AA37" s="19"/>
      <c r="AB37" s="19"/>
      <c r="AC37" s="19"/>
      <c r="AD37" s="19"/>
      <c r="AE37" s="27"/>
      <c r="AF37" s="244"/>
      <c r="AG37" s="244"/>
      <c r="AH37" s="244"/>
      <c r="AI37" s="244"/>
      <c r="AJ37" s="244"/>
      <c r="AK37" s="244"/>
      <c r="AL37" s="244"/>
      <c r="AM37" s="244"/>
    </row>
    <row r="38" spans="2:41" x14ac:dyDescent="0.25">
      <c r="B38" s="165" t="s">
        <v>412</v>
      </c>
      <c r="T38" s="169">
        <f>_xlfn.QUARTILE.INC(T$2:T$36,0)</f>
        <v>0.6875</v>
      </c>
      <c r="U38" s="169">
        <f>_xlfn.QUARTILE.INC(U$2:U$36,0)</f>
        <v>3.6999999999999998E-2</v>
      </c>
      <c r="V38" s="169">
        <f>_xlfn.QUARTILE.INC(V$2:V$36,0)</f>
        <v>1.2E-2</v>
      </c>
      <c r="X38" s="169">
        <f t="shared" ref="X38:AD38" si="5">_xlfn.QUARTILE.INC(X$2:X$36,0)</f>
        <v>7.93296089385475E-2</v>
      </c>
      <c r="Y38" s="169">
        <f t="shared" si="5"/>
        <v>6.0900000000000003E-2</v>
      </c>
      <c r="Z38" s="169">
        <f t="shared" si="5"/>
        <v>2.4300441826215026E-2</v>
      </c>
      <c r="AA38" s="169">
        <f t="shared" si="5"/>
        <v>0.14599999999999999</v>
      </c>
      <c r="AB38" s="169">
        <f t="shared" si="5"/>
        <v>8.0000000000000004E-4</v>
      </c>
      <c r="AC38" s="169">
        <f t="shared" si="5"/>
        <v>7.0000000000000001E-3</v>
      </c>
      <c r="AD38" s="169">
        <f t="shared" si="5"/>
        <v>4.4000000000000003E-3</v>
      </c>
      <c r="AE38" s="27"/>
      <c r="AF38" s="255">
        <f t="shared" ref="AF38:AL38" si="6">_xlfn.QUARTILE.INC(AF$2:AF$36,0)</f>
        <v>2.8400000000000002E-2</v>
      </c>
      <c r="AG38" s="255">
        <f t="shared" si="6"/>
        <v>3.85E-2</v>
      </c>
      <c r="AH38" s="255">
        <f t="shared" si="6"/>
        <v>9.9000000000000008E-3</v>
      </c>
      <c r="AI38" s="255">
        <f t="shared" si="6"/>
        <v>0.14599999999999999</v>
      </c>
      <c r="AJ38" s="255">
        <f t="shared" si="6"/>
        <v>8.0000000000000004E-4</v>
      </c>
      <c r="AK38" s="255">
        <f t="shared" si="6"/>
        <v>7.0000000000000001E-3</v>
      </c>
      <c r="AL38" s="255">
        <f t="shared" si="6"/>
        <v>4.4000000000000003E-3</v>
      </c>
      <c r="AM38" s="255"/>
    </row>
    <row r="39" spans="2:41" x14ac:dyDescent="0.25">
      <c r="B39" s="165" t="s">
        <v>413</v>
      </c>
      <c r="T39" s="169">
        <f>_xlfn.QUARTILE.INC(T$2:T$36,1)</f>
        <v>0.75</v>
      </c>
      <c r="U39" s="169">
        <f>_xlfn.QUARTILE.INC(U$2:U$36,1)</f>
        <v>4.2499999999999996E-2</v>
      </c>
      <c r="V39" s="169">
        <f>_xlfn.QUARTILE.INC(V$2:V$36,1)</f>
        <v>4.8000000000000001E-2</v>
      </c>
      <c r="X39" s="169">
        <f t="shared" ref="X39:AD39" si="7">_xlfn.QUARTILE.INC(X$2:X$36,1)</f>
        <v>0.13687883105127827</v>
      </c>
      <c r="Y39" s="169">
        <f t="shared" si="7"/>
        <v>0.24199999999999999</v>
      </c>
      <c r="Z39" s="169">
        <f t="shared" si="7"/>
        <v>0.10193510272040016</v>
      </c>
      <c r="AA39" s="169">
        <f t="shared" si="7"/>
        <v>0.17799999999999999</v>
      </c>
      <c r="AB39" s="169">
        <f t="shared" si="7"/>
        <v>0.13690889132821077</v>
      </c>
      <c r="AC39" s="169">
        <f t="shared" si="7"/>
        <v>8.9999999999999993E-3</v>
      </c>
      <c r="AD39" s="169">
        <f t="shared" si="7"/>
        <v>5.2373209652770369E-2</v>
      </c>
      <c r="AE39" s="27"/>
      <c r="AF39" s="255">
        <f t="shared" ref="AF39:AL39" si="8">_xlfn.QUARTILE.INC(AF$2:AF$36,1)</f>
        <v>5.5574999999999999E-2</v>
      </c>
      <c r="AG39" s="255">
        <f t="shared" si="8"/>
        <v>8.7999999999999995E-2</v>
      </c>
      <c r="AH39" s="255">
        <f t="shared" si="8"/>
        <v>4.8849999999999998E-2</v>
      </c>
      <c r="AI39" s="255">
        <f t="shared" si="8"/>
        <v>0.17799999999999999</v>
      </c>
      <c r="AJ39" s="255">
        <f t="shared" si="8"/>
        <v>5.1225E-2</v>
      </c>
      <c r="AK39" s="255">
        <f t="shared" si="8"/>
        <v>0.45300000000000001</v>
      </c>
      <c r="AL39" s="255">
        <f t="shared" si="8"/>
        <v>2.3625E-2</v>
      </c>
      <c r="AM39" s="255"/>
    </row>
    <row r="40" spans="2:41" x14ac:dyDescent="0.25">
      <c r="B40" s="165" t="s">
        <v>414</v>
      </c>
      <c r="T40" s="169">
        <f>_xlfn.QUARTILE.INC(T$2:T$36,2)</f>
        <v>0.84699999999999998</v>
      </c>
      <c r="U40" s="169">
        <f>_xlfn.QUARTILE.INC(U$2:U$36,2)</f>
        <v>4.8000000000000001E-2</v>
      </c>
      <c r="V40" s="169">
        <f>_xlfn.QUARTILE.INC(V$2:V$36,2)</f>
        <v>5.0999999999999997E-2</v>
      </c>
      <c r="X40" s="169">
        <f t="shared" ref="X40:AD40" si="9">_xlfn.QUARTILE.INC(X$2:X$36,2)</f>
        <v>0.24349229487713453</v>
      </c>
      <c r="Y40" s="169">
        <f>_xlfn.QUARTILE.INC(Y$2:Y$36,2)</f>
        <v>0.29466527969923223</v>
      </c>
      <c r="Z40" s="169">
        <f t="shared" si="9"/>
        <v>0.14540805724367772</v>
      </c>
      <c r="AA40" s="169">
        <f t="shared" si="9"/>
        <v>0.21</v>
      </c>
      <c r="AB40" s="169">
        <f>_xlfn.QUARTILE.INC(AB$2:AB$36,2)</f>
        <v>0.20137418727315104</v>
      </c>
      <c r="AC40" s="169">
        <f t="shared" si="9"/>
        <v>1.0999999999999999E-2</v>
      </c>
      <c r="AD40" s="169">
        <f t="shared" si="9"/>
        <v>0.10712371134020618</v>
      </c>
      <c r="AE40" s="27"/>
      <c r="AF40" s="255">
        <f t="shared" ref="AF40:AL40" si="10">_xlfn.QUARTILE.INC(AF$2:AF$36,2)</f>
        <v>0.10364999999999999</v>
      </c>
      <c r="AG40" s="255">
        <f t="shared" si="10"/>
        <v>0.13940000000000002</v>
      </c>
      <c r="AH40" s="255">
        <f t="shared" si="10"/>
        <v>8.2000000000000003E-2</v>
      </c>
      <c r="AI40" s="255">
        <f t="shared" si="10"/>
        <v>0.21</v>
      </c>
      <c r="AJ40" s="255">
        <f t="shared" si="10"/>
        <v>8.2299999999999998E-2</v>
      </c>
      <c r="AK40" s="255">
        <f t="shared" si="10"/>
        <v>0.50990000000000002</v>
      </c>
      <c r="AL40" s="255">
        <f t="shared" si="10"/>
        <v>5.8599999999999999E-2</v>
      </c>
      <c r="AM40" s="255"/>
    </row>
    <row r="41" spans="2:41" x14ac:dyDescent="0.25">
      <c r="B41" s="165" t="s">
        <v>415</v>
      </c>
      <c r="T41" s="169">
        <f>_xlfn.QUARTILE.INC(T$2:T$36,3)</f>
        <v>0.90400000000000003</v>
      </c>
      <c r="U41" s="169">
        <f>_xlfn.QUARTILE.INC(U$2:U$36,3)</f>
        <v>7.4999999999999997E-2</v>
      </c>
      <c r="V41" s="169">
        <f>_xlfn.QUARTILE.INC(V$2:V$36,3)</f>
        <v>0.125</v>
      </c>
      <c r="X41" s="169">
        <f t="shared" ref="X41:AD41" si="11">_xlfn.QUARTILE.INC(X$2:X$36,3)</f>
        <v>0.3043397519826837</v>
      </c>
      <c r="Y41" s="169">
        <f t="shared" si="11"/>
        <v>0.37815434071888465</v>
      </c>
      <c r="Z41" s="169">
        <f t="shared" si="11"/>
        <v>0.27756702073849265</v>
      </c>
      <c r="AA41" s="169">
        <f t="shared" si="11"/>
        <v>0.30099999999999999</v>
      </c>
      <c r="AB41" s="169">
        <f t="shared" si="11"/>
        <v>0.34122315225207245</v>
      </c>
      <c r="AC41" s="169">
        <f t="shared" si="11"/>
        <v>1.15E-2</v>
      </c>
      <c r="AD41" s="169">
        <f t="shared" si="11"/>
        <v>0.13162608695652173</v>
      </c>
      <c r="AE41" s="27"/>
      <c r="AF41" s="255">
        <f t="shared" ref="AF41:AL41" si="12">_xlfn.QUARTILE.INC(AF$2:AF$36,3)</f>
        <v>0.1673</v>
      </c>
      <c r="AG41" s="255">
        <f t="shared" si="12"/>
        <v>0.24435000000000001</v>
      </c>
      <c r="AH41" s="255">
        <f t="shared" si="12"/>
        <v>0.18337500000000001</v>
      </c>
      <c r="AI41" s="255">
        <f t="shared" si="12"/>
        <v>0.30099999999999999</v>
      </c>
      <c r="AJ41" s="255">
        <f t="shared" si="12"/>
        <v>0.14125000000000001</v>
      </c>
      <c r="AK41" s="255">
        <f t="shared" si="12"/>
        <v>0.51910000000000001</v>
      </c>
      <c r="AL41" s="255">
        <f t="shared" si="12"/>
        <v>7.3162500000000005E-2</v>
      </c>
      <c r="AM41" s="255"/>
    </row>
    <row r="42" spans="2:41" x14ac:dyDescent="0.25">
      <c r="B42" s="165" t="s">
        <v>416</v>
      </c>
      <c r="T42" s="169">
        <f>_xlfn.QUARTILE.INC(T$2:T$36,4)</f>
        <v>0.95099999999999996</v>
      </c>
      <c r="U42" s="169">
        <f>_xlfn.QUARTILE.INC(U$2:U$36,4)</f>
        <v>0.10199999999999999</v>
      </c>
      <c r="V42" s="169">
        <f>_xlfn.QUARTILE.INC(V$2:V$36,4)</f>
        <v>0.12500000000000003</v>
      </c>
      <c r="X42" s="169">
        <f t="shared" ref="X42:AD42" si="13">_xlfn.QUARTILE.INC(X$2:X$36,4)</f>
        <v>0.53265121877821242</v>
      </c>
      <c r="Y42" s="169">
        <f t="shared" si="13"/>
        <v>0.55688375927452582</v>
      </c>
      <c r="Z42" s="169">
        <f t="shared" si="13"/>
        <v>0.40500000000000003</v>
      </c>
      <c r="AA42" s="169">
        <f>_xlfn.QUARTILE.INC(AA$2:AA$36,4)</f>
        <v>0.39200000000000002</v>
      </c>
      <c r="AB42" s="169">
        <f t="shared" si="13"/>
        <v>0.60450000000000004</v>
      </c>
      <c r="AC42" s="169">
        <f t="shared" si="13"/>
        <v>1.2E-2</v>
      </c>
      <c r="AD42" s="169">
        <f t="shared" si="13"/>
        <v>0.30482041587901698</v>
      </c>
      <c r="AE42" s="36"/>
      <c r="AF42" s="255">
        <f t="shared" ref="AF42:AL42" si="14">_xlfn.QUARTILE.INC(AF$2:AF$36,4)</f>
        <v>0.35399999999999998</v>
      </c>
      <c r="AG42" s="255">
        <f t="shared" si="14"/>
        <v>0.38300000000000001</v>
      </c>
      <c r="AH42" s="255">
        <f t="shared" si="14"/>
        <v>0.40500000000000003</v>
      </c>
      <c r="AI42" s="255">
        <f t="shared" si="14"/>
        <v>0.39200000000000002</v>
      </c>
      <c r="AJ42" s="255">
        <f t="shared" si="14"/>
        <v>0.60450000000000004</v>
      </c>
      <c r="AK42" s="255">
        <f t="shared" si="14"/>
        <v>0.63349999999999995</v>
      </c>
      <c r="AL42" s="255">
        <f t="shared" si="14"/>
        <v>0.13519999999999999</v>
      </c>
      <c r="AM42" s="255"/>
    </row>
  </sheetData>
  <pageMargins left="0.7" right="0.7" top="0.78740157499999996" bottom="0.78740157499999996"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326A8-F855-4AF9-B73D-584BB5A7ED7B}">
  <sheetPr>
    <tabColor rgb="FF663300"/>
  </sheetPr>
  <dimension ref="A1:AW95"/>
  <sheetViews>
    <sheetView zoomScale="55" zoomScaleNormal="55" workbookViewId="0">
      <selection activeCell="A97" sqref="A97"/>
    </sheetView>
  </sheetViews>
  <sheetFormatPr defaultColWidth="11.5703125" defaultRowHeight="15.75" x14ac:dyDescent="0.25"/>
  <cols>
    <col min="1" max="1" width="11.5703125" style="264"/>
    <col min="2" max="4" width="0" style="264" hidden="1" customWidth="1"/>
    <col min="5" max="5" width="11.5703125" style="264"/>
    <col min="6" max="32" width="0" style="264" hidden="1" customWidth="1"/>
    <col min="33" max="16384" width="11.5703125" style="264"/>
  </cols>
  <sheetData>
    <row r="1" spans="1:49" s="262" customFormat="1" x14ac:dyDescent="0.25">
      <c r="A1" s="262" t="s">
        <v>1078</v>
      </c>
    </row>
    <row r="2" spans="1:49" s="263" customFormat="1" x14ac:dyDescent="0.25">
      <c r="AB2" s="263" t="s">
        <v>1079</v>
      </c>
      <c r="AC2" s="263" t="s">
        <v>1079</v>
      </c>
      <c r="AD2" s="263" t="s">
        <v>1080</v>
      </c>
      <c r="AE2" s="263" t="s">
        <v>1080</v>
      </c>
      <c r="AF2" s="263" t="s">
        <v>1079</v>
      </c>
      <c r="AH2" s="263" t="s">
        <v>1081</v>
      </c>
      <c r="AP2" s="263" t="s">
        <v>2053</v>
      </c>
      <c r="AW2" s="263" t="s">
        <v>3</v>
      </c>
    </row>
    <row r="3" spans="1:49" ht="16.149999999999999" customHeight="1" x14ac:dyDescent="0.25">
      <c r="B3" s="264" t="s">
        <v>1082</v>
      </c>
      <c r="C3" s="264" t="s">
        <v>1083</v>
      </c>
      <c r="D3" s="264" t="s">
        <v>1084</v>
      </c>
      <c r="E3" s="264" t="s">
        <v>1085</v>
      </c>
      <c r="F3" s="264" t="s">
        <v>1086</v>
      </c>
      <c r="G3" s="264" t="s">
        <v>1087</v>
      </c>
      <c r="H3" s="264" t="s">
        <v>1088</v>
      </c>
      <c r="I3" s="264" t="s">
        <v>1089</v>
      </c>
      <c r="J3" s="264" t="s">
        <v>1090</v>
      </c>
      <c r="K3" s="264" t="s">
        <v>1091</v>
      </c>
      <c r="L3" s="264" t="s">
        <v>1092</v>
      </c>
      <c r="M3" s="264" t="s">
        <v>1093</v>
      </c>
      <c r="N3" s="264" t="s">
        <v>1094</v>
      </c>
      <c r="O3" s="264" t="s">
        <v>1095</v>
      </c>
      <c r="P3" s="264" t="s">
        <v>1096</v>
      </c>
      <c r="Q3" s="264" t="s">
        <v>1097</v>
      </c>
      <c r="R3" s="264" t="s">
        <v>1098</v>
      </c>
      <c r="S3" s="264" t="s">
        <v>1099</v>
      </c>
      <c r="T3" s="264" t="s">
        <v>1100</v>
      </c>
      <c r="U3" s="264" t="s">
        <v>1101</v>
      </c>
      <c r="V3" s="264" t="s">
        <v>1102</v>
      </c>
      <c r="W3" s="264" t="s">
        <v>1103</v>
      </c>
      <c r="X3" s="264" t="s">
        <v>1104</v>
      </c>
      <c r="Y3" s="264" t="s">
        <v>1105</v>
      </c>
      <c r="AB3" s="264" t="s">
        <v>1106</v>
      </c>
      <c r="AC3" s="264" t="s">
        <v>1107</v>
      </c>
      <c r="AD3" s="264" t="s">
        <v>1108</v>
      </c>
      <c r="AE3" s="264" t="s">
        <v>1109</v>
      </c>
      <c r="AF3" s="264" t="s">
        <v>1110</v>
      </c>
      <c r="AG3" s="264" t="s">
        <v>3</v>
      </c>
      <c r="AH3" s="264" t="s">
        <v>1111</v>
      </c>
      <c r="AI3" s="264" t="s">
        <v>2051</v>
      </c>
      <c r="AJ3" s="264" t="s">
        <v>1112</v>
      </c>
      <c r="AK3" s="264" t="s">
        <v>2052</v>
      </c>
      <c r="AL3" s="264" t="s">
        <v>1113</v>
      </c>
      <c r="AM3" s="264" t="s">
        <v>1114</v>
      </c>
      <c r="AN3" s="264" t="s">
        <v>1115</v>
      </c>
      <c r="AO3" s="264" t="s">
        <v>3</v>
      </c>
      <c r="AP3" s="264" t="s">
        <v>1116</v>
      </c>
      <c r="AQ3" s="264" t="s">
        <v>1117</v>
      </c>
      <c r="AR3" s="264" t="s">
        <v>1118</v>
      </c>
      <c r="AS3" s="264" t="s">
        <v>1119</v>
      </c>
      <c r="AT3" s="264" t="s">
        <v>1120</v>
      </c>
      <c r="AU3" s="264" t="s">
        <v>1121</v>
      </c>
      <c r="AW3" s="264" t="s">
        <v>3</v>
      </c>
    </row>
    <row r="4" spans="1:49" x14ac:dyDescent="0.25">
      <c r="B4" s="264">
        <v>1</v>
      </c>
      <c r="C4" s="264" t="s">
        <v>1122</v>
      </c>
      <c r="E4" s="264">
        <v>800</v>
      </c>
      <c r="F4" s="264">
        <v>4239.6986500000003</v>
      </c>
      <c r="G4" s="264">
        <v>1182.5673999999999</v>
      </c>
      <c r="H4" s="264">
        <v>-1139.9762000000001</v>
      </c>
      <c r="I4" s="264">
        <v>-138.33322999999999</v>
      </c>
      <c r="J4" s="264">
        <v>-173.46873299999999</v>
      </c>
      <c r="K4" s="264">
        <v>-11247.821900000001</v>
      </c>
      <c r="L4" s="264">
        <v>-3151.7798899999998</v>
      </c>
      <c r="M4" s="264">
        <v>-262.845776</v>
      </c>
      <c r="N4" s="264">
        <v>-2175.9432000000002</v>
      </c>
      <c r="O4" s="264">
        <v>457.15184799999997</v>
      </c>
      <c r="P4" s="264">
        <v>-1944.3245400000001</v>
      </c>
      <c r="Q4" s="264">
        <v>-172.103341</v>
      </c>
      <c r="R4" s="264">
        <v>-216.53622300000001</v>
      </c>
      <c r="S4" s="264">
        <v>0.63475162200000002</v>
      </c>
      <c r="T4" s="264">
        <v>4.3390533699999997E-2</v>
      </c>
      <c r="U4" s="264">
        <v>0.290509672</v>
      </c>
      <c r="V4" s="264">
        <v>2.1068900000000002E-2</v>
      </c>
      <c r="W4" s="264">
        <v>1.02790407E-2</v>
      </c>
      <c r="X4" s="264">
        <v>2500</v>
      </c>
      <c r="Y4" s="264">
        <v>221.42084299999999</v>
      </c>
      <c r="AB4" s="264">
        <f>F4</f>
        <v>4239.6986500000003</v>
      </c>
      <c r="AC4" s="264">
        <f>G4</f>
        <v>1182.5673999999999</v>
      </c>
      <c r="AD4" s="264">
        <f>H4</f>
        <v>-1139.9762000000001</v>
      </c>
      <c r="AE4" s="264">
        <f>I4</f>
        <v>-138.33322999999999</v>
      </c>
      <c r="AF4" s="264">
        <f>J4</f>
        <v>-173.46873299999999</v>
      </c>
      <c r="AH4" s="264">
        <f>X4</f>
        <v>2500</v>
      </c>
      <c r="AI4" s="264">
        <v>1000</v>
      </c>
      <c r="AJ4" s="264">
        <v>1500</v>
      </c>
      <c r="AK4" s="264">
        <f>AB4+AC4</f>
        <v>5422.2660500000002</v>
      </c>
      <c r="AL4" s="264">
        <f>ABS(AF4)/(4.18*15)*3600*0.03</f>
        <v>298.79781760765547</v>
      </c>
      <c r="AM4" s="264">
        <f>ABS(AD4)</f>
        <v>1139.9762000000001</v>
      </c>
      <c r="AN4" s="264">
        <f>ABS(AE4)</f>
        <v>138.33322999999999</v>
      </c>
      <c r="AP4" s="264">
        <f>Y4</f>
        <v>221.42084299999999</v>
      </c>
      <c r="AQ4" s="266">
        <f t="shared" ref="AQ4:AQ23" si="0">S4</f>
        <v>0.63475162200000002</v>
      </c>
      <c r="AR4" s="266">
        <f t="shared" ref="AR4:AU19" si="1">T4</f>
        <v>4.3390533699999997E-2</v>
      </c>
      <c r="AS4" s="266">
        <f t="shared" si="1"/>
        <v>0.290509672</v>
      </c>
      <c r="AT4" s="266">
        <f t="shared" si="1"/>
        <v>2.1068900000000002E-2</v>
      </c>
      <c r="AU4" s="266">
        <f t="shared" si="1"/>
        <v>1.02790407E-2</v>
      </c>
    </row>
    <row r="5" spans="1:49" x14ac:dyDescent="0.25">
      <c r="B5" s="264">
        <v>2</v>
      </c>
      <c r="C5" s="264" t="s">
        <v>1122</v>
      </c>
      <c r="E5" s="264">
        <v>810.52631599999995</v>
      </c>
      <c r="F5" s="264">
        <v>4289.6118699999997</v>
      </c>
      <c r="G5" s="264">
        <v>1182.5673999999999</v>
      </c>
      <c r="H5" s="264">
        <v>-1162.3175000000001</v>
      </c>
      <c r="I5" s="264">
        <v>-138.636833</v>
      </c>
      <c r="J5" s="264">
        <v>-173.91977700000001</v>
      </c>
      <c r="K5" s="264">
        <v>-11274.6389</v>
      </c>
      <c r="L5" s="264">
        <v>-3151.7801100000001</v>
      </c>
      <c r="M5" s="264">
        <v>-262.84579500000001</v>
      </c>
      <c r="N5" s="264">
        <v>-2175.9432099999999</v>
      </c>
      <c r="O5" s="264">
        <v>457.15184799999997</v>
      </c>
      <c r="P5" s="264">
        <v>-1944.3245400000001</v>
      </c>
      <c r="Q5" s="264">
        <v>-172.103341</v>
      </c>
      <c r="R5" s="264">
        <v>-216.53622300000001</v>
      </c>
      <c r="S5" s="264">
        <v>0.63693434000000004</v>
      </c>
      <c r="T5" s="264">
        <v>5</v>
      </c>
      <c r="U5" s="264">
        <v>0.292379151</v>
      </c>
      <c r="V5" s="264">
        <v>1.99098635E-2</v>
      </c>
      <c r="W5" s="264">
        <v>8.3551462599999998E-3</v>
      </c>
      <c r="X5" s="264">
        <v>2500</v>
      </c>
      <c r="Y5" s="264">
        <v>222.25885</v>
      </c>
      <c r="AB5" s="264">
        <f t="shared" ref="AB5:AF23" si="2">F5</f>
        <v>4289.6118699999997</v>
      </c>
      <c r="AC5" s="264">
        <f t="shared" si="2"/>
        <v>1182.5673999999999</v>
      </c>
      <c r="AD5" s="264">
        <f t="shared" si="2"/>
        <v>-1162.3175000000001</v>
      </c>
      <c r="AE5" s="264">
        <f t="shared" si="2"/>
        <v>-138.636833</v>
      </c>
      <c r="AF5" s="264">
        <f t="shared" si="2"/>
        <v>-173.91977700000001</v>
      </c>
      <c r="AH5" s="264">
        <f t="shared" ref="AH5:AH23" si="3">X5</f>
        <v>2500</v>
      </c>
      <c r="AI5" s="264">
        <v>1000</v>
      </c>
      <c r="AJ5" s="264">
        <v>1500</v>
      </c>
      <c r="AK5" s="264">
        <f t="shared" ref="AK5:AK23" si="4">AB5+AC5</f>
        <v>5472.1792699999996</v>
      </c>
      <c r="AL5" s="264">
        <f t="shared" ref="AL5:AL23" si="5">ABS(AF5)/(4.18*15)*3600*0.03</f>
        <v>299.5747355023924</v>
      </c>
      <c r="AM5" s="264">
        <f t="shared" ref="AM5:AN23" si="6">ABS(AD5)</f>
        <v>1162.3175000000001</v>
      </c>
      <c r="AN5" s="264">
        <f t="shared" si="6"/>
        <v>138.636833</v>
      </c>
      <c r="AP5" s="264">
        <f t="shared" ref="AP5:AP23" si="7">Y5</f>
        <v>222.25885</v>
      </c>
      <c r="AQ5" s="266">
        <f t="shared" si="0"/>
        <v>0.63693434000000004</v>
      </c>
      <c r="AR5" s="915"/>
      <c r="AS5" s="266">
        <f t="shared" si="1"/>
        <v>0.292379151</v>
      </c>
      <c r="AT5" s="266">
        <f t="shared" si="1"/>
        <v>1.99098635E-2</v>
      </c>
      <c r="AU5" s="266">
        <f t="shared" si="1"/>
        <v>8.3551462599999998E-3</v>
      </c>
    </row>
    <row r="6" spans="1:49" x14ac:dyDescent="0.25">
      <c r="B6" s="264">
        <v>3</v>
      </c>
      <c r="C6" s="264" t="s">
        <v>1122</v>
      </c>
      <c r="E6" s="264">
        <v>821.05263200000002</v>
      </c>
      <c r="F6" s="264">
        <v>4334.7699899999998</v>
      </c>
      <c r="G6" s="264">
        <v>1182.5673999999999</v>
      </c>
      <c r="H6" s="264">
        <v>-1184.5020099999999</v>
      </c>
      <c r="I6" s="264">
        <v>-138.887011</v>
      </c>
      <c r="J6" s="264">
        <v>-174.292393</v>
      </c>
      <c r="K6" s="264">
        <v>-11296.9895</v>
      </c>
      <c r="L6" s="264">
        <v>-3151.7802999999999</v>
      </c>
      <c r="M6" s="264">
        <v>-262.84581100000003</v>
      </c>
      <c r="N6" s="264">
        <v>-2175.9432099999999</v>
      </c>
      <c r="O6" s="264">
        <v>457.15184799999997</v>
      </c>
      <c r="P6" s="264">
        <v>-1944.3245400000001</v>
      </c>
      <c r="Q6" s="264">
        <v>-172.103341</v>
      </c>
      <c r="R6" s="264">
        <v>-216.53622300000001</v>
      </c>
      <c r="S6" s="264">
        <v>0.63868820100000001</v>
      </c>
      <c r="T6" s="264">
        <v>4.1666873600000001E-2</v>
      </c>
      <c r="U6" s="264">
        <v>0.29396265300000002</v>
      </c>
      <c r="V6" s="264">
        <v>1.8911478700000001E-2</v>
      </c>
      <c r="W6" s="264">
        <v>6.7706404800000003E-3</v>
      </c>
      <c r="X6" s="264">
        <v>2500</v>
      </c>
      <c r="Y6" s="264">
        <v>222.95380499999999</v>
      </c>
      <c r="AB6" s="264">
        <f t="shared" si="2"/>
        <v>4334.7699899999998</v>
      </c>
      <c r="AC6" s="264">
        <f t="shared" si="2"/>
        <v>1182.5673999999999</v>
      </c>
      <c r="AD6" s="264">
        <f t="shared" si="2"/>
        <v>-1184.5020099999999</v>
      </c>
      <c r="AE6" s="264">
        <f t="shared" si="2"/>
        <v>-138.887011</v>
      </c>
      <c r="AF6" s="264">
        <f t="shared" si="2"/>
        <v>-174.292393</v>
      </c>
      <c r="AH6" s="264">
        <f t="shared" si="3"/>
        <v>2500</v>
      </c>
      <c r="AI6" s="264">
        <v>1000</v>
      </c>
      <c r="AJ6" s="264">
        <v>1500</v>
      </c>
      <c r="AK6" s="264">
        <f t="shared" si="4"/>
        <v>5517.3373899999997</v>
      </c>
      <c r="AL6" s="264">
        <f t="shared" si="5"/>
        <v>300.21656210526316</v>
      </c>
      <c r="AM6" s="264">
        <f t="shared" si="6"/>
        <v>1184.5020099999999</v>
      </c>
      <c r="AN6" s="264">
        <f t="shared" si="6"/>
        <v>138.887011</v>
      </c>
      <c r="AP6" s="264">
        <f t="shared" si="7"/>
        <v>222.95380499999999</v>
      </c>
      <c r="AQ6" s="266">
        <f t="shared" si="0"/>
        <v>0.63868820100000001</v>
      </c>
      <c r="AR6" s="266">
        <f t="shared" si="1"/>
        <v>4.1666873600000001E-2</v>
      </c>
      <c r="AS6" s="266">
        <f t="shared" si="1"/>
        <v>0.29396265300000002</v>
      </c>
      <c r="AT6" s="266">
        <f t="shared" si="1"/>
        <v>1.8911478700000001E-2</v>
      </c>
      <c r="AU6" s="266">
        <f t="shared" si="1"/>
        <v>6.7706404800000003E-3</v>
      </c>
    </row>
    <row r="7" spans="1:49" x14ac:dyDescent="0.25">
      <c r="B7" s="264">
        <v>4</v>
      </c>
      <c r="C7" s="264" t="s">
        <v>1122</v>
      </c>
      <c r="E7" s="264">
        <v>831.57894699999997</v>
      </c>
      <c r="F7" s="264">
        <v>4375.8384999999998</v>
      </c>
      <c r="G7" s="264">
        <v>1182.5673999999999</v>
      </c>
      <c r="H7" s="264">
        <v>-1206.5533399999999</v>
      </c>
      <c r="I7" s="264">
        <v>-139.091114</v>
      </c>
      <c r="J7" s="264">
        <v>-174.59740099999999</v>
      </c>
      <c r="K7" s="264">
        <v>-11315.4974</v>
      </c>
      <c r="L7" s="264">
        <v>-3151.7804500000002</v>
      </c>
      <c r="M7" s="264">
        <v>-262.84582399999999</v>
      </c>
      <c r="N7" s="264">
        <v>-2175.9432200000001</v>
      </c>
      <c r="O7" s="264">
        <v>457.15184799999997</v>
      </c>
      <c r="P7" s="264">
        <v>-1944.3245400000001</v>
      </c>
      <c r="Q7" s="264">
        <v>-172.103341</v>
      </c>
      <c r="R7" s="264">
        <v>-216.53622300000001</v>
      </c>
      <c r="S7" s="264">
        <v>0.64007591500000005</v>
      </c>
      <c r="T7" s="264">
        <v>4.1096735099999997E-2</v>
      </c>
      <c r="U7" s="264">
        <v>0.29530505499999998</v>
      </c>
      <c r="V7" s="264">
        <v>1.80477291E-2</v>
      </c>
      <c r="W7" s="264">
        <v>5.4744425599999999E-3</v>
      </c>
      <c r="X7" s="264">
        <v>2500</v>
      </c>
      <c r="Y7" s="264">
        <v>223.52555000000001</v>
      </c>
      <c r="AB7" s="264">
        <f t="shared" si="2"/>
        <v>4375.8384999999998</v>
      </c>
      <c r="AC7" s="264">
        <f t="shared" si="2"/>
        <v>1182.5673999999999</v>
      </c>
      <c r="AD7" s="264">
        <f t="shared" si="2"/>
        <v>-1206.5533399999999</v>
      </c>
      <c r="AE7" s="264">
        <f t="shared" si="2"/>
        <v>-139.091114</v>
      </c>
      <c r="AF7" s="264">
        <f t="shared" si="2"/>
        <v>-174.59740099999999</v>
      </c>
      <c r="AH7" s="264">
        <f t="shared" si="3"/>
        <v>2500</v>
      </c>
      <c r="AI7" s="264">
        <v>1000</v>
      </c>
      <c r="AJ7" s="264">
        <v>1500</v>
      </c>
      <c r="AK7" s="264">
        <f t="shared" si="4"/>
        <v>5558.4058999999997</v>
      </c>
      <c r="AL7" s="264">
        <f t="shared" si="5"/>
        <v>300.74193473684204</v>
      </c>
      <c r="AM7" s="264">
        <f t="shared" si="6"/>
        <v>1206.5533399999999</v>
      </c>
      <c r="AN7" s="264">
        <f t="shared" si="6"/>
        <v>139.091114</v>
      </c>
      <c r="AP7" s="264">
        <f t="shared" si="7"/>
        <v>223.52555000000001</v>
      </c>
      <c r="AQ7" s="266">
        <f t="shared" si="0"/>
        <v>0.64007591500000005</v>
      </c>
      <c r="AR7" s="266">
        <f t="shared" si="1"/>
        <v>4.1096735099999997E-2</v>
      </c>
      <c r="AS7" s="266">
        <f t="shared" si="1"/>
        <v>0.29530505499999998</v>
      </c>
      <c r="AT7" s="266">
        <f t="shared" si="1"/>
        <v>1.80477291E-2</v>
      </c>
      <c r="AU7" s="266">
        <f t="shared" si="1"/>
        <v>5.4744425599999999E-3</v>
      </c>
    </row>
    <row r="8" spans="1:49" x14ac:dyDescent="0.25">
      <c r="B8" s="264">
        <v>5</v>
      </c>
      <c r="C8" s="264" t="s">
        <v>1122</v>
      </c>
      <c r="E8" s="264">
        <v>842.10526300000004</v>
      </c>
      <c r="F8" s="264">
        <v>4413.4412899999998</v>
      </c>
      <c r="G8" s="264">
        <v>1182.5673999999999</v>
      </c>
      <c r="H8" s="264">
        <v>-1228.49452</v>
      </c>
      <c r="I8" s="264">
        <v>-139.25608</v>
      </c>
      <c r="J8" s="264">
        <v>-174.845001</v>
      </c>
      <c r="K8" s="264">
        <v>-11330.746300000001</v>
      </c>
      <c r="L8" s="264">
        <v>-3151.7805800000001</v>
      </c>
      <c r="M8" s="264">
        <v>-262.84583500000002</v>
      </c>
      <c r="N8" s="264">
        <v>-2175.9432200000001</v>
      </c>
      <c r="O8" s="264">
        <v>457.15184799999997</v>
      </c>
      <c r="P8" s="264">
        <v>-1944.3245400000001</v>
      </c>
      <c r="Q8" s="264">
        <v>-172.103341</v>
      </c>
      <c r="R8" s="264">
        <v>-216.53622300000001</v>
      </c>
      <c r="S8" s="264">
        <v>0.64115527999999999</v>
      </c>
      <c r="T8" s="264">
        <v>4.0682319799999998E-2</v>
      </c>
      <c r="U8" s="264">
        <v>0.29644614699999999</v>
      </c>
      <c r="V8" s="264">
        <v>1.72959346E-2</v>
      </c>
      <c r="W8" s="264">
        <v>4.4202192900000001E-3</v>
      </c>
      <c r="X8" s="264">
        <v>2500</v>
      </c>
      <c r="Y8" s="264">
        <v>223.992729</v>
      </c>
      <c r="AB8" s="264">
        <f t="shared" si="2"/>
        <v>4413.4412899999998</v>
      </c>
      <c r="AC8" s="264">
        <f t="shared" si="2"/>
        <v>1182.5673999999999</v>
      </c>
      <c r="AD8" s="264">
        <f t="shared" si="2"/>
        <v>-1228.49452</v>
      </c>
      <c r="AE8" s="264">
        <f t="shared" si="2"/>
        <v>-139.25608</v>
      </c>
      <c r="AF8" s="264">
        <f t="shared" si="2"/>
        <v>-174.845001</v>
      </c>
      <c r="AH8" s="264">
        <f t="shared" si="3"/>
        <v>2500</v>
      </c>
      <c r="AI8" s="264">
        <v>1000</v>
      </c>
      <c r="AJ8" s="264">
        <v>1500</v>
      </c>
      <c r="AK8" s="264">
        <f t="shared" si="4"/>
        <v>5596.0086899999997</v>
      </c>
      <c r="AL8" s="264">
        <f t="shared" si="5"/>
        <v>301.16842277511961</v>
      </c>
      <c r="AM8" s="264">
        <f t="shared" si="6"/>
        <v>1228.49452</v>
      </c>
      <c r="AN8" s="264">
        <f t="shared" si="6"/>
        <v>139.25608</v>
      </c>
      <c r="AP8" s="264">
        <f t="shared" si="7"/>
        <v>223.992729</v>
      </c>
      <c r="AQ8" s="266">
        <f t="shared" si="0"/>
        <v>0.64115527999999999</v>
      </c>
      <c r="AR8" s="266">
        <f t="shared" si="1"/>
        <v>4.0682319799999998E-2</v>
      </c>
      <c r="AS8" s="266">
        <f t="shared" si="1"/>
        <v>0.29644614699999999</v>
      </c>
      <c r="AT8" s="266">
        <f t="shared" si="1"/>
        <v>1.72959346E-2</v>
      </c>
      <c r="AU8" s="266">
        <f t="shared" si="1"/>
        <v>4.4202192900000001E-3</v>
      </c>
    </row>
    <row r="9" spans="1:49" x14ac:dyDescent="0.25">
      <c r="B9" s="264">
        <v>6</v>
      </c>
      <c r="C9" s="264" t="s">
        <v>1122</v>
      </c>
      <c r="E9" s="264">
        <v>852.63157899999999</v>
      </c>
      <c r="F9" s="264">
        <v>4448.1460500000003</v>
      </c>
      <c r="G9" s="264">
        <v>1182.5673999999999</v>
      </c>
      <c r="H9" s="264">
        <v>-1250.3472099999999</v>
      </c>
      <c r="I9" s="264">
        <v>-139.38825900000001</v>
      </c>
      <c r="J9" s="264">
        <v>-175.04451399999999</v>
      </c>
      <c r="K9" s="264">
        <v>-11343.2665</v>
      </c>
      <c r="L9" s="264">
        <v>-3151.7806799999998</v>
      </c>
      <c r="M9" s="264">
        <v>-262.845843</v>
      </c>
      <c r="N9" s="264">
        <v>-2175.9432200000001</v>
      </c>
      <c r="O9" s="264">
        <v>457.15184799999997</v>
      </c>
      <c r="P9" s="264">
        <v>-1944.3245400000001</v>
      </c>
      <c r="Q9" s="264">
        <v>-172.103341</v>
      </c>
      <c r="R9" s="264">
        <v>-216.53622300000001</v>
      </c>
      <c r="S9" s="264">
        <v>0.64197832200000005</v>
      </c>
      <c r="T9" s="264">
        <v>4.0397545200000003E-2</v>
      </c>
      <c r="U9" s="264">
        <v>0.29742053699999998</v>
      </c>
      <c r="V9" s="264">
        <v>1.6636676999999999E-2</v>
      </c>
      <c r="W9" s="264">
        <v>3.5668388099999999E-3</v>
      </c>
      <c r="X9" s="264">
        <v>2500</v>
      </c>
      <c r="Y9" s="264">
        <v>224.37233599999999</v>
      </c>
      <c r="AB9" s="264">
        <f t="shared" si="2"/>
        <v>4448.1460500000003</v>
      </c>
      <c r="AC9" s="264">
        <f t="shared" si="2"/>
        <v>1182.5673999999999</v>
      </c>
      <c r="AD9" s="264">
        <f t="shared" si="2"/>
        <v>-1250.3472099999999</v>
      </c>
      <c r="AE9" s="264">
        <f t="shared" si="2"/>
        <v>-139.38825900000001</v>
      </c>
      <c r="AF9" s="264">
        <f t="shared" si="2"/>
        <v>-175.04451399999999</v>
      </c>
      <c r="AH9" s="264">
        <f t="shared" si="3"/>
        <v>2500</v>
      </c>
      <c r="AI9" s="264">
        <v>1000</v>
      </c>
      <c r="AJ9" s="264">
        <v>1500</v>
      </c>
      <c r="AK9" s="264">
        <f t="shared" si="4"/>
        <v>5630.7134500000002</v>
      </c>
      <c r="AL9" s="264">
        <f t="shared" si="5"/>
        <v>301.51208153110048</v>
      </c>
      <c r="AM9" s="264">
        <f t="shared" si="6"/>
        <v>1250.3472099999999</v>
      </c>
      <c r="AN9" s="264">
        <f t="shared" si="6"/>
        <v>139.38825900000001</v>
      </c>
      <c r="AP9" s="264">
        <f t="shared" si="7"/>
        <v>224.37233599999999</v>
      </c>
      <c r="AQ9" s="266">
        <f t="shared" si="0"/>
        <v>0.64197832200000005</v>
      </c>
      <c r="AR9" s="266">
        <f t="shared" si="1"/>
        <v>4.0397545200000003E-2</v>
      </c>
      <c r="AS9" s="266">
        <f t="shared" si="1"/>
        <v>0.29742053699999998</v>
      </c>
      <c r="AT9" s="266">
        <f t="shared" si="1"/>
        <v>1.6636676999999999E-2</v>
      </c>
      <c r="AU9" s="266">
        <f t="shared" si="1"/>
        <v>3.5668388099999999E-3</v>
      </c>
    </row>
    <row r="10" spans="1:49" x14ac:dyDescent="0.25">
      <c r="B10" s="264">
        <v>7</v>
      </c>
      <c r="C10" s="264" t="s">
        <v>1122</v>
      </c>
      <c r="E10" s="264">
        <v>863.15789500000005</v>
      </c>
      <c r="F10" s="264">
        <v>4480.4557000000004</v>
      </c>
      <c r="G10" s="264">
        <v>1182.5673999999999</v>
      </c>
      <c r="H10" s="264">
        <v>-1272.1310800000001</v>
      </c>
      <c r="I10" s="264">
        <v>-139.49330599999999</v>
      </c>
      <c r="J10" s="264">
        <v>-175.20422600000001</v>
      </c>
      <c r="K10" s="264">
        <v>-11353.5275</v>
      </c>
      <c r="L10" s="264">
        <v>-3151.7807600000001</v>
      </c>
      <c r="M10" s="264">
        <v>-262.84584999999998</v>
      </c>
      <c r="N10" s="264">
        <v>-2175.9432200000001</v>
      </c>
      <c r="O10" s="264">
        <v>457.15184799999997</v>
      </c>
      <c r="P10" s="264">
        <v>-1944.3245400000001</v>
      </c>
      <c r="Q10" s="264">
        <v>-172.103341</v>
      </c>
      <c r="R10" s="264">
        <v>-216.53622300000001</v>
      </c>
      <c r="S10" s="264">
        <v>0.64259082700000003</v>
      </c>
      <c r="T10" s="264">
        <v>4.0219189599999997E-2</v>
      </c>
      <c r="U10" s="264">
        <v>0.298257779</v>
      </c>
      <c r="V10" s="264">
        <v>1.6053609E-2</v>
      </c>
      <c r="W10" s="264">
        <v>2.87853159E-3</v>
      </c>
      <c r="X10" s="264">
        <v>2500</v>
      </c>
      <c r="Y10" s="264">
        <v>224.679453</v>
      </c>
      <c r="AB10" s="264">
        <f t="shared" si="2"/>
        <v>4480.4557000000004</v>
      </c>
      <c r="AC10" s="264">
        <f t="shared" si="2"/>
        <v>1182.5673999999999</v>
      </c>
      <c r="AD10" s="264">
        <f t="shared" si="2"/>
        <v>-1272.1310800000001</v>
      </c>
      <c r="AE10" s="264">
        <f t="shared" si="2"/>
        <v>-139.49330599999999</v>
      </c>
      <c r="AF10" s="264">
        <f t="shared" si="2"/>
        <v>-175.20422600000001</v>
      </c>
      <c r="AH10" s="264">
        <f t="shared" si="3"/>
        <v>2500</v>
      </c>
      <c r="AI10" s="264">
        <v>1000</v>
      </c>
      <c r="AJ10" s="264">
        <v>1500</v>
      </c>
      <c r="AK10" s="264">
        <f t="shared" si="4"/>
        <v>5663.0231000000003</v>
      </c>
      <c r="AL10" s="264">
        <f t="shared" si="5"/>
        <v>301.7871835406699</v>
      </c>
      <c r="AM10" s="264">
        <f t="shared" si="6"/>
        <v>1272.1310800000001</v>
      </c>
      <c r="AN10" s="264">
        <f t="shared" si="6"/>
        <v>139.49330599999999</v>
      </c>
      <c r="AP10" s="264">
        <f t="shared" si="7"/>
        <v>224.679453</v>
      </c>
      <c r="AQ10" s="266">
        <f t="shared" si="0"/>
        <v>0.64259082700000003</v>
      </c>
      <c r="AR10" s="266">
        <f t="shared" si="1"/>
        <v>4.0219189599999997E-2</v>
      </c>
      <c r="AS10" s="266">
        <f t="shared" si="1"/>
        <v>0.298257779</v>
      </c>
      <c r="AT10" s="266">
        <f t="shared" si="1"/>
        <v>1.6053609E-2</v>
      </c>
      <c r="AU10" s="266">
        <f t="shared" si="1"/>
        <v>2.87853159E-3</v>
      </c>
    </row>
    <row r="11" spans="1:49" x14ac:dyDescent="0.25">
      <c r="B11" s="264">
        <v>8</v>
      </c>
      <c r="C11" s="264" t="s">
        <v>1122</v>
      </c>
      <c r="E11" s="264">
        <v>873.684211</v>
      </c>
      <c r="F11" s="264">
        <v>4510.8054599999996</v>
      </c>
      <c r="G11" s="264">
        <v>1182.5673999999999</v>
      </c>
      <c r="H11" s="264">
        <v>-1293.86355</v>
      </c>
      <c r="I11" s="264">
        <v>-139.576134</v>
      </c>
      <c r="J11" s="264">
        <v>-175.331332</v>
      </c>
      <c r="K11" s="264">
        <v>-11361.9347</v>
      </c>
      <c r="L11" s="264">
        <v>-3151.7808300000002</v>
      </c>
      <c r="M11" s="264">
        <v>-262.84585600000003</v>
      </c>
      <c r="N11" s="264">
        <v>-2175.9432299999999</v>
      </c>
      <c r="O11" s="264">
        <v>457.15184799999997</v>
      </c>
      <c r="P11" s="264">
        <v>-1944.3245400000001</v>
      </c>
      <c r="Q11" s="264">
        <v>-172.103341</v>
      </c>
      <c r="R11" s="264">
        <v>-216.53622300000001</v>
      </c>
      <c r="S11" s="264">
        <v>0.64303225500000005</v>
      </c>
      <c r="T11" s="264">
        <v>4.01270424E-2</v>
      </c>
      <c r="U11" s="264">
        <v>0.29898270300000002</v>
      </c>
      <c r="V11" s="264">
        <v>1.55331745E-2</v>
      </c>
      <c r="W11" s="264">
        <v>2.3247736200000002E-3</v>
      </c>
      <c r="X11" s="264">
        <v>2500</v>
      </c>
      <c r="Y11" s="264">
        <v>224.92714599999999</v>
      </c>
      <c r="AB11" s="264">
        <f t="shared" si="2"/>
        <v>4510.8054599999996</v>
      </c>
      <c r="AC11" s="264">
        <f t="shared" si="2"/>
        <v>1182.5673999999999</v>
      </c>
      <c r="AD11" s="264">
        <f t="shared" si="2"/>
        <v>-1293.86355</v>
      </c>
      <c r="AE11" s="264">
        <f t="shared" si="2"/>
        <v>-139.576134</v>
      </c>
      <c r="AF11" s="264">
        <f t="shared" si="2"/>
        <v>-175.331332</v>
      </c>
      <c r="AH11" s="264">
        <f t="shared" si="3"/>
        <v>2500</v>
      </c>
      <c r="AI11" s="264">
        <v>1000</v>
      </c>
      <c r="AJ11" s="264">
        <v>1500</v>
      </c>
      <c r="AK11" s="264">
        <f t="shared" si="4"/>
        <v>5693.3728599999995</v>
      </c>
      <c r="AL11" s="264">
        <f t="shared" si="5"/>
        <v>302.00612210526316</v>
      </c>
      <c r="AM11" s="264">
        <f t="shared" si="6"/>
        <v>1293.86355</v>
      </c>
      <c r="AN11" s="264">
        <f t="shared" si="6"/>
        <v>139.576134</v>
      </c>
      <c r="AP11" s="264">
        <f t="shared" si="7"/>
        <v>224.92714599999999</v>
      </c>
      <c r="AQ11" s="266">
        <f t="shared" si="0"/>
        <v>0.64303225500000005</v>
      </c>
      <c r="AR11" s="266">
        <f t="shared" si="1"/>
        <v>4.01270424E-2</v>
      </c>
      <c r="AS11" s="266">
        <f t="shared" si="1"/>
        <v>0.29898270300000002</v>
      </c>
      <c r="AT11" s="266">
        <f t="shared" si="1"/>
        <v>1.55331745E-2</v>
      </c>
      <c r="AU11" s="266">
        <f t="shared" si="1"/>
        <v>2.3247736200000002E-3</v>
      </c>
    </row>
    <row r="12" spans="1:49" x14ac:dyDescent="0.25">
      <c r="B12" s="264">
        <v>9</v>
      </c>
      <c r="C12" s="264" t="s">
        <v>1122</v>
      </c>
      <c r="E12" s="264">
        <v>884.21052599999996</v>
      </c>
      <c r="F12" s="264">
        <v>4539.5644899999998</v>
      </c>
      <c r="G12" s="264">
        <v>1182.5673999999999</v>
      </c>
      <c r="H12" s="264">
        <v>-1315.5596700000001</v>
      </c>
      <c r="I12" s="264">
        <v>-139.64092400000001</v>
      </c>
      <c r="J12" s="264">
        <v>-175.43195</v>
      </c>
      <c r="K12" s="264">
        <v>-11368.832200000001</v>
      </c>
      <c r="L12" s="264">
        <v>-3151.7808799999998</v>
      </c>
      <c r="M12" s="264">
        <v>-262.84586000000002</v>
      </c>
      <c r="N12" s="264">
        <v>-2175.9432299999999</v>
      </c>
      <c r="O12" s="264">
        <v>457.15184799999997</v>
      </c>
      <c r="P12" s="264">
        <v>-1944.3245400000001</v>
      </c>
      <c r="Q12" s="264">
        <v>-172.103341</v>
      </c>
      <c r="R12" s="264">
        <v>-216.53622300000001</v>
      </c>
      <c r="S12" s="264">
        <v>0.64333600899999999</v>
      </c>
      <c r="T12" s="264">
        <v>4.0103862599999998E-2</v>
      </c>
      <c r="U12" s="264">
        <v>0.29961586499999998</v>
      </c>
      <c r="V12" s="264">
        <v>1.50642755E-2</v>
      </c>
      <c r="W12" s="264">
        <v>1.8799469799999999E-3</v>
      </c>
      <c r="X12" s="264">
        <v>2500</v>
      </c>
      <c r="Y12" s="264">
        <v>225.12651099999999</v>
      </c>
      <c r="AB12" s="264">
        <f t="shared" si="2"/>
        <v>4539.5644899999998</v>
      </c>
      <c r="AC12" s="264">
        <f t="shared" si="2"/>
        <v>1182.5673999999999</v>
      </c>
      <c r="AD12" s="264">
        <f t="shared" si="2"/>
        <v>-1315.5596700000001</v>
      </c>
      <c r="AE12" s="264">
        <f t="shared" si="2"/>
        <v>-139.64092400000001</v>
      </c>
      <c r="AF12" s="264">
        <f t="shared" si="2"/>
        <v>-175.43195</v>
      </c>
      <c r="AH12" s="264">
        <f t="shared" si="3"/>
        <v>2500</v>
      </c>
      <c r="AI12" s="264">
        <v>1000</v>
      </c>
      <c r="AJ12" s="264">
        <v>1500</v>
      </c>
      <c r="AK12" s="264">
        <f t="shared" si="4"/>
        <v>5722.1318899999997</v>
      </c>
      <c r="AL12" s="264">
        <f t="shared" si="5"/>
        <v>302.17943540669859</v>
      </c>
      <c r="AM12" s="264">
        <f t="shared" si="6"/>
        <v>1315.5596700000001</v>
      </c>
      <c r="AN12" s="264">
        <f t="shared" si="6"/>
        <v>139.64092400000001</v>
      </c>
      <c r="AP12" s="264">
        <f t="shared" si="7"/>
        <v>225.12651099999999</v>
      </c>
      <c r="AQ12" s="266">
        <f t="shared" si="0"/>
        <v>0.64333600899999999</v>
      </c>
      <c r="AR12" s="266">
        <f t="shared" si="1"/>
        <v>4.0103862599999998E-2</v>
      </c>
      <c r="AS12" s="266">
        <f t="shared" si="1"/>
        <v>0.29961586499999998</v>
      </c>
      <c r="AT12" s="266">
        <f t="shared" si="1"/>
        <v>1.50642755E-2</v>
      </c>
      <c r="AU12" s="266">
        <f t="shared" si="1"/>
        <v>1.8799469799999999E-3</v>
      </c>
    </row>
    <row r="13" spans="1:49" x14ac:dyDescent="0.25">
      <c r="B13" s="264">
        <v>10</v>
      </c>
      <c r="C13" s="264" t="s">
        <v>1122</v>
      </c>
      <c r="E13" s="264">
        <v>894.73684200000002</v>
      </c>
      <c r="F13" s="264">
        <v>4567.0408100000004</v>
      </c>
      <c r="G13" s="264">
        <v>1182.5673999999999</v>
      </c>
      <c r="H13" s="264">
        <v>-1337.2321999999999</v>
      </c>
      <c r="I13" s="264">
        <v>-139.69117399999999</v>
      </c>
      <c r="J13" s="264">
        <v>-175.51119199999999</v>
      </c>
      <c r="K13" s="264">
        <v>-11374.5064</v>
      </c>
      <c r="L13" s="264">
        <v>-3151.7809200000002</v>
      </c>
      <c r="M13" s="264">
        <v>-262.84586400000001</v>
      </c>
      <c r="N13" s="264">
        <v>-2175.9432299999999</v>
      </c>
      <c r="O13" s="264">
        <v>457.15184799999997</v>
      </c>
      <c r="P13" s="264">
        <v>-1944.3245400000001</v>
      </c>
      <c r="Q13" s="264">
        <v>-172.103341</v>
      </c>
      <c r="R13" s="264">
        <v>-216.53622300000001</v>
      </c>
      <c r="S13" s="264">
        <v>0.64352991599999998</v>
      </c>
      <c r="T13" s="264">
        <v>4.0135192E-2</v>
      </c>
      <c r="U13" s="264">
        <v>0.30017408699999998</v>
      </c>
      <c r="V13" s="264">
        <v>1.4637919500000001E-2</v>
      </c>
      <c r="W13" s="264">
        <v>1.5228529199999999E-3</v>
      </c>
      <c r="X13" s="264">
        <v>2500</v>
      </c>
      <c r="Y13" s="264">
        <v>225.286811</v>
      </c>
      <c r="AB13" s="264">
        <f t="shared" si="2"/>
        <v>4567.0408100000004</v>
      </c>
      <c r="AC13" s="264">
        <f t="shared" si="2"/>
        <v>1182.5673999999999</v>
      </c>
      <c r="AD13" s="264">
        <f t="shared" si="2"/>
        <v>-1337.2321999999999</v>
      </c>
      <c r="AE13" s="264">
        <f t="shared" si="2"/>
        <v>-139.69117399999999</v>
      </c>
      <c r="AF13" s="264">
        <f t="shared" si="2"/>
        <v>-175.51119199999999</v>
      </c>
      <c r="AH13" s="264">
        <f t="shared" si="3"/>
        <v>2500</v>
      </c>
      <c r="AI13" s="264">
        <v>1000</v>
      </c>
      <c r="AJ13" s="264">
        <v>1500</v>
      </c>
      <c r="AK13" s="264">
        <f t="shared" si="4"/>
        <v>5749.6082100000003</v>
      </c>
      <c r="AL13" s="264">
        <f t="shared" si="5"/>
        <v>302.31592880382777</v>
      </c>
      <c r="AM13" s="264">
        <f t="shared" si="6"/>
        <v>1337.2321999999999</v>
      </c>
      <c r="AN13" s="264">
        <f t="shared" si="6"/>
        <v>139.69117399999999</v>
      </c>
      <c r="AP13" s="264">
        <f t="shared" si="7"/>
        <v>225.286811</v>
      </c>
      <c r="AQ13" s="266">
        <f t="shared" si="0"/>
        <v>0.64352991599999998</v>
      </c>
      <c r="AR13" s="266">
        <f t="shared" si="1"/>
        <v>4.0135192E-2</v>
      </c>
      <c r="AS13" s="266">
        <f t="shared" si="1"/>
        <v>0.30017408699999998</v>
      </c>
      <c r="AT13" s="266">
        <f t="shared" si="1"/>
        <v>1.4637919500000001E-2</v>
      </c>
      <c r="AU13" s="266">
        <f t="shared" si="1"/>
        <v>1.5228529199999999E-3</v>
      </c>
    </row>
    <row r="14" spans="1:49" x14ac:dyDescent="0.25">
      <c r="B14" s="264">
        <v>11</v>
      </c>
      <c r="C14" s="264" t="s">
        <v>1122</v>
      </c>
      <c r="E14" s="264">
        <v>905.26315799999998</v>
      </c>
      <c r="F14" s="264">
        <v>4593.4879700000001</v>
      </c>
      <c r="G14" s="264">
        <v>1182.5673999999999</v>
      </c>
      <c r="H14" s="264">
        <v>-1358.89177</v>
      </c>
      <c r="I14" s="264">
        <v>-139.72976800000001</v>
      </c>
      <c r="J14" s="264">
        <v>-175.573274</v>
      </c>
      <c r="K14" s="264">
        <v>-11379.193300000001</v>
      </c>
      <c r="L14" s="264">
        <v>-3151.7809499999998</v>
      </c>
      <c r="M14" s="264">
        <v>-262.845867</v>
      </c>
      <c r="N14" s="264">
        <v>-2175.9432299999999</v>
      </c>
      <c r="O14" s="264">
        <v>457.15184799999997</v>
      </c>
      <c r="P14" s="264">
        <v>-1944.3245400000001</v>
      </c>
      <c r="Q14" s="264">
        <v>-172.103341</v>
      </c>
      <c r="R14" s="264">
        <v>-216.53622300000001</v>
      </c>
      <c r="S14" s="264">
        <v>0.64363686499999995</v>
      </c>
      <c r="T14" s="264">
        <v>4.0209079600000003E-2</v>
      </c>
      <c r="U14" s="264">
        <v>0.30067100200000002</v>
      </c>
      <c r="V14" s="264">
        <v>1.4246875500000001E-2</v>
      </c>
      <c r="W14" s="264">
        <v>1.23615148E-3</v>
      </c>
      <c r="X14" s="264">
        <v>2500</v>
      </c>
      <c r="Y14" s="264">
        <v>225.41567699999999</v>
      </c>
      <c r="AB14" s="264">
        <f t="shared" si="2"/>
        <v>4593.4879700000001</v>
      </c>
      <c r="AC14" s="264">
        <f t="shared" si="2"/>
        <v>1182.5673999999999</v>
      </c>
      <c r="AD14" s="264">
        <f t="shared" si="2"/>
        <v>-1358.89177</v>
      </c>
      <c r="AE14" s="264">
        <f t="shared" si="2"/>
        <v>-139.72976800000001</v>
      </c>
      <c r="AF14" s="264">
        <f t="shared" si="2"/>
        <v>-175.573274</v>
      </c>
      <c r="AH14" s="264">
        <f t="shared" si="3"/>
        <v>2500</v>
      </c>
      <c r="AI14" s="264">
        <v>1000</v>
      </c>
      <c r="AJ14" s="264">
        <v>1500</v>
      </c>
      <c r="AK14" s="264">
        <f t="shared" si="4"/>
        <v>5776.05537</v>
      </c>
      <c r="AL14" s="264">
        <f t="shared" si="5"/>
        <v>302.42286430622011</v>
      </c>
      <c r="AM14" s="264">
        <f t="shared" si="6"/>
        <v>1358.89177</v>
      </c>
      <c r="AN14" s="264">
        <f t="shared" si="6"/>
        <v>139.72976800000001</v>
      </c>
      <c r="AP14" s="264">
        <f t="shared" si="7"/>
        <v>225.41567699999999</v>
      </c>
      <c r="AQ14" s="266">
        <f t="shared" si="0"/>
        <v>0.64363686499999995</v>
      </c>
      <c r="AR14" s="266">
        <f t="shared" si="1"/>
        <v>4.0209079600000003E-2</v>
      </c>
      <c r="AS14" s="266">
        <f t="shared" si="1"/>
        <v>0.30067100200000002</v>
      </c>
      <c r="AT14" s="266">
        <f t="shared" si="1"/>
        <v>1.4246875500000001E-2</v>
      </c>
      <c r="AU14" s="266">
        <f t="shared" si="1"/>
        <v>1.23615148E-3</v>
      </c>
    </row>
    <row r="15" spans="1:49" x14ac:dyDescent="0.25">
      <c r="B15" s="264">
        <v>12</v>
      </c>
      <c r="C15" s="264" t="s">
        <v>1122</v>
      </c>
      <c r="E15" s="264">
        <v>915.78947400000004</v>
      </c>
      <c r="F15" s="264">
        <v>4619.1125000000002</v>
      </c>
      <c r="G15" s="264">
        <v>1182.5673999999999</v>
      </c>
      <c r="H15" s="264">
        <v>-1380.5471600000001</v>
      </c>
      <c r="I15" s="264">
        <v>-139.759061</v>
      </c>
      <c r="J15" s="264">
        <v>-175.621633</v>
      </c>
      <c r="K15" s="264">
        <v>-11383.084699999999</v>
      </c>
      <c r="L15" s="264">
        <v>-3151.78098</v>
      </c>
      <c r="M15" s="264">
        <v>-262.84586899999999</v>
      </c>
      <c r="N15" s="264">
        <v>-2175.9432299999999</v>
      </c>
      <c r="O15" s="264">
        <v>457.15184799999997</v>
      </c>
      <c r="P15" s="264">
        <v>-1944.3245400000001</v>
      </c>
      <c r="Q15" s="264">
        <v>-172.103341</v>
      </c>
      <c r="R15" s="264">
        <v>-216.53622300000001</v>
      </c>
      <c r="S15" s="264">
        <v>0.64367548200000002</v>
      </c>
      <c r="T15" s="264">
        <v>4.0315762900000003E-2</v>
      </c>
      <c r="U15" s="264">
        <v>0.30111758599999999</v>
      </c>
      <c r="V15" s="264">
        <v>1.3885359E-2</v>
      </c>
      <c r="W15" s="264">
        <v>1.0057885899999999E-3</v>
      </c>
      <c r="X15" s="264">
        <v>2500</v>
      </c>
      <c r="Y15" s="264">
        <v>225.51932600000001</v>
      </c>
      <c r="AB15" s="264">
        <f t="shared" si="2"/>
        <v>4619.1125000000002</v>
      </c>
      <c r="AC15" s="264">
        <f t="shared" si="2"/>
        <v>1182.5673999999999</v>
      </c>
      <c r="AD15" s="264">
        <f t="shared" si="2"/>
        <v>-1380.5471600000001</v>
      </c>
      <c r="AE15" s="264">
        <f t="shared" si="2"/>
        <v>-139.759061</v>
      </c>
      <c r="AF15" s="264">
        <f t="shared" si="2"/>
        <v>-175.621633</v>
      </c>
      <c r="AH15" s="264">
        <f t="shared" si="3"/>
        <v>2500</v>
      </c>
      <c r="AI15" s="264">
        <v>1000</v>
      </c>
      <c r="AJ15" s="264">
        <v>1500</v>
      </c>
      <c r="AK15" s="264">
        <f t="shared" si="4"/>
        <v>5801.6799000000001</v>
      </c>
      <c r="AL15" s="264">
        <f t="shared" si="5"/>
        <v>302.50616210526317</v>
      </c>
      <c r="AM15" s="264">
        <f t="shared" si="6"/>
        <v>1380.5471600000001</v>
      </c>
      <c r="AN15" s="264">
        <f t="shared" si="6"/>
        <v>139.759061</v>
      </c>
      <c r="AP15" s="264">
        <f t="shared" si="7"/>
        <v>225.51932600000001</v>
      </c>
      <c r="AQ15" s="266">
        <f t="shared" si="0"/>
        <v>0.64367548200000002</v>
      </c>
      <c r="AR15" s="266">
        <f t="shared" si="1"/>
        <v>4.0315762900000003E-2</v>
      </c>
      <c r="AS15" s="266">
        <f t="shared" si="1"/>
        <v>0.30111758599999999</v>
      </c>
      <c r="AT15" s="266">
        <f t="shared" si="1"/>
        <v>1.3885359E-2</v>
      </c>
      <c r="AU15" s="266">
        <f t="shared" si="1"/>
        <v>1.0057885899999999E-3</v>
      </c>
    </row>
    <row r="16" spans="1:49" x14ac:dyDescent="0.25">
      <c r="B16" s="264">
        <v>13</v>
      </c>
      <c r="C16" s="264" t="s">
        <v>1122</v>
      </c>
      <c r="E16" s="264">
        <v>926.315789</v>
      </c>
      <c r="F16" s="264">
        <v>4644.0813600000001</v>
      </c>
      <c r="G16" s="264">
        <v>1182.5673999999999</v>
      </c>
      <c r="H16" s="264">
        <v>-1402.20552</v>
      </c>
      <c r="I16" s="264">
        <v>-139.78095400000001</v>
      </c>
      <c r="J16" s="264">
        <v>-175.65904900000001</v>
      </c>
      <c r="K16" s="264">
        <v>-11386.3359</v>
      </c>
      <c r="L16" s="264">
        <v>-3151.7809999999999</v>
      </c>
      <c r="M16" s="264">
        <v>-262.84587099999999</v>
      </c>
      <c r="N16" s="264">
        <v>-2175.9432299999999</v>
      </c>
      <c r="O16" s="264">
        <v>457.15184799999997</v>
      </c>
      <c r="P16" s="264">
        <v>-1944.3245400000001</v>
      </c>
      <c r="Q16" s="264">
        <v>-172.103341</v>
      </c>
      <c r="R16" s="264">
        <v>-216.53622300000001</v>
      </c>
      <c r="S16" s="264">
        <v>0.643660801</v>
      </c>
      <c r="T16" s="264">
        <v>4.0447344099999998E-2</v>
      </c>
      <c r="U16" s="264">
        <v>0.30152263000000001</v>
      </c>
      <c r="V16" s="264">
        <v>1.35487548E-2</v>
      </c>
      <c r="W16" s="264">
        <v>8.2045281700000004E-4</v>
      </c>
      <c r="X16" s="264">
        <v>2500</v>
      </c>
      <c r="Y16" s="264">
        <v>225.60278600000001</v>
      </c>
      <c r="AB16" s="264">
        <f t="shared" si="2"/>
        <v>4644.0813600000001</v>
      </c>
      <c r="AC16" s="264">
        <f t="shared" si="2"/>
        <v>1182.5673999999999</v>
      </c>
      <c r="AD16" s="264">
        <f t="shared" si="2"/>
        <v>-1402.20552</v>
      </c>
      <c r="AE16" s="264">
        <f t="shared" si="2"/>
        <v>-139.78095400000001</v>
      </c>
      <c r="AF16" s="264">
        <f t="shared" si="2"/>
        <v>-175.65904900000001</v>
      </c>
      <c r="AH16" s="264">
        <f t="shared" si="3"/>
        <v>2500</v>
      </c>
      <c r="AI16" s="264">
        <v>1000</v>
      </c>
      <c r="AJ16" s="264">
        <v>1500</v>
      </c>
      <c r="AK16" s="264">
        <f t="shared" si="4"/>
        <v>5826.64876</v>
      </c>
      <c r="AL16" s="264">
        <f t="shared" si="5"/>
        <v>302.5706107177034</v>
      </c>
      <c r="AM16" s="264">
        <f t="shared" si="6"/>
        <v>1402.20552</v>
      </c>
      <c r="AN16" s="264">
        <f t="shared" si="6"/>
        <v>139.78095400000001</v>
      </c>
      <c r="AP16" s="264">
        <f t="shared" si="7"/>
        <v>225.60278600000001</v>
      </c>
      <c r="AQ16" s="266">
        <f t="shared" si="0"/>
        <v>0.643660801</v>
      </c>
      <c r="AR16" s="266">
        <f t="shared" si="1"/>
        <v>4.0447344099999998E-2</v>
      </c>
      <c r="AS16" s="266">
        <f t="shared" si="1"/>
        <v>0.30152263000000001</v>
      </c>
      <c r="AT16" s="266">
        <f t="shared" si="1"/>
        <v>1.35487548E-2</v>
      </c>
      <c r="AU16" s="266">
        <f t="shared" si="1"/>
        <v>8.2045281700000004E-4</v>
      </c>
    </row>
    <row r="17" spans="1:49" x14ac:dyDescent="0.25">
      <c r="B17" s="264">
        <v>14</v>
      </c>
      <c r="C17" s="264" t="s">
        <v>1122</v>
      </c>
      <c r="E17" s="264">
        <v>936.84210499999995</v>
      </c>
      <c r="F17" s="264">
        <v>4668.5286699999997</v>
      </c>
      <c r="G17" s="264">
        <v>1182.5673999999999</v>
      </c>
      <c r="H17" s="264">
        <v>-1423.87264</v>
      </c>
      <c r="I17" s="264">
        <v>-139.79697899999999</v>
      </c>
      <c r="J17" s="264">
        <v>-175.68775400000001</v>
      </c>
      <c r="K17" s="264">
        <v>-11389.0713</v>
      </c>
      <c r="L17" s="264">
        <v>-3151.7810199999999</v>
      </c>
      <c r="M17" s="264">
        <v>-262.84587199999999</v>
      </c>
      <c r="N17" s="264">
        <v>-2175.9432299999999</v>
      </c>
      <c r="O17" s="264">
        <v>457.15184799999997</v>
      </c>
      <c r="P17" s="264">
        <v>-1944.3245400000001</v>
      </c>
      <c r="Q17" s="264">
        <v>-172.103341</v>
      </c>
      <c r="R17" s="264">
        <v>-216.53622300000001</v>
      </c>
      <c r="S17" s="264">
        <v>0.64360487399999999</v>
      </c>
      <c r="T17" s="264">
        <v>4.05974838E-2</v>
      </c>
      <c r="U17" s="264">
        <v>0.30189315900000002</v>
      </c>
      <c r="V17" s="264">
        <v>1.3233382599999999E-2</v>
      </c>
      <c r="W17" s="264">
        <v>6.7108648799999999E-4</v>
      </c>
      <c r="X17" s="264">
        <v>2500</v>
      </c>
      <c r="Y17" s="264">
        <v>225.67009300000001</v>
      </c>
      <c r="AB17" s="264">
        <f t="shared" si="2"/>
        <v>4668.5286699999997</v>
      </c>
      <c r="AC17" s="264">
        <f t="shared" si="2"/>
        <v>1182.5673999999999</v>
      </c>
      <c r="AD17" s="264">
        <f t="shared" si="2"/>
        <v>-1423.87264</v>
      </c>
      <c r="AE17" s="264">
        <f t="shared" si="2"/>
        <v>-139.79697899999999</v>
      </c>
      <c r="AF17" s="264">
        <f t="shared" si="2"/>
        <v>-175.68775400000001</v>
      </c>
      <c r="AH17" s="264">
        <f t="shared" si="3"/>
        <v>2500</v>
      </c>
      <c r="AI17" s="264">
        <v>1000</v>
      </c>
      <c r="AJ17" s="264">
        <v>1500</v>
      </c>
      <c r="AK17" s="264">
        <f t="shared" si="4"/>
        <v>5851.0960699999996</v>
      </c>
      <c r="AL17" s="264">
        <f t="shared" si="5"/>
        <v>302.62005473684212</v>
      </c>
      <c r="AM17" s="264">
        <f t="shared" si="6"/>
        <v>1423.87264</v>
      </c>
      <c r="AN17" s="264">
        <f t="shared" si="6"/>
        <v>139.79697899999999</v>
      </c>
      <c r="AP17" s="264">
        <f t="shared" si="7"/>
        <v>225.67009300000001</v>
      </c>
      <c r="AQ17" s="266">
        <f t="shared" si="0"/>
        <v>0.64360487399999999</v>
      </c>
      <c r="AR17" s="266">
        <f t="shared" si="1"/>
        <v>4.05974838E-2</v>
      </c>
      <c r="AS17" s="266">
        <f t="shared" si="1"/>
        <v>0.30189315900000002</v>
      </c>
      <c r="AT17" s="266">
        <f t="shared" si="1"/>
        <v>1.3233382599999999E-2</v>
      </c>
      <c r="AU17" s="266">
        <f t="shared" si="1"/>
        <v>6.7108648799999999E-4</v>
      </c>
    </row>
    <row r="18" spans="1:49" x14ac:dyDescent="0.25">
      <c r="B18" s="264">
        <v>15</v>
      </c>
      <c r="C18" s="264" t="s">
        <v>1122</v>
      </c>
      <c r="E18" s="264">
        <v>947.36842100000001</v>
      </c>
      <c r="F18" s="264">
        <v>4692.5618000000004</v>
      </c>
      <c r="G18" s="264">
        <v>1182.5673999999999</v>
      </c>
      <c r="H18" s="264">
        <v>-1445.5531699999999</v>
      </c>
      <c r="I18" s="264">
        <v>-139.808357</v>
      </c>
      <c r="J18" s="264">
        <v>-175.70953700000001</v>
      </c>
      <c r="K18" s="264">
        <v>-11391.390799999999</v>
      </c>
      <c r="L18" s="264">
        <v>-3151.7810300000001</v>
      </c>
      <c r="M18" s="264">
        <v>-262.84587299999998</v>
      </c>
      <c r="N18" s="264">
        <v>-2175.9432299999999</v>
      </c>
      <c r="O18" s="264">
        <v>457.15184799999997</v>
      </c>
      <c r="P18" s="264">
        <v>-1944.3245400000001</v>
      </c>
      <c r="Q18" s="264">
        <v>-172.103341</v>
      </c>
      <c r="R18" s="264">
        <v>-216.53622300000001</v>
      </c>
      <c r="S18" s="264">
        <v>0.64351731499999998</v>
      </c>
      <c r="T18" s="264">
        <v>4.0761126199999997E-2</v>
      </c>
      <c r="U18" s="264">
        <v>0.30223478300000001</v>
      </c>
      <c r="V18" s="264">
        <v>1.29363026E-2</v>
      </c>
      <c r="W18" s="264">
        <v>5.5046198799999998E-4</v>
      </c>
      <c r="X18" s="264">
        <v>2500</v>
      </c>
      <c r="Y18" s="264">
        <v>225.72447700000001</v>
      </c>
      <c r="AB18" s="264">
        <f t="shared" si="2"/>
        <v>4692.5618000000004</v>
      </c>
      <c r="AC18" s="264">
        <f t="shared" si="2"/>
        <v>1182.5673999999999</v>
      </c>
      <c r="AD18" s="264">
        <f t="shared" si="2"/>
        <v>-1445.5531699999999</v>
      </c>
      <c r="AE18" s="264">
        <f t="shared" si="2"/>
        <v>-139.808357</v>
      </c>
      <c r="AF18" s="264">
        <f t="shared" si="2"/>
        <v>-175.70953700000001</v>
      </c>
      <c r="AH18" s="264">
        <f t="shared" si="3"/>
        <v>2500</v>
      </c>
      <c r="AI18" s="264">
        <v>1000</v>
      </c>
      <c r="AJ18" s="264">
        <v>1500</v>
      </c>
      <c r="AK18" s="264">
        <f t="shared" si="4"/>
        <v>5875.1292000000003</v>
      </c>
      <c r="AL18" s="264">
        <f t="shared" si="5"/>
        <v>302.6575756937799</v>
      </c>
      <c r="AM18" s="264">
        <f t="shared" si="6"/>
        <v>1445.5531699999999</v>
      </c>
      <c r="AN18" s="264">
        <f t="shared" si="6"/>
        <v>139.808357</v>
      </c>
      <c r="AP18" s="264">
        <f t="shared" si="7"/>
        <v>225.72447700000001</v>
      </c>
      <c r="AQ18" s="266">
        <f t="shared" si="0"/>
        <v>0.64351731499999998</v>
      </c>
      <c r="AR18" s="266">
        <f t="shared" si="1"/>
        <v>4.0761126199999997E-2</v>
      </c>
      <c r="AS18" s="266">
        <f t="shared" si="1"/>
        <v>0.30223478300000001</v>
      </c>
      <c r="AT18" s="266">
        <f t="shared" si="1"/>
        <v>1.29363026E-2</v>
      </c>
      <c r="AU18" s="266">
        <f t="shared" si="1"/>
        <v>5.5046198799999998E-4</v>
      </c>
    </row>
    <row r="19" spans="1:49" x14ac:dyDescent="0.25">
      <c r="B19" s="264">
        <v>16</v>
      </c>
      <c r="C19" s="264" t="s">
        <v>1122</v>
      </c>
      <c r="E19" s="264">
        <v>957.89473699999996</v>
      </c>
      <c r="F19" s="264">
        <v>4716.2664699999996</v>
      </c>
      <c r="G19" s="264">
        <v>1182.5673999999999</v>
      </c>
      <c r="H19" s="264">
        <v>-1467.2508499999999</v>
      </c>
      <c r="I19" s="264">
        <v>-139.81606500000001</v>
      </c>
      <c r="J19" s="264">
        <v>-175.725821</v>
      </c>
      <c r="K19" s="264">
        <v>-11393.373799999999</v>
      </c>
      <c r="L19" s="264">
        <v>-3151.7810399999998</v>
      </c>
      <c r="M19" s="264">
        <v>-262.84587399999998</v>
      </c>
      <c r="N19" s="264">
        <v>-2175.9432299999999</v>
      </c>
      <c r="O19" s="264">
        <v>457.15184799999997</v>
      </c>
      <c r="P19" s="264">
        <v>-1944.3245400000001</v>
      </c>
      <c r="Q19" s="264">
        <v>-172.103341</v>
      </c>
      <c r="R19" s="264">
        <v>-216.53622300000001</v>
      </c>
      <c r="S19" s="264">
        <v>0.64340576400000005</v>
      </c>
      <c r="T19" s="264">
        <v>4.0934261499999999E-2</v>
      </c>
      <c r="U19" s="264">
        <v>0.302551982</v>
      </c>
      <c r="V19" s="264">
        <v>1.2655158499999999E-2</v>
      </c>
      <c r="W19" s="264">
        <v>4.5282446399999999E-4</v>
      </c>
      <c r="X19" s="264">
        <v>2500</v>
      </c>
      <c r="Y19" s="264">
        <v>225.768517</v>
      </c>
      <c r="AB19" s="264">
        <f t="shared" si="2"/>
        <v>4716.2664699999996</v>
      </c>
      <c r="AC19" s="264">
        <f t="shared" si="2"/>
        <v>1182.5673999999999</v>
      </c>
      <c r="AD19" s="264">
        <f t="shared" si="2"/>
        <v>-1467.2508499999999</v>
      </c>
      <c r="AE19" s="264">
        <f t="shared" si="2"/>
        <v>-139.81606500000001</v>
      </c>
      <c r="AF19" s="264">
        <f t="shared" si="2"/>
        <v>-175.725821</v>
      </c>
      <c r="AH19" s="264">
        <f t="shared" si="3"/>
        <v>2500</v>
      </c>
      <c r="AI19" s="264">
        <v>1000</v>
      </c>
      <c r="AJ19" s="264">
        <v>1500</v>
      </c>
      <c r="AK19" s="264">
        <f t="shared" si="4"/>
        <v>5898.8338699999995</v>
      </c>
      <c r="AL19" s="264">
        <f t="shared" si="5"/>
        <v>302.68562468899523</v>
      </c>
      <c r="AM19" s="264">
        <f t="shared" si="6"/>
        <v>1467.2508499999999</v>
      </c>
      <c r="AN19" s="264">
        <f t="shared" si="6"/>
        <v>139.81606500000001</v>
      </c>
      <c r="AP19" s="264">
        <f t="shared" si="7"/>
        <v>225.768517</v>
      </c>
      <c r="AQ19" s="266">
        <f t="shared" si="0"/>
        <v>0.64340576400000005</v>
      </c>
      <c r="AR19" s="266">
        <f t="shared" si="1"/>
        <v>4.0934261499999999E-2</v>
      </c>
      <c r="AS19" s="266">
        <f t="shared" si="1"/>
        <v>0.302551982</v>
      </c>
      <c r="AT19" s="266">
        <f t="shared" si="1"/>
        <v>1.2655158499999999E-2</v>
      </c>
      <c r="AU19" s="266">
        <f t="shared" si="1"/>
        <v>4.5282446399999999E-4</v>
      </c>
    </row>
    <row r="20" spans="1:49" x14ac:dyDescent="0.25">
      <c r="B20" s="264">
        <v>17</v>
      </c>
      <c r="C20" s="264" t="s">
        <v>1122</v>
      </c>
      <c r="E20" s="264">
        <v>968.42105300000003</v>
      </c>
      <c r="F20" s="264">
        <v>4739.7110499999999</v>
      </c>
      <c r="G20" s="264">
        <v>1182.5673999999999</v>
      </c>
      <c r="H20" s="264">
        <v>-1488.96865</v>
      </c>
      <c r="I20" s="264">
        <v>-139.82087799999999</v>
      </c>
      <c r="J20" s="264">
        <v>-175.73774</v>
      </c>
      <c r="K20" s="264">
        <v>-11395.0838</v>
      </c>
      <c r="L20" s="264">
        <v>-3151.7810500000001</v>
      </c>
      <c r="M20" s="264">
        <v>-262.84587499999998</v>
      </c>
      <c r="N20" s="264">
        <v>-2175.9432299999999</v>
      </c>
      <c r="O20" s="264">
        <v>457.15184799999997</v>
      </c>
      <c r="P20" s="264">
        <v>-1944.3245400000001</v>
      </c>
      <c r="Q20" s="264">
        <v>-172.103341</v>
      </c>
      <c r="R20" s="264">
        <v>-216.53622300000001</v>
      </c>
      <c r="S20" s="264">
        <v>0.64327627399999998</v>
      </c>
      <c r="T20" s="264">
        <v>4.1113724300000001E-2</v>
      </c>
      <c r="U20" s="264">
        <v>0.30284834500000002</v>
      </c>
      <c r="V20" s="264">
        <v>1.23880521E-2</v>
      </c>
      <c r="W20" s="264">
        <v>3.7359666500000002E-4</v>
      </c>
      <c r="X20" s="264">
        <v>2500</v>
      </c>
      <c r="Y20" s="264">
        <v>225.80426600000001</v>
      </c>
      <c r="AB20" s="264">
        <f t="shared" si="2"/>
        <v>4739.7110499999999</v>
      </c>
      <c r="AC20" s="264">
        <f t="shared" si="2"/>
        <v>1182.5673999999999</v>
      </c>
      <c r="AD20" s="264">
        <f t="shared" si="2"/>
        <v>-1488.96865</v>
      </c>
      <c r="AE20" s="264">
        <f t="shared" si="2"/>
        <v>-139.82087799999999</v>
      </c>
      <c r="AF20" s="264">
        <f t="shared" si="2"/>
        <v>-175.73774</v>
      </c>
      <c r="AH20" s="264">
        <f t="shared" si="3"/>
        <v>2500</v>
      </c>
      <c r="AI20" s="264">
        <v>1000</v>
      </c>
      <c r="AJ20" s="264">
        <v>1500</v>
      </c>
      <c r="AK20" s="264">
        <f t="shared" si="4"/>
        <v>5922.2784499999998</v>
      </c>
      <c r="AL20" s="264">
        <f t="shared" si="5"/>
        <v>302.70615502392349</v>
      </c>
      <c r="AM20" s="264">
        <f t="shared" si="6"/>
        <v>1488.96865</v>
      </c>
      <c r="AN20" s="264">
        <f t="shared" si="6"/>
        <v>139.82087799999999</v>
      </c>
      <c r="AP20" s="264">
        <f t="shared" si="7"/>
        <v>225.80426600000001</v>
      </c>
      <c r="AQ20" s="266">
        <f t="shared" si="0"/>
        <v>0.64327627399999998</v>
      </c>
      <c r="AR20" s="266">
        <f t="shared" ref="AR20:AU23" si="8">T20</f>
        <v>4.1113724300000001E-2</v>
      </c>
      <c r="AS20" s="266">
        <f t="shared" si="8"/>
        <v>0.30284834500000002</v>
      </c>
      <c r="AT20" s="266">
        <f t="shared" si="8"/>
        <v>1.23880521E-2</v>
      </c>
      <c r="AU20" s="266">
        <f t="shared" si="8"/>
        <v>3.7359666500000002E-4</v>
      </c>
    </row>
    <row r="21" spans="1:49" x14ac:dyDescent="0.25">
      <c r="B21" s="264">
        <v>18</v>
      </c>
      <c r="C21" s="264" t="s">
        <v>1122</v>
      </c>
      <c r="E21" s="264">
        <v>978.94736799999998</v>
      </c>
      <c r="F21" s="264">
        <v>4762.9500600000001</v>
      </c>
      <c r="G21" s="264">
        <v>1182.5673999999999</v>
      </c>
      <c r="H21" s="264">
        <v>-1510.70893</v>
      </c>
      <c r="I21" s="264">
        <v>-139.82341400000001</v>
      </c>
      <c r="J21" s="264">
        <v>-175.746197</v>
      </c>
      <c r="K21" s="264">
        <v>-11396.5715</v>
      </c>
      <c r="L21" s="264">
        <v>-3151.7810599999998</v>
      </c>
      <c r="M21" s="264">
        <v>-262.84587599999998</v>
      </c>
      <c r="N21" s="264">
        <v>-2175.9432299999999</v>
      </c>
      <c r="O21" s="264">
        <v>457.15184799999997</v>
      </c>
      <c r="P21" s="264">
        <v>-1944.3245400000001</v>
      </c>
      <c r="Q21" s="264">
        <v>-172.103341</v>
      </c>
      <c r="R21" s="264">
        <v>-216.53622300000001</v>
      </c>
      <c r="S21" s="264">
        <v>0.64313362799999996</v>
      </c>
      <c r="T21" s="264">
        <v>4.1297027600000001E-2</v>
      </c>
      <c r="U21" s="264">
        <v>0.303126756</v>
      </c>
      <c r="V21" s="264">
        <v>1.2133444E-2</v>
      </c>
      <c r="W21" s="264">
        <v>3.0913869700000001E-4</v>
      </c>
      <c r="X21" s="264">
        <v>2500</v>
      </c>
      <c r="Y21" s="264">
        <v>225.833359</v>
      </c>
      <c r="AB21" s="264">
        <f t="shared" si="2"/>
        <v>4762.9500600000001</v>
      </c>
      <c r="AC21" s="264">
        <f t="shared" si="2"/>
        <v>1182.5673999999999</v>
      </c>
      <c r="AD21" s="264">
        <f t="shared" si="2"/>
        <v>-1510.70893</v>
      </c>
      <c r="AE21" s="264">
        <f t="shared" si="2"/>
        <v>-139.82341400000001</v>
      </c>
      <c r="AF21" s="264">
        <f t="shared" si="2"/>
        <v>-175.746197</v>
      </c>
      <c r="AH21" s="264">
        <f t="shared" si="3"/>
        <v>2500</v>
      </c>
      <c r="AI21" s="264">
        <v>1000</v>
      </c>
      <c r="AJ21" s="264">
        <v>1500</v>
      </c>
      <c r="AK21" s="264">
        <f t="shared" si="4"/>
        <v>5945.51746</v>
      </c>
      <c r="AL21" s="264">
        <f t="shared" si="5"/>
        <v>302.72072210526312</v>
      </c>
      <c r="AM21" s="264">
        <f t="shared" si="6"/>
        <v>1510.70893</v>
      </c>
      <c r="AN21" s="264">
        <f t="shared" si="6"/>
        <v>139.82341400000001</v>
      </c>
      <c r="AP21" s="264">
        <f t="shared" si="7"/>
        <v>225.833359</v>
      </c>
      <c r="AQ21" s="266">
        <f t="shared" si="0"/>
        <v>0.64313362799999996</v>
      </c>
      <c r="AR21" s="266">
        <f t="shared" si="8"/>
        <v>4.1297027600000001E-2</v>
      </c>
      <c r="AS21" s="266">
        <f t="shared" si="8"/>
        <v>0.303126756</v>
      </c>
      <c r="AT21" s="266">
        <f t="shared" si="8"/>
        <v>1.2133444E-2</v>
      </c>
      <c r="AU21" s="266">
        <f t="shared" si="8"/>
        <v>3.0913869700000001E-4</v>
      </c>
    </row>
    <row r="22" spans="1:49" x14ac:dyDescent="0.25">
      <c r="B22" s="264">
        <v>19</v>
      </c>
      <c r="C22" s="264" t="s">
        <v>1122</v>
      </c>
      <c r="E22" s="264">
        <v>989.47368400000005</v>
      </c>
      <c r="F22" s="264">
        <v>4786.027</v>
      </c>
      <c r="G22" s="264">
        <v>1182.5673999999999</v>
      </c>
      <c r="H22" s="264">
        <v>-1532.4735800000001</v>
      </c>
      <c r="I22" s="264">
        <v>-139.824162</v>
      </c>
      <c r="J22" s="264">
        <v>-175.75191000000001</v>
      </c>
      <c r="K22" s="264">
        <v>-11397.8773</v>
      </c>
      <c r="L22" s="264">
        <v>-3151.7810599999998</v>
      </c>
      <c r="M22" s="264">
        <v>-262.84587599999998</v>
      </c>
      <c r="N22" s="264">
        <v>-2175.9432299999999</v>
      </c>
      <c r="O22" s="264">
        <v>457.15184799999997</v>
      </c>
      <c r="P22" s="264">
        <v>-1944.3245400000001</v>
      </c>
      <c r="Q22" s="264">
        <v>-172.103341</v>
      </c>
      <c r="R22" s="264">
        <v>-216.53622300000001</v>
      </c>
      <c r="S22" s="264">
        <v>0.64298159700000002</v>
      </c>
      <c r="T22" s="264">
        <v>4.1482226099999998E-2</v>
      </c>
      <c r="U22" s="264">
        <v>0.30338954200000001</v>
      </c>
      <c r="V22" s="264">
        <v>1.18900759E-2</v>
      </c>
      <c r="W22" s="264">
        <v>2.5655462700000003E-4</v>
      </c>
      <c r="X22" s="264">
        <v>2500</v>
      </c>
      <c r="Y22" s="264">
        <v>225.85709800000001</v>
      </c>
      <c r="AB22" s="264">
        <f t="shared" si="2"/>
        <v>4786.027</v>
      </c>
      <c r="AC22" s="264">
        <f t="shared" si="2"/>
        <v>1182.5673999999999</v>
      </c>
      <c r="AD22" s="264">
        <f t="shared" si="2"/>
        <v>-1532.4735800000001</v>
      </c>
      <c r="AE22" s="264">
        <f t="shared" si="2"/>
        <v>-139.824162</v>
      </c>
      <c r="AF22" s="264">
        <f t="shared" si="2"/>
        <v>-175.75191000000001</v>
      </c>
      <c r="AH22" s="264">
        <f t="shared" si="3"/>
        <v>2500</v>
      </c>
      <c r="AI22" s="264">
        <v>1000</v>
      </c>
      <c r="AJ22" s="264">
        <v>1500</v>
      </c>
      <c r="AK22" s="264">
        <f t="shared" si="4"/>
        <v>5968.5944</v>
      </c>
      <c r="AL22" s="264">
        <f t="shared" si="5"/>
        <v>302.73056267942587</v>
      </c>
      <c r="AM22" s="264">
        <f t="shared" si="6"/>
        <v>1532.4735800000001</v>
      </c>
      <c r="AN22" s="264">
        <f t="shared" si="6"/>
        <v>139.824162</v>
      </c>
      <c r="AP22" s="264">
        <f t="shared" si="7"/>
        <v>225.85709800000001</v>
      </c>
      <c r="AQ22" s="266">
        <f t="shared" si="0"/>
        <v>0.64298159700000002</v>
      </c>
      <c r="AR22" s="266">
        <f t="shared" si="8"/>
        <v>4.1482226099999998E-2</v>
      </c>
      <c r="AS22" s="266">
        <f t="shared" si="8"/>
        <v>0.30338954200000001</v>
      </c>
      <c r="AT22" s="266">
        <f t="shared" si="8"/>
        <v>1.18900759E-2</v>
      </c>
      <c r="AU22" s="266">
        <f t="shared" si="8"/>
        <v>2.5655462700000003E-4</v>
      </c>
    </row>
    <row r="23" spans="1:49" x14ac:dyDescent="0.25">
      <c r="B23" s="264">
        <v>20</v>
      </c>
      <c r="C23" s="264" t="s">
        <v>1122</v>
      </c>
      <c r="E23" s="264">
        <v>1000</v>
      </c>
      <c r="F23" s="264">
        <v>4808.9766200000004</v>
      </c>
      <c r="G23" s="264">
        <v>1182.5673999999999</v>
      </c>
      <c r="H23" s="264">
        <v>-1554.26406</v>
      </c>
      <c r="I23" s="264">
        <v>-139.82351199999999</v>
      </c>
      <c r="J23" s="264">
        <v>-175.755447</v>
      </c>
      <c r="K23" s="264">
        <v>-11399.033600000001</v>
      </c>
      <c r="L23" s="264">
        <v>-3151.78107</v>
      </c>
      <c r="M23" s="264">
        <v>-262.84587699999997</v>
      </c>
      <c r="N23" s="264">
        <v>-2175.9432299999999</v>
      </c>
      <c r="O23" s="264">
        <v>457.15184799999997</v>
      </c>
      <c r="P23" s="264">
        <v>-1944.3245400000001</v>
      </c>
      <c r="Q23" s="264">
        <v>-172.103341</v>
      </c>
      <c r="R23" s="264">
        <v>-216.53622300000001</v>
      </c>
      <c r="S23" s="264">
        <v>0.64282314900000004</v>
      </c>
      <c r="T23" s="264">
        <v>4.1667806100000003E-2</v>
      </c>
      <c r="U23" s="264">
        <v>0.30363859199999998</v>
      </c>
      <c r="V23" s="264">
        <v>1.1656909999999999E-2</v>
      </c>
      <c r="W23" s="264">
        <v>2.1353800599999999E-4</v>
      </c>
      <c r="X23" s="264">
        <v>2500</v>
      </c>
      <c r="Y23" s="264">
        <v>225.876521</v>
      </c>
      <c r="AB23" s="264">
        <f t="shared" si="2"/>
        <v>4808.9766200000004</v>
      </c>
      <c r="AC23" s="264">
        <f t="shared" si="2"/>
        <v>1182.5673999999999</v>
      </c>
      <c r="AD23" s="264">
        <f t="shared" si="2"/>
        <v>-1554.26406</v>
      </c>
      <c r="AE23" s="264">
        <f t="shared" si="2"/>
        <v>-139.82351199999999</v>
      </c>
      <c r="AF23" s="264">
        <f t="shared" si="2"/>
        <v>-175.755447</v>
      </c>
      <c r="AH23" s="264">
        <f t="shared" si="3"/>
        <v>2500</v>
      </c>
      <c r="AI23" s="264">
        <v>1000</v>
      </c>
      <c r="AJ23" s="264">
        <v>1500</v>
      </c>
      <c r="AK23" s="264">
        <f t="shared" si="4"/>
        <v>5991.5440200000003</v>
      </c>
      <c r="AL23" s="264">
        <f t="shared" si="5"/>
        <v>302.73665511961724</v>
      </c>
      <c r="AM23" s="264">
        <f t="shared" si="6"/>
        <v>1554.26406</v>
      </c>
      <c r="AN23" s="264">
        <f t="shared" si="6"/>
        <v>139.82351199999999</v>
      </c>
      <c r="AP23" s="264">
        <f t="shared" si="7"/>
        <v>225.876521</v>
      </c>
      <c r="AQ23" s="266">
        <f t="shared" si="0"/>
        <v>0.64282314900000004</v>
      </c>
      <c r="AR23" s="266">
        <f t="shared" si="8"/>
        <v>4.1667806100000003E-2</v>
      </c>
      <c r="AS23" s="266">
        <f t="shared" si="8"/>
        <v>0.30363859199999998</v>
      </c>
      <c r="AT23" s="266">
        <f t="shared" si="8"/>
        <v>1.1656909999999999E-2</v>
      </c>
      <c r="AU23" s="266">
        <f t="shared" si="8"/>
        <v>2.1353800599999999E-4</v>
      </c>
    </row>
    <row r="25" spans="1:49" s="262" customFormat="1" x14ac:dyDescent="0.25">
      <c r="A25" s="262" t="s">
        <v>21</v>
      </c>
    </row>
    <row r="26" spans="1:49" s="263" customFormat="1" x14ac:dyDescent="0.25">
      <c r="AB26" s="263" t="s">
        <v>1079</v>
      </c>
      <c r="AC26" s="263" t="s">
        <v>1079</v>
      </c>
      <c r="AD26" s="263" t="s">
        <v>1080</v>
      </c>
      <c r="AE26" s="263" t="s">
        <v>1080</v>
      </c>
      <c r="AF26" s="263" t="s">
        <v>1079</v>
      </c>
      <c r="AH26" s="263" t="s">
        <v>1081</v>
      </c>
      <c r="AP26" s="263" t="s">
        <v>2053</v>
      </c>
      <c r="AW26" s="263" t="s">
        <v>3</v>
      </c>
    </row>
    <row r="27" spans="1:49" x14ac:dyDescent="0.25">
      <c r="B27" s="264" t="s">
        <v>1082</v>
      </c>
      <c r="C27" s="264" t="s">
        <v>1083</v>
      </c>
      <c r="D27" s="264" t="s">
        <v>1084</v>
      </c>
      <c r="E27" s="264" t="s">
        <v>1085</v>
      </c>
      <c r="F27" s="264" t="s">
        <v>1086</v>
      </c>
      <c r="G27" s="264" t="s">
        <v>1087</v>
      </c>
      <c r="H27" s="264" t="s">
        <v>1088</v>
      </c>
      <c r="I27" s="264" t="s">
        <v>1089</v>
      </c>
      <c r="J27" s="264" t="s">
        <v>1090</v>
      </c>
      <c r="K27" s="264" t="s">
        <v>1091</v>
      </c>
      <c r="L27" s="264" t="s">
        <v>1092</v>
      </c>
      <c r="M27" s="264" t="s">
        <v>1093</v>
      </c>
      <c r="N27" s="264" t="s">
        <v>1094</v>
      </c>
      <c r="O27" s="264" t="s">
        <v>1095</v>
      </c>
      <c r="P27" s="264" t="s">
        <v>1096</v>
      </c>
      <c r="Q27" s="264" t="s">
        <v>1097</v>
      </c>
      <c r="R27" s="264" t="s">
        <v>1098</v>
      </c>
      <c r="S27" s="264" t="s">
        <v>1099</v>
      </c>
      <c r="T27" s="264" t="s">
        <v>1100</v>
      </c>
      <c r="U27" s="264" t="s">
        <v>1101</v>
      </c>
      <c r="V27" s="264" t="s">
        <v>1102</v>
      </c>
      <c r="W27" s="264" t="s">
        <v>1103</v>
      </c>
      <c r="X27" s="264" t="s">
        <v>1104</v>
      </c>
      <c r="Y27" s="264" t="s">
        <v>1105</v>
      </c>
      <c r="AB27" s="264" t="s">
        <v>1106</v>
      </c>
      <c r="AC27" s="264" t="s">
        <v>1107</v>
      </c>
      <c r="AD27" s="264" t="s">
        <v>1108</v>
      </c>
      <c r="AE27" s="264" t="s">
        <v>1109</v>
      </c>
      <c r="AF27" s="264" t="s">
        <v>1110</v>
      </c>
      <c r="AH27" s="264" t="s">
        <v>1111</v>
      </c>
      <c r="AI27" s="264" t="s">
        <v>2051</v>
      </c>
      <c r="AJ27" s="264" t="s">
        <v>1112</v>
      </c>
      <c r="AK27" s="264" t="s">
        <v>2052</v>
      </c>
      <c r="AL27" s="264" t="s">
        <v>1113</v>
      </c>
      <c r="AM27" s="264" t="s">
        <v>1114</v>
      </c>
      <c r="AN27" s="264" t="s">
        <v>1115</v>
      </c>
      <c r="AO27" s="264" t="s">
        <v>3</v>
      </c>
      <c r="AP27" s="264" t="s">
        <v>1116</v>
      </c>
      <c r="AQ27" s="264" t="s">
        <v>1117</v>
      </c>
      <c r="AR27" s="264" t="s">
        <v>1118</v>
      </c>
      <c r="AS27" s="264" t="s">
        <v>1119</v>
      </c>
      <c r="AT27" s="264" t="s">
        <v>1120</v>
      </c>
      <c r="AU27" s="264" t="s">
        <v>1121</v>
      </c>
      <c r="AW27" s="264" t="s">
        <v>3</v>
      </c>
    </row>
    <row r="28" spans="1:49" x14ac:dyDescent="0.25">
      <c r="B28" s="264">
        <v>1</v>
      </c>
      <c r="C28" s="264" t="s">
        <v>1122</v>
      </c>
      <c r="E28" s="264">
        <v>800</v>
      </c>
      <c r="F28" s="264">
        <v>4268.9257900000002</v>
      </c>
      <c r="G28" s="264">
        <v>1182.5673999999999</v>
      </c>
      <c r="H28" s="264">
        <v>-1139.7568699999999</v>
      </c>
      <c r="I28" s="264">
        <v>-138.30584999999999</v>
      </c>
      <c r="J28" s="264">
        <v>-173.43428499999999</v>
      </c>
      <c r="K28" s="264">
        <v>-11246.044900000001</v>
      </c>
      <c r="L28" s="264">
        <v>-3151.4291699999999</v>
      </c>
      <c r="M28" s="264">
        <v>-262.81609099999997</v>
      </c>
      <c r="N28" s="264">
        <v>-2175.2498300000002</v>
      </c>
      <c r="O28" s="264">
        <v>457.15184799999997</v>
      </c>
      <c r="P28" s="264">
        <v>-1944.3245400000001</v>
      </c>
      <c r="Q28" s="264">
        <v>-172.103341</v>
      </c>
      <c r="R28" s="264">
        <v>-216.53622300000001</v>
      </c>
      <c r="S28" s="264">
        <v>0.63467184799999998</v>
      </c>
      <c r="T28" s="264">
        <v>4.3368446300000002E-2</v>
      </c>
      <c r="U28" s="264">
        <v>0.29060767999999998</v>
      </c>
      <c r="V28" s="264">
        <v>2.1067927399999999E-2</v>
      </c>
      <c r="W28" s="264">
        <v>1.02838667E-2</v>
      </c>
      <c r="X28" s="264">
        <v>2500</v>
      </c>
      <c r="Y28" s="264">
        <v>221.37729300000001</v>
      </c>
      <c r="AB28" s="264">
        <f>F28</f>
        <v>4268.9257900000002</v>
      </c>
      <c r="AC28" s="264">
        <f>G28</f>
        <v>1182.5673999999999</v>
      </c>
      <c r="AD28" s="264">
        <f>H28</f>
        <v>-1139.7568699999999</v>
      </c>
      <c r="AE28" s="264">
        <f>I28</f>
        <v>-138.30584999999999</v>
      </c>
      <c r="AF28" s="264">
        <f>J28</f>
        <v>-173.43428499999999</v>
      </c>
      <c r="AH28" s="264">
        <f>X28</f>
        <v>2500</v>
      </c>
      <c r="AI28" s="264">
        <v>1000</v>
      </c>
      <c r="AJ28" s="264">
        <v>1500</v>
      </c>
      <c r="AK28" s="264">
        <f>AB28+AC28</f>
        <v>5451.4931900000001</v>
      </c>
      <c r="AL28" s="264">
        <f>ABS(AF28)/(4.18*15)*3600*0.03</f>
        <v>298.73848133971291</v>
      </c>
      <c r="AM28" s="264">
        <f>ABS(AD28)</f>
        <v>1139.7568699999999</v>
      </c>
      <c r="AN28" s="264">
        <f>ABS(AE28)</f>
        <v>138.30584999999999</v>
      </c>
      <c r="AP28" s="264">
        <f>Y28</f>
        <v>221.37729300000001</v>
      </c>
      <c r="AQ28" s="266">
        <f>S28</f>
        <v>0.63467184799999998</v>
      </c>
      <c r="AR28" s="266">
        <f t="shared" ref="AR28:AU47" si="9">T28</f>
        <v>4.3368446300000002E-2</v>
      </c>
      <c r="AS28" s="266">
        <f t="shared" si="9"/>
        <v>0.29060767999999998</v>
      </c>
      <c r="AT28" s="266">
        <f t="shared" si="9"/>
        <v>2.1067927399999999E-2</v>
      </c>
      <c r="AU28" s="266">
        <f t="shared" si="9"/>
        <v>1.02838667E-2</v>
      </c>
    </row>
    <row r="29" spans="1:49" x14ac:dyDescent="0.25">
      <c r="B29" s="264">
        <v>2</v>
      </c>
      <c r="C29" s="264" t="s">
        <v>1122</v>
      </c>
      <c r="E29" s="264">
        <v>810.52631599999995</v>
      </c>
      <c r="F29" s="264">
        <v>4318.8395499999997</v>
      </c>
      <c r="G29" s="264">
        <v>1182.5673999999999</v>
      </c>
      <c r="H29" s="264">
        <v>-1162.0943199999999</v>
      </c>
      <c r="I29" s="264">
        <v>-138.60950299999999</v>
      </c>
      <c r="J29" s="264">
        <v>-173.885403</v>
      </c>
      <c r="K29" s="264">
        <v>-11272.866099999999</v>
      </c>
      <c r="L29" s="264">
        <v>-3151.4293899999998</v>
      </c>
      <c r="M29" s="264">
        <v>-262.81610999999998</v>
      </c>
      <c r="N29" s="264">
        <v>-2175.2498399999999</v>
      </c>
      <c r="O29" s="264">
        <v>457.15184799999997</v>
      </c>
      <c r="P29" s="264">
        <v>-1944.3245400000001</v>
      </c>
      <c r="Q29" s="264">
        <v>-172.103341</v>
      </c>
      <c r="R29" s="264">
        <v>-216.53622300000001</v>
      </c>
      <c r="S29" s="264">
        <v>0.63685567399999998</v>
      </c>
      <c r="T29" s="264">
        <v>4.2398932200000003E-2</v>
      </c>
      <c r="U29" s="264">
        <v>0.29247742900000001</v>
      </c>
      <c r="V29" s="264">
        <v>1.9908508599999999E-2</v>
      </c>
      <c r="W29" s="264">
        <v>8.3592676399999993E-3</v>
      </c>
      <c r="X29" s="264">
        <v>2500</v>
      </c>
      <c r="Y29" s="264">
        <v>222.21543600000001</v>
      </c>
      <c r="AB29" s="264">
        <f t="shared" ref="AB29:AF47" si="10">F29</f>
        <v>4318.8395499999997</v>
      </c>
      <c r="AC29" s="264">
        <f t="shared" si="10"/>
        <v>1182.5673999999999</v>
      </c>
      <c r="AD29" s="264">
        <f t="shared" si="10"/>
        <v>-1162.0943199999999</v>
      </c>
      <c r="AE29" s="264">
        <f t="shared" si="10"/>
        <v>-138.60950299999999</v>
      </c>
      <c r="AF29" s="264">
        <f t="shared" si="10"/>
        <v>-173.885403</v>
      </c>
      <c r="AH29" s="264">
        <f t="shared" ref="AH29:AH47" si="11">X29</f>
        <v>2500</v>
      </c>
      <c r="AI29" s="264">
        <v>1000</v>
      </c>
      <c r="AJ29" s="264">
        <v>1500</v>
      </c>
      <c r="AK29" s="264">
        <f t="shared" ref="AK29:AK47" si="12">AB29+AC29</f>
        <v>5501.4069499999996</v>
      </c>
      <c r="AL29" s="264">
        <f t="shared" ref="AL29:AL47" si="13">ABS(AF29)/(4.18*15)*3600*0.03</f>
        <v>299.5155266985646</v>
      </c>
      <c r="AM29" s="264">
        <f t="shared" ref="AM29:AN47" si="14">ABS(AD29)</f>
        <v>1162.0943199999999</v>
      </c>
      <c r="AN29" s="264">
        <f t="shared" si="14"/>
        <v>138.60950299999999</v>
      </c>
      <c r="AP29" s="264">
        <f t="shared" ref="AP29:AP47" si="15">Y29</f>
        <v>222.21543600000001</v>
      </c>
      <c r="AQ29" s="266">
        <f t="shared" ref="AQ29:AQ47" si="16">S29</f>
        <v>0.63685567399999998</v>
      </c>
      <c r="AR29" s="267">
        <f t="shared" si="9"/>
        <v>4.2398932200000003E-2</v>
      </c>
      <c r="AS29" s="266">
        <f t="shared" si="9"/>
        <v>0.29247742900000001</v>
      </c>
      <c r="AT29" s="266">
        <f t="shared" si="9"/>
        <v>1.9908508599999999E-2</v>
      </c>
      <c r="AU29" s="266">
        <f t="shared" si="9"/>
        <v>8.3592676399999993E-3</v>
      </c>
    </row>
    <row r="30" spans="1:49" x14ac:dyDescent="0.25">
      <c r="B30" s="264">
        <v>3</v>
      </c>
      <c r="C30" s="264" t="s">
        <v>1122</v>
      </c>
      <c r="E30" s="264">
        <v>821.05263200000002</v>
      </c>
      <c r="F30" s="264">
        <v>4363.9981799999996</v>
      </c>
      <c r="G30" s="264">
        <v>1182.5673999999999</v>
      </c>
      <c r="H30" s="264">
        <v>-1184.2749799999999</v>
      </c>
      <c r="I30" s="264">
        <v>-138.859734</v>
      </c>
      <c r="J30" s="264">
        <v>-174.258095</v>
      </c>
      <c r="K30" s="264">
        <v>-11295.221</v>
      </c>
      <c r="L30" s="264">
        <v>-3151.42958</v>
      </c>
      <c r="M30" s="264">
        <v>-262.816126</v>
      </c>
      <c r="N30" s="264">
        <v>-2175.2498399999999</v>
      </c>
      <c r="O30" s="264">
        <v>457.15184799999997</v>
      </c>
      <c r="P30" s="264">
        <v>-1944.3245400000001</v>
      </c>
      <c r="Q30" s="264">
        <v>-172.103341</v>
      </c>
      <c r="R30" s="264">
        <v>-216.53622300000001</v>
      </c>
      <c r="S30" s="264">
        <v>0.63861054900000003</v>
      </c>
      <c r="T30" s="264">
        <v>4.1644189400000003E-2</v>
      </c>
      <c r="U30" s="264">
        <v>0.29406116500000001</v>
      </c>
      <c r="V30" s="264">
        <v>1.8909816400000001E-2</v>
      </c>
      <c r="W30" s="264">
        <v>6.7741271599999998E-3</v>
      </c>
      <c r="X30" s="264">
        <v>2500</v>
      </c>
      <c r="Y30" s="264">
        <v>222.910529</v>
      </c>
      <c r="AB30" s="264">
        <f t="shared" si="10"/>
        <v>4363.9981799999996</v>
      </c>
      <c r="AC30" s="264">
        <f t="shared" si="10"/>
        <v>1182.5673999999999</v>
      </c>
      <c r="AD30" s="264">
        <f t="shared" si="10"/>
        <v>-1184.2749799999999</v>
      </c>
      <c r="AE30" s="264">
        <f t="shared" si="10"/>
        <v>-138.859734</v>
      </c>
      <c r="AF30" s="264">
        <f t="shared" si="10"/>
        <v>-174.258095</v>
      </c>
      <c r="AH30" s="264">
        <f t="shared" si="11"/>
        <v>2500</v>
      </c>
      <c r="AI30" s="264">
        <v>1000</v>
      </c>
      <c r="AJ30" s="264">
        <v>1500</v>
      </c>
      <c r="AK30" s="264">
        <f t="shared" si="12"/>
        <v>5546.5655799999995</v>
      </c>
      <c r="AL30" s="264">
        <f t="shared" si="13"/>
        <v>300.15748421052632</v>
      </c>
      <c r="AM30" s="264">
        <f t="shared" si="14"/>
        <v>1184.2749799999999</v>
      </c>
      <c r="AN30" s="264">
        <f t="shared" si="14"/>
        <v>138.859734</v>
      </c>
      <c r="AP30" s="264">
        <f t="shared" si="15"/>
        <v>222.910529</v>
      </c>
      <c r="AQ30" s="266">
        <f t="shared" si="16"/>
        <v>0.63861054900000003</v>
      </c>
      <c r="AR30" s="266">
        <f t="shared" si="9"/>
        <v>4.1644189400000003E-2</v>
      </c>
      <c r="AS30" s="266">
        <f t="shared" si="9"/>
        <v>0.29406116500000001</v>
      </c>
      <c r="AT30" s="266">
        <f t="shared" si="9"/>
        <v>1.8909816400000001E-2</v>
      </c>
      <c r="AU30" s="266">
        <f t="shared" si="9"/>
        <v>6.7741271599999998E-3</v>
      </c>
    </row>
    <row r="31" spans="1:49" x14ac:dyDescent="0.25">
      <c r="B31" s="264">
        <v>4</v>
      </c>
      <c r="C31" s="264" t="s">
        <v>1122</v>
      </c>
      <c r="E31" s="264">
        <v>831.57894699999997</v>
      </c>
      <c r="F31" s="264">
        <v>4405.0669799999996</v>
      </c>
      <c r="G31" s="264">
        <v>1182.5673999999999</v>
      </c>
      <c r="H31" s="264">
        <v>-1206.3224700000001</v>
      </c>
      <c r="I31" s="264">
        <v>-139.06388899999999</v>
      </c>
      <c r="J31" s="264">
        <v>-174.56317899999999</v>
      </c>
      <c r="K31" s="264">
        <v>-11313.7328</v>
      </c>
      <c r="L31" s="264">
        <v>-3151.4297299999998</v>
      </c>
      <c r="M31" s="264">
        <v>-262.81613900000002</v>
      </c>
      <c r="N31" s="264">
        <v>-2175.2498399999999</v>
      </c>
      <c r="O31" s="264">
        <v>457.15184799999997</v>
      </c>
      <c r="P31" s="264">
        <v>-1944.3245400000001</v>
      </c>
      <c r="Q31" s="264">
        <v>-172.103341</v>
      </c>
      <c r="R31" s="264">
        <v>-216.53622300000001</v>
      </c>
      <c r="S31" s="264">
        <v>0.639999176</v>
      </c>
      <c r="T31" s="264">
        <v>4.1073743000000003E-2</v>
      </c>
      <c r="U31" s="264">
        <v>0.29540376499999998</v>
      </c>
      <c r="V31" s="264">
        <v>1.8045825200000001E-2</v>
      </c>
      <c r="W31" s="264">
        <v>5.4773673E-3</v>
      </c>
      <c r="X31" s="264">
        <v>2500</v>
      </c>
      <c r="Y31" s="264">
        <v>223.48240699999999</v>
      </c>
      <c r="AB31" s="264">
        <f t="shared" si="10"/>
        <v>4405.0669799999996</v>
      </c>
      <c r="AC31" s="264">
        <f t="shared" si="10"/>
        <v>1182.5673999999999</v>
      </c>
      <c r="AD31" s="264">
        <f t="shared" si="10"/>
        <v>-1206.3224700000001</v>
      </c>
      <c r="AE31" s="264">
        <f t="shared" si="10"/>
        <v>-139.06388899999999</v>
      </c>
      <c r="AF31" s="264">
        <f t="shared" si="10"/>
        <v>-174.56317899999999</v>
      </c>
      <c r="AH31" s="264">
        <f t="shared" si="11"/>
        <v>2500</v>
      </c>
      <c r="AI31" s="264">
        <v>1000</v>
      </c>
      <c r="AJ31" s="264">
        <v>1500</v>
      </c>
      <c r="AK31" s="264">
        <f t="shared" si="12"/>
        <v>5587.6343799999995</v>
      </c>
      <c r="AL31" s="264">
        <f t="shared" si="13"/>
        <v>300.68298775119615</v>
      </c>
      <c r="AM31" s="264">
        <f t="shared" si="14"/>
        <v>1206.3224700000001</v>
      </c>
      <c r="AN31" s="264">
        <f t="shared" si="14"/>
        <v>139.06388899999999</v>
      </c>
      <c r="AP31" s="264">
        <f t="shared" si="15"/>
        <v>223.48240699999999</v>
      </c>
      <c r="AQ31" s="266">
        <f t="shared" si="16"/>
        <v>0.639999176</v>
      </c>
      <c r="AR31" s="266">
        <f t="shared" si="9"/>
        <v>4.1073743000000003E-2</v>
      </c>
      <c r="AS31" s="266">
        <f t="shared" si="9"/>
        <v>0.29540376499999998</v>
      </c>
      <c r="AT31" s="266">
        <f t="shared" si="9"/>
        <v>1.8045825200000001E-2</v>
      </c>
      <c r="AU31" s="266">
        <f t="shared" si="9"/>
        <v>5.4773673E-3</v>
      </c>
    </row>
    <row r="32" spans="1:49" x14ac:dyDescent="0.25">
      <c r="B32" s="264">
        <v>5</v>
      </c>
      <c r="C32" s="264" t="s">
        <v>1122</v>
      </c>
      <c r="E32" s="264">
        <v>842.10526300000004</v>
      </c>
      <c r="F32" s="264">
        <v>4442.6697100000001</v>
      </c>
      <c r="G32" s="264">
        <v>1182.5673999999999</v>
      </c>
      <c r="H32" s="264">
        <v>-1228.25981</v>
      </c>
      <c r="I32" s="264">
        <v>-139.228904</v>
      </c>
      <c r="J32" s="264">
        <v>-174.81084999999999</v>
      </c>
      <c r="K32" s="264">
        <v>-11328.9854</v>
      </c>
      <c r="L32" s="264">
        <v>-3151.4298600000002</v>
      </c>
      <c r="M32" s="264">
        <v>-262.81614999999999</v>
      </c>
      <c r="N32" s="264">
        <v>-2175.2498500000002</v>
      </c>
      <c r="O32" s="264">
        <v>457.15184799999997</v>
      </c>
      <c r="P32" s="264">
        <v>-1944.3245400000001</v>
      </c>
      <c r="Q32" s="264">
        <v>-172.103341</v>
      </c>
      <c r="R32" s="264">
        <v>-216.53622300000001</v>
      </c>
      <c r="S32" s="264">
        <v>0.64107935199999999</v>
      </c>
      <c r="T32" s="264">
        <v>4.0659029499999999E-2</v>
      </c>
      <c r="U32" s="264">
        <v>0.29654501799999999</v>
      </c>
      <c r="V32" s="264">
        <v>1.7293846299999999E-2</v>
      </c>
      <c r="W32" s="264">
        <v>4.4226546499999998E-3</v>
      </c>
      <c r="X32" s="264">
        <v>2500</v>
      </c>
      <c r="Y32" s="264">
        <v>223.94971000000001</v>
      </c>
      <c r="AB32" s="264">
        <f t="shared" si="10"/>
        <v>4442.6697100000001</v>
      </c>
      <c r="AC32" s="264">
        <f t="shared" si="10"/>
        <v>1182.5673999999999</v>
      </c>
      <c r="AD32" s="264">
        <f t="shared" si="10"/>
        <v>-1228.25981</v>
      </c>
      <c r="AE32" s="264">
        <f t="shared" si="10"/>
        <v>-139.228904</v>
      </c>
      <c r="AF32" s="264">
        <f t="shared" si="10"/>
        <v>-174.81084999999999</v>
      </c>
      <c r="AH32" s="264">
        <f t="shared" si="11"/>
        <v>2500</v>
      </c>
      <c r="AI32" s="264">
        <v>1000</v>
      </c>
      <c r="AJ32" s="264">
        <v>1500</v>
      </c>
      <c r="AK32" s="264">
        <f t="shared" si="12"/>
        <v>5625.23711</v>
      </c>
      <c r="AL32" s="264">
        <f t="shared" si="13"/>
        <v>301.10959808612438</v>
      </c>
      <c r="AM32" s="264">
        <f t="shared" si="14"/>
        <v>1228.25981</v>
      </c>
      <c r="AN32" s="264">
        <f t="shared" si="14"/>
        <v>139.228904</v>
      </c>
      <c r="AP32" s="264">
        <f t="shared" si="15"/>
        <v>223.94971000000001</v>
      </c>
      <c r="AQ32" s="266">
        <f t="shared" si="16"/>
        <v>0.64107935199999999</v>
      </c>
      <c r="AR32" s="266">
        <f t="shared" si="9"/>
        <v>4.0659029499999999E-2</v>
      </c>
      <c r="AS32" s="266">
        <f t="shared" si="9"/>
        <v>0.29654501799999999</v>
      </c>
      <c r="AT32" s="266">
        <f t="shared" si="9"/>
        <v>1.7293846299999999E-2</v>
      </c>
      <c r="AU32" s="266">
        <f t="shared" si="9"/>
        <v>4.4226546499999998E-3</v>
      </c>
    </row>
    <row r="33" spans="2:47" x14ac:dyDescent="0.25">
      <c r="B33" s="264">
        <v>6</v>
      </c>
      <c r="C33" s="264" t="s">
        <v>1122</v>
      </c>
      <c r="E33" s="264">
        <v>852.63157899999999</v>
      </c>
      <c r="F33" s="264">
        <v>4477.3739599999999</v>
      </c>
      <c r="G33" s="264">
        <v>1182.5673999999999</v>
      </c>
      <c r="H33" s="264">
        <v>-1250.1086299999999</v>
      </c>
      <c r="I33" s="264">
        <v>-139.36112900000001</v>
      </c>
      <c r="J33" s="264">
        <v>-175.01042799999999</v>
      </c>
      <c r="K33" s="264">
        <v>-11341.508900000001</v>
      </c>
      <c r="L33" s="264">
        <v>-3151.4299599999999</v>
      </c>
      <c r="M33" s="264">
        <v>-262.81615799999997</v>
      </c>
      <c r="N33" s="264">
        <v>-2175.2498500000002</v>
      </c>
      <c r="O33" s="264">
        <v>457.15184799999997</v>
      </c>
      <c r="P33" s="264">
        <v>-1944.3245400000001</v>
      </c>
      <c r="Q33" s="264">
        <v>-172.103341</v>
      </c>
      <c r="R33" s="264">
        <v>-216.53622300000001</v>
      </c>
      <c r="S33" s="264">
        <v>0.641903106</v>
      </c>
      <c r="T33" s="264">
        <v>4.0373973600000002E-2</v>
      </c>
      <c r="U33" s="264">
        <v>0.297519533</v>
      </c>
      <c r="V33" s="264">
        <v>1.6634453099999998E-2</v>
      </c>
      <c r="W33" s="264">
        <v>3.56885437E-3</v>
      </c>
      <c r="X33" s="264">
        <v>2500</v>
      </c>
      <c r="Y33" s="264">
        <v>224.32943</v>
      </c>
      <c r="AB33" s="264">
        <f t="shared" si="10"/>
        <v>4477.3739599999999</v>
      </c>
      <c r="AC33" s="264">
        <f t="shared" si="10"/>
        <v>1182.5673999999999</v>
      </c>
      <c r="AD33" s="264">
        <f t="shared" si="10"/>
        <v>-1250.1086299999999</v>
      </c>
      <c r="AE33" s="264">
        <f t="shared" si="10"/>
        <v>-139.36112900000001</v>
      </c>
      <c r="AF33" s="264">
        <f t="shared" si="10"/>
        <v>-175.01042799999999</v>
      </c>
      <c r="AH33" s="264">
        <f t="shared" si="11"/>
        <v>2500</v>
      </c>
      <c r="AI33" s="264">
        <v>1000</v>
      </c>
      <c r="AJ33" s="264">
        <v>1500</v>
      </c>
      <c r="AK33" s="264">
        <f t="shared" si="12"/>
        <v>5659.9413599999998</v>
      </c>
      <c r="AL33" s="264">
        <f t="shared" si="13"/>
        <v>301.45336880382774</v>
      </c>
      <c r="AM33" s="264">
        <f t="shared" si="14"/>
        <v>1250.1086299999999</v>
      </c>
      <c r="AN33" s="264">
        <f t="shared" si="14"/>
        <v>139.36112900000001</v>
      </c>
      <c r="AP33" s="264">
        <f t="shared" si="15"/>
        <v>224.32943</v>
      </c>
      <c r="AQ33" s="266">
        <f t="shared" si="16"/>
        <v>0.641903106</v>
      </c>
      <c r="AR33" s="266">
        <f t="shared" si="9"/>
        <v>4.0373973600000002E-2</v>
      </c>
      <c r="AS33" s="266">
        <f t="shared" si="9"/>
        <v>0.297519533</v>
      </c>
      <c r="AT33" s="266">
        <f t="shared" si="9"/>
        <v>1.6634453099999998E-2</v>
      </c>
      <c r="AU33" s="266">
        <f t="shared" si="9"/>
        <v>3.56885437E-3</v>
      </c>
    </row>
    <row r="34" spans="2:47" x14ac:dyDescent="0.25">
      <c r="B34" s="264">
        <v>7</v>
      </c>
      <c r="C34" s="264" t="s">
        <v>1122</v>
      </c>
      <c r="E34" s="264">
        <v>863.15789500000005</v>
      </c>
      <c r="F34" s="264">
        <v>4509.6826099999998</v>
      </c>
      <c r="G34" s="264">
        <v>1182.5673999999999</v>
      </c>
      <c r="H34" s="264">
        <v>-1271.8886199999999</v>
      </c>
      <c r="I34" s="264">
        <v>-139.466217</v>
      </c>
      <c r="J34" s="264">
        <v>-175.170198</v>
      </c>
      <c r="K34" s="264">
        <v>-11351.7726</v>
      </c>
      <c r="L34" s="264">
        <v>-3151.4300400000002</v>
      </c>
      <c r="M34" s="264">
        <v>-262.81616600000001</v>
      </c>
      <c r="N34" s="264">
        <v>-2175.2498500000002</v>
      </c>
      <c r="O34" s="264">
        <v>457.15184799999997</v>
      </c>
      <c r="P34" s="264">
        <v>-1944.3245400000001</v>
      </c>
      <c r="Q34" s="264">
        <v>-172.103341</v>
      </c>
      <c r="R34" s="264">
        <v>-216.53622300000001</v>
      </c>
      <c r="S34" s="264">
        <v>0.64251622799999997</v>
      </c>
      <c r="T34" s="264">
        <v>4.0195357799999998E-2</v>
      </c>
      <c r="U34" s="264">
        <v>0.298356868</v>
      </c>
      <c r="V34" s="264">
        <v>1.6051290400000001E-2</v>
      </c>
      <c r="W34" s="264">
        <v>2.8801917800000002E-3</v>
      </c>
      <c r="X34" s="264">
        <v>2500</v>
      </c>
      <c r="Y34" s="264">
        <v>224.63664499999999</v>
      </c>
      <c r="AB34" s="264">
        <f t="shared" si="10"/>
        <v>4509.6826099999998</v>
      </c>
      <c r="AC34" s="264">
        <f t="shared" si="10"/>
        <v>1182.5673999999999</v>
      </c>
      <c r="AD34" s="264">
        <f t="shared" si="10"/>
        <v>-1271.8886199999999</v>
      </c>
      <c r="AE34" s="264">
        <f t="shared" si="10"/>
        <v>-139.466217</v>
      </c>
      <c r="AF34" s="264">
        <f t="shared" si="10"/>
        <v>-175.170198</v>
      </c>
      <c r="AH34" s="264">
        <f t="shared" si="11"/>
        <v>2500</v>
      </c>
      <c r="AI34" s="264">
        <v>1000</v>
      </c>
      <c r="AJ34" s="264">
        <v>1500</v>
      </c>
      <c r="AK34" s="264">
        <f t="shared" si="12"/>
        <v>5692.2500099999997</v>
      </c>
      <c r="AL34" s="264">
        <f t="shared" si="13"/>
        <v>301.72857071770335</v>
      </c>
      <c r="AM34" s="264">
        <f t="shared" si="14"/>
        <v>1271.8886199999999</v>
      </c>
      <c r="AN34" s="264">
        <f t="shared" si="14"/>
        <v>139.466217</v>
      </c>
      <c r="AP34" s="264">
        <f t="shared" si="15"/>
        <v>224.63664499999999</v>
      </c>
      <c r="AQ34" s="266">
        <f t="shared" si="16"/>
        <v>0.64251622799999997</v>
      </c>
      <c r="AR34" s="266">
        <f t="shared" si="9"/>
        <v>4.0195357799999998E-2</v>
      </c>
      <c r="AS34" s="266">
        <f t="shared" si="9"/>
        <v>0.298356868</v>
      </c>
      <c r="AT34" s="266">
        <f t="shared" si="9"/>
        <v>1.6051290400000001E-2</v>
      </c>
      <c r="AU34" s="266">
        <f t="shared" si="9"/>
        <v>2.8801917800000002E-3</v>
      </c>
    </row>
    <row r="35" spans="2:47" x14ac:dyDescent="0.25">
      <c r="B35" s="264">
        <v>8</v>
      </c>
      <c r="C35" s="264" t="s">
        <v>1122</v>
      </c>
      <c r="E35" s="264">
        <v>873.684211</v>
      </c>
      <c r="F35" s="264">
        <v>4540.0308999999997</v>
      </c>
      <c r="G35" s="264">
        <v>1182.5673999999999</v>
      </c>
      <c r="H35" s="264">
        <v>-1293.6171899999999</v>
      </c>
      <c r="I35" s="264">
        <v>-139.549082</v>
      </c>
      <c r="J35" s="264">
        <v>-175.29735500000001</v>
      </c>
      <c r="K35" s="264">
        <v>-11360.182199999999</v>
      </c>
      <c r="L35" s="264">
        <v>-3151.4301099999998</v>
      </c>
      <c r="M35" s="264">
        <v>-262.816171</v>
      </c>
      <c r="N35" s="264">
        <v>-2175.2498500000002</v>
      </c>
      <c r="O35" s="264">
        <v>457.15184799999997</v>
      </c>
      <c r="P35" s="264">
        <v>-1944.3245400000001</v>
      </c>
      <c r="Q35" s="264">
        <v>-172.103341</v>
      </c>
      <c r="R35" s="264">
        <v>-216.53622300000001</v>
      </c>
      <c r="S35" s="264">
        <v>0.64295818900000001</v>
      </c>
      <c r="T35" s="264">
        <v>4.01029735E-2</v>
      </c>
      <c r="U35" s="264">
        <v>0.29908185599999998</v>
      </c>
      <c r="V35" s="264">
        <v>1.5530794699999999E-2</v>
      </c>
      <c r="W35" s="264">
        <v>2.3261362900000001E-3</v>
      </c>
      <c r="X35" s="264">
        <v>2500</v>
      </c>
      <c r="Y35" s="264">
        <v>224.884424</v>
      </c>
      <c r="AB35" s="264">
        <f t="shared" si="10"/>
        <v>4540.0308999999997</v>
      </c>
      <c r="AC35" s="264">
        <f t="shared" si="10"/>
        <v>1182.5673999999999</v>
      </c>
      <c r="AD35" s="264">
        <f t="shared" si="10"/>
        <v>-1293.6171899999999</v>
      </c>
      <c r="AE35" s="264">
        <f t="shared" si="10"/>
        <v>-139.549082</v>
      </c>
      <c r="AF35" s="264">
        <f t="shared" si="10"/>
        <v>-175.29735500000001</v>
      </c>
      <c r="AH35" s="264">
        <f t="shared" si="11"/>
        <v>2500</v>
      </c>
      <c r="AI35" s="264">
        <v>1000</v>
      </c>
      <c r="AJ35" s="264">
        <v>1500</v>
      </c>
      <c r="AK35" s="264">
        <f t="shared" si="12"/>
        <v>5722.5982999999997</v>
      </c>
      <c r="AL35" s="264">
        <f t="shared" si="13"/>
        <v>301.94759712918665</v>
      </c>
      <c r="AM35" s="264">
        <f t="shared" si="14"/>
        <v>1293.6171899999999</v>
      </c>
      <c r="AN35" s="264">
        <f t="shared" si="14"/>
        <v>139.549082</v>
      </c>
      <c r="AP35" s="264">
        <f t="shared" si="15"/>
        <v>224.884424</v>
      </c>
      <c r="AQ35" s="266">
        <f t="shared" si="16"/>
        <v>0.64295818900000001</v>
      </c>
      <c r="AR35" s="266">
        <f t="shared" si="9"/>
        <v>4.01029735E-2</v>
      </c>
      <c r="AS35" s="266">
        <f t="shared" si="9"/>
        <v>0.29908185599999998</v>
      </c>
      <c r="AT35" s="266">
        <f t="shared" si="9"/>
        <v>1.5530794699999999E-2</v>
      </c>
      <c r="AU35" s="266">
        <f t="shared" si="9"/>
        <v>2.3261362900000001E-3</v>
      </c>
    </row>
    <row r="36" spans="2:47" x14ac:dyDescent="0.25">
      <c r="B36" s="264">
        <v>9</v>
      </c>
      <c r="C36" s="264" t="s">
        <v>1122</v>
      </c>
      <c r="E36" s="264">
        <v>884.21052599999996</v>
      </c>
      <c r="F36" s="264">
        <v>4568.78802</v>
      </c>
      <c r="G36" s="264">
        <v>1182.5673999999999</v>
      </c>
      <c r="H36" s="264">
        <v>-1315.3093899999999</v>
      </c>
      <c r="I36" s="264">
        <v>-139.61390399999999</v>
      </c>
      <c r="J36" s="264">
        <v>-175.39801700000001</v>
      </c>
      <c r="K36" s="264">
        <v>-11367.0816</v>
      </c>
      <c r="L36" s="264">
        <v>-3151.4301599999999</v>
      </c>
      <c r="M36" s="264">
        <v>-262.81617599999998</v>
      </c>
      <c r="N36" s="264">
        <v>-2175.2498500000002</v>
      </c>
      <c r="O36" s="264">
        <v>457.15184799999997</v>
      </c>
      <c r="P36" s="264">
        <v>-1944.3245400000001</v>
      </c>
      <c r="Q36" s="264">
        <v>-172.103341</v>
      </c>
      <c r="R36" s="264">
        <v>-216.53622300000001</v>
      </c>
      <c r="S36" s="264">
        <v>0.64326239799999996</v>
      </c>
      <c r="T36" s="264">
        <v>4.0079579400000002E-2</v>
      </c>
      <c r="U36" s="264">
        <v>0.29971505700000001</v>
      </c>
      <c r="V36" s="264">
        <v>1.50618617E-2</v>
      </c>
      <c r="W36" s="264">
        <v>1.88106286E-3</v>
      </c>
      <c r="X36" s="264">
        <v>2500</v>
      </c>
      <c r="Y36" s="264">
        <v>225.08385999999999</v>
      </c>
      <c r="AB36" s="264">
        <f t="shared" si="10"/>
        <v>4568.78802</v>
      </c>
      <c r="AC36" s="264">
        <f t="shared" si="10"/>
        <v>1182.5673999999999</v>
      </c>
      <c r="AD36" s="264">
        <f t="shared" si="10"/>
        <v>-1315.3093899999999</v>
      </c>
      <c r="AE36" s="264">
        <f t="shared" si="10"/>
        <v>-139.61390399999999</v>
      </c>
      <c r="AF36" s="264">
        <f t="shared" si="10"/>
        <v>-175.39801700000001</v>
      </c>
      <c r="AH36" s="264">
        <f t="shared" si="11"/>
        <v>2500</v>
      </c>
      <c r="AI36" s="264">
        <v>1000</v>
      </c>
      <c r="AJ36" s="264">
        <v>1500</v>
      </c>
      <c r="AK36" s="264">
        <f t="shared" si="12"/>
        <v>5751.3554199999999</v>
      </c>
      <c r="AL36" s="264">
        <f t="shared" si="13"/>
        <v>302.12098622009569</v>
      </c>
      <c r="AM36" s="264">
        <f t="shared" si="14"/>
        <v>1315.3093899999999</v>
      </c>
      <c r="AN36" s="264">
        <f t="shared" si="14"/>
        <v>139.61390399999999</v>
      </c>
      <c r="AP36" s="264">
        <f t="shared" si="15"/>
        <v>225.08385999999999</v>
      </c>
      <c r="AQ36" s="266">
        <f t="shared" si="16"/>
        <v>0.64326239799999996</v>
      </c>
      <c r="AR36" s="266">
        <f t="shared" si="9"/>
        <v>4.0079579400000002E-2</v>
      </c>
      <c r="AS36" s="266">
        <f t="shared" si="9"/>
        <v>0.29971505700000001</v>
      </c>
      <c r="AT36" s="266">
        <f t="shared" si="9"/>
        <v>1.50618617E-2</v>
      </c>
      <c r="AU36" s="266">
        <f t="shared" si="9"/>
        <v>1.88106286E-3</v>
      </c>
    </row>
    <row r="37" spans="2:47" x14ac:dyDescent="0.25">
      <c r="B37" s="264">
        <v>10</v>
      </c>
      <c r="C37" s="264" t="s">
        <v>1122</v>
      </c>
      <c r="E37" s="264">
        <v>894.73684200000002</v>
      </c>
      <c r="F37" s="264">
        <v>4596.2620200000001</v>
      </c>
      <c r="G37" s="264">
        <v>1182.5673999999999</v>
      </c>
      <c r="H37" s="264">
        <v>-1336.9779799999999</v>
      </c>
      <c r="I37" s="264">
        <v>-139.66418100000001</v>
      </c>
      <c r="J37" s="264">
        <v>-175.477296</v>
      </c>
      <c r="K37" s="264">
        <v>-11372.7574</v>
      </c>
      <c r="L37" s="264">
        <v>-3151.4301999999998</v>
      </c>
      <c r="M37" s="264">
        <v>-262.81617899999998</v>
      </c>
      <c r="N37" s="264">
        <v>-2175.2498599999999</v>
      </c>
      <c r="O37" s="264">
        <v>457.15184799999997</v>
      </c>
      <c r="P37" s="264">
        <v>-1944.3245400000001</v>
      </c>
      <c r="Q37" s="264">
        <v>-172.103341</v>
      </c>
      <c r="R37" s="264">
        <v>-216.53622300000001</v>
      </c>
      <c r="S37" s="264">
        <v>0.64345669500000002</v>
      </c>
      <c r="T37" s="264">
        <v>4.0110716300000002E-2</v>
      </c>
      <c r="U37" s="264">
        <v>0.30027329699999999</v>
      </c>
      <c r="V37" s="264">
        <v>1.46354932E-2</v>
      </c>
      <c r="W37" s="264">
        <v>1.5237655199999999E-3</v>
      </c>
      <c r="X37" s="264">
        <v>2500</v>
      </c>
      <c r="Y37" s="264">
        <v>225.24422100000001</v>
      </c>
      <c r="AB37" s="264">
        <f t="shared" si="10"/>
        <v>4596.2620200000001</v>
      </c>
      <c r="AC37" s="264">
        <f t="shared" si="10"/>
        <v>1182.5673999999999</v>
      </c>
      <c r="AD37" s="264">
        <f t="shared" si="10"/>
        <v>-1336.9779799999999</v>
      </c>
      <c r="AE37" s="264">
        <f t="shared" si="10"/>
        <v>-139.66418100000001</v>
      </c>
      <c r="AF37" s="264">
        <f t="shared" si="10"/>
        <v>-175.477296</v>
      </c>
      <c r="AH37" s="264">
        <f t="shared" si="11"/>
        <v>2500</v>
      </c>
      <c r="AI37" s="264">
        <v>1000</v>
      </c>
      <c r="AJ37" s="264">
        <v>1500</v>
      </c>
      <c r="AK37" s="264">
        <f t="shared" si="12"/>
        <v>5778.82942</v>
      </c>
      <c r="AL37" s="264">
        <f t="shared" si="13"/>
        <v>302.25754334928229</v>
      </c>
      <c r="AM37" s="264">
        <f t="shared" si="14"/>
        <v>1336.9779799999999</v>
      </c>
      <c r="AN37" s="264">
        <f t="shared" si="14"/>
        <v>139.66418100000001</v>
      </c>
      <c r="AP37" s="264">
        <f t="shared" si="15"/>
        <v>225.24422100000001</v>
      </c>
      <c r="AQ37" s="266">
        <f t="shared" si="16"/>
        <v>0.64345669500000002</v>
      </c>
      <c r="AR37" s="266">
        <f t="shared" si="9"/>
        <v>4.0110716300000002E-2</v>
      </c>
      <c r="AS37" s="266">
        <f t="shared" si="9"/>
        <v>0.30027329699999999</v>
      </c>
      <c r="AT37" s="266">
        <f t="shared" si="9"/>
        <v>1.46354932E-2</v>
      </c>
      <c r="AU37" s="266">
        <f t="shared" si="9"/>
        <v>1.5237655199999999E-3</v>
      </c>
    </row>
    <row r="38" spans="2:47" x14ac:dyDescent="0.25">
      <c r="B38" s="264">
        <v>11</v>
      </c>
      <c r="C38" s="264" t="s">
        <v>1122</v>
      </c>
      <c r="E38" s="264">
        <v>905.26315799999998</v>
      </c>
      <c r="F38" s="264">
        <v>4622.7065000000002</v>
      </c>
      <c r="G38" s="264">
        <v>1182.5673999999999</v>
      </c>
      <c r="H38" s="264">
        <v>-1358.6335899999999</v>
      </c>
      <c r="I38" s="264">
        <v>-139.702799</v>
      </c>
      <c r="J38" s="264">
        <v>-175.53941</v>
      </c>
      <c r="K38" s="264">
        <v>-11377.4455</v>
      </c>
      <c r="L38" s="264">
        <v>-3151.4302400000001</v>
      </c>
      <c r="M38" s="264">
        <v>-262.81618200000003</v>
      </c>
      <c r="N38" s="264">
        <v>-2175.2498599999999</v>
      </c>
      <c r="O38" s="264">
        <v>457.15184799999997</v>
      </c>
      <c r="P38" s="264">
        <v>-1944.3245400000001</v>
      </c>
      <c r="Q38" s="264">
        <v>-172.103341</v>
      </c>
      <c r="R38" s="264">
        <v>-216.53622300000001</v>
      </c>
      <c r="S38" s="264">
        <v>0.64356397700000001</v>
      </c>
      <c r="T38" s="264">
        <v>4.0184431299999997E-2</v>
      </c>
      <c r="U38" s="264">
        <v>0.30077021399999998</v>
      </c>
      <c r="V38" s="264">
        <v>1.42444535E-2</v>
      </c>
      <c r="W38" s="264">
        <v>1.2368975199999999E-3</v>
      </c>
      <c r="X38" s="264">
        <v>2500</v>
      </c>
      <c r="Y38" s="264">
        <v>225.37313700000001</v>
      </c>
      <c r="AB38" s="264">
        <f t="shared" si="10"/>
        <v>4622.7065000000002</v>
      </c>
      <c r="AC38" s="264">
        <f t="shared" si="10"/>
        <v>1182.5673999999999</v>
      </c>
      <c r="AD38" s="264">
        <f t="shared" si="10"/>
        <v>-1358.6335899999999</v>
      </c>
      <c r="AE38" s="264">
        <f t="shared" si="10"/>
        <v>-139.702799</v>
      </c>
      <c r="AF38" s="264">
        <f t="shared" si="10"/>
        <v>-175.53941</v>
      </c>
      <c r="AH38" s="264">
        <f t="shared" si="11"/>
        <v>2500</v>
      </c>
      <c r="AI38" s="264">
        <v>1000</v>
      </c>
      <c r="AJ38" s="264">
        <v>1500</v>
      </c>
      <c r="AK38" s="264">
        <f t="shared" si="12"/>
        <v>5805.2739000000001</v>
      </c>
      <c r="AL38" s="264">
        <f t="shared" si="13"/>
        <v>302.36453397129191</v>
      </c>
      <c r="AM38" s="264">
        <f t="shared" si="14"/>
        <v>1358.6335899999999</v>
      </c>
      <c r="AN38" s="264">
        <f t="shared" si="14"/>
        <v>139.702799</v>
      </c>
      <c r="AP38" s="264">
        <f t="shared" si="15"/>
        <v>225.37313700000001</v>
      </c>
      <c r="AQ38" s="266">
        <f t="shared" si="16"/>
        <v>0.64356397700000001</v>
      </c>
      <c r="AR38" s="266">
        <f t="shared" si="9"/>
        <v>4.0184431299999997E-2</v>
      </c>
      <c r="AS38" s="266">
        <f t="shared" si="9"/>
        <v>0.30077021399999998</v>
      </c>
      <c r="AT38" s="266">
        <f t="shared" si="9"/>
        <v>1.42444535E-2</v>
      </c>
      <c r="AU38" s="266">
        <f t="shared" si="9"/>
        <v>1.2368975199999999E-3</v>
      </c>
    </row>
    <row r="39" spans="2:47" x14ac:dyDescent="0.25">
      <c r="B39" s="264">
        <v>12</v>
      </c>
      <c r="C39" s="264" t="s">
        <v>1122</v>
      </c>
      <c r="E39" s="264">
        <v>915.78947400000004</v>
      </c>
      <c r="F39" s="264">
        <v>4648.3280800000002</v>
      </c>
      <c r="G39" s="264">
        <v>1182.5673999999999</v>
      </c>
      <c r="H39" s="264">
        <v>-1380.2850000000001</v>
      </c>
      <c r="I39" s="264">
        <v>-139.732111</v>
      </c>
      <c r="J39" s="264">
        <v>-175.587796</v>
      </c>
      <c r="K39" s="264">
        <v>-11381.3379</v>
      </c>
      <c r="L39" s="264">
        <v>-3151.4302600000001</v>
      </c>
      <c r="M39" s="264">
        <v>-262.81618400000002</v>
      </c>
      <c r="N39" s="264">
        <v>-2175.2498599999999</v>
      </c>
      <c r="O39" s="264">
        <v>457.15184799999997</v>
      </c>
      <c r="P39" s="264">
        <v>-1944.3245400000001</v>
      </c>
      <c r="Q39" s="264">
        <v>-172.103341</v>
      </c>
      <c r="R39" s="264">
        <v>-216.53622300000001</v>
      </c>
      <c r="S39" s="264">
        <v>0.64360287999999999</v>
      </c>
      <c r="T39" s="264">
        <v>4.0290960000000001E-2</v>
      </c>
      <c r="U39" s="264">
        <v>0.30121678600000001</v>
      </c>
      <c r="V39" s="264">
        <v>1.3882954100000001E-2</v>
      </c>
      <c r="W39" s="264">
        <v>1.0063986599999999E-3</v>
      </c>
      <c r="X39" s="264">
        <v>2500</v>
      </c>
      <c r="Y39" s="264">
        <v>225.47682900000001</v>
      </c>
      <c r="AB39" s="264">
        <f t="shared" si="10"/>
        <v>4648.3280800000002</v>
      </c>
      <c r="AC39" s="264">
        <f t="shared" si="10"/>
        <v>1182.5673999999999</v>
      </c>
      <c r="AD39" s="264">
        <f t="shared" si="10"/>
        <v>-1380.2850000000001</v>
      </c>
      <c r="AE39" s="264">
        <f t="shared" si="10"/>
        <v>-139.732111</v>
      </c>
      <c r="AF39" s="264">
        <f t="shared" si="10"/>
        <v>-175.587796</v>
      </c>
      <c r="AH39" s="264">
        <f t="shared" si="11"/>
        <v>2500</v>
      </c>
      <c r="AI39" s="264">
        <v>1000</v>
      </c>
      <c r="AJ39" s="264">
        <v>1500</v>
      </c>
      <c r="AK39" s="264">
        <f t="shared" si="12"/>
        <v>5830.8954800000001</v>
      </c>
      <c r="AL39" s="264">
        <f t="shared" si="13"/>
        <v>302.44787827751202</v>
      </c>
      <c r="AM39" s="264">
        <f t="shared" si="14"/>
        <v>1380.2850000000001</v>
      </c>
      <c r="AN39" s="264">
        <f t="shared" si="14"/>
        <v>139.732111</v>
      </c>
      <c r="AP39" s="264">
        <f t="shared" si="15"/>
        <v>225.47682900000001</v>
      </c>
      <c r="AQ39" s="266">
        <f t="shared" si="16"/>
        <v>0.64360287999999999</v>
      </c>
      <c r="AR39" s="266">
        <f t="shared" si="9"/>
        <v>4.0290960000000001E-2</v>
      </c>
      <c r="AS39" s="266">
        <f t="shared" si="9"/>
        <v>0.30121678600000001</v>
      </c>
      <c r="AT39" s="266">
        <f t="shared" si="9"/>
        <v>1.3882954100000001E-2</v>
      </c>
      <c r="AU39" s="266">
        <f t="shared" si="9"/>
        <v>1.0063986599999999E-3</v>
      </c>
    </row>
    <row r="40" spans="2:47" x14ac:dyDescent="0.25">
      <c r="B40" s="264">
        <v>13</v>
      </c>
      <c r="C40" s="264" t="s">
        <v>1122</v>
      </c>
      <c r="E40" s="264">
        <v>926.315789</v>
      </c>
      <c r="F40" s="264">
        <v>4673.2937199999997</v>
      </c>
      <c r="G40" s="264">
        <v>1182.5673999999999</v>
      </c>
      <c r="H40" s="264">
        <v>-1401.9393600000001</v>
      </c>
      <c r="I40" s="264">
        <v>-139.75402199999999</v>
      </c>
      <c r="J40" s="264">
        <v>-175.62523400000001</v>
      </c>
      <c r="K40" s="264">
        <v>-11384.5898</v>
      </c>
      <c r="L40" s="264">
        <v>-3151.43028</v>
      </c>
      <c r="M40" s="264">
        <v>-262.81618600000002</v>
      </c>
      <c r="N40" s="264">
        <v>-2175.2498599999999</v>
      </c>
      <c r="O40" s="264">
        <v>457.15184799999997</v>
      </c>
      <c r="P40" s="264">
        <v>-1944.3245400000001</v>
      </c>
      <c r="Q40" s="264">
        <v>-172.103341</v>
      </c>
      <c r="R40" s="264">
        <v>-216.53622300000001</v>
      </c>
      <c r="S40" s="264">
        <v>0.64358844299999995</v>
      </c>
      <c r="T40" s="264">
        <v>4.0422402199999999E-2</v>
      </c>
      <c r="U40" s="264">
        <v>0.30162180799999999</v>
      </c>
      <c r="V40" s="264">
        <v>1.35463767E-2</v>
      </c>
      <c r="W40" s="264">
        <v>8.2095215300000005E-4</v>
      </c>
      <c r="X40" s="264">
        <v>2500</v>
      </c>
      <c r="Y40" s="264">
        <v>225.56032200000001</v>
      </c>
      <c r="AB40" s="264">
        <f t="shared" si="10"/>
        <v>4673.2937199999997</v>
      </c>
      <c r="AC40" s="264">
        <f t="shared" si="10"/>
        <v>1182.5673999999999</v>
      </c>
      <c r="AD40" s="264">
        <f t="shared" si="10"/>
        <v>-1401.9393600000001</v>
      </c>
      <c r="AE40" s="264">
        <f t="shared" si="10"/>
        <v>-139.75402199999999</v>
      </c>
      <c r="AF40" s="264">
        <f t="shared" si="10"/>
        <v>-175.62523400000001</v>
      </c>
      <c r="AH40" s="264">
        <f t="shared" si="11"/>
        <v>2500</v>
      </c>
      <c r="AI40" s="264">
        <v>1000</v>
      </c>
      <c r="AJ40" s="264">
        <v>1500</v>
      </c>
      <c r="AK40" s="264">
        <f t="shared" si="12"/>
        <v>5855.8611199999996</v>
      </c>
      <c r="AL40" s="264">
        <f t="shared" si="13"/>
        <v>302.512364784689</v>
      </c>
      <c r="AM40" s="264">
        <f t="shared" si="14"/>
        <v>1401.9393600000001</v>
      </c>
      <c r="AN40" s="264">
        <f t="shared" si="14"/>
        <v>139.75402199999999</v>
      </c>
      <c r="AP40" s="264">
        <f t="shared" si="15"/>
        <v>225.56032200000001</v>
      </c>
      <c r="AQ40" s="266">
        <f t="shared" si="16"/>
        <v>0.64358844299999995</v>
      </c>
      <c r="AR40" s="266">
        <f t="shared" si="9"/>
        <v>4.0422402199999999E-2</v>
      </c>
      <c r="AS40" s="266">
        <f t="shared" si="9"/>
        <v>0.30162180799999999</v>
      </c>
      <c r="AT40" s="266">
        <f t="shared" si="9"/>
        <v>1.35463767E-2</v>
      </c>
      <c r="AU40" s="266">
        <f t="shared" si="9"/>
        <v>8.2095215300000005E-4</v>
      </c>
    </row>
    <row r="41" spans="2:47" x14ac:dyDescent="0.25">
      <c r="B41" s="264">
        <v>14</v>
      </c>
      <c r="C41" s="264" t="s">
        <v>1122</v>
      </c>
      <c r="E41" s="264">
        <v>936.84210499999995</v>
      </c>
      <c r="F41" s="264">
        <v>4697.7376100000001</v>
      </c>
      <c r="G41" s="264">
        <v>1182.5673999999999</v>
      </c>
      <c r="H41" s="264">
        <v>-1423.60247</v>
      </c>
      <c r="I41" s="264">
        <v>-139.770061</v>
      </c>
      <c r="J41" s="264">
        <v>-175.65396000000001</v>
      </c>
      <c r="K41" s="264">
        <v>-11387.325800000001</v>
      </c>
      <c r="L41" s="264">
        <v>-3151.4303</v>
      </c>
      <c r="M41" s="264">
        <v>-262.81618800000001</v>
      </c>
      <c r="N41" s="264">
        <v>-2175.2498599999999</v>
      </c>
      <c r="O41" s="264">
        <v>457.15184799999997</v>
      </c>
      <c r="P41" s="264">
        <v>-1944.3245400000001</v>
      </c>
      <c r="Q41" s="264">
        <v>-172.103341</v>
      </c>
      <c r="R41" s="264">
        <v>-216.53622300000001</v>
      </c>
      <c r="S41" s="264">
        <v>0.64353272699999997</v>
      </c>
      <c r="T41" s="264">
        <v>4.0572416700000002E-2</v>
      </c>
      <c r="U41" s="264">
        <v>0.30199230799999999</v>
      </c>
      <c r="V41" s="264">
        <v>1.3231038400000001E-2</v>
      </c>
      <c r="W41" s="264">
        <v>6.7149576200000003E-4</v>
      </c>
      <c r="X41" s="264">
        <v>2500</v>
      </c>
      <c r="Y41" s="264">
        <v>225.627657</v>
      </c>
      <c r="AB41" s="264">
        <f t="shared" si="10"/>
        <v>4697.7376100000001</v>
      </c>
      <c r="AC41" s="264">
        <f t="shared" si="10"/>
        <v>1182.5673999999999</v>
      </c>
      <c r="AD41" s="264">
        <f t="shared" si="10"/>
        <v>-1423.60247</v>
      </c>
      <c r="AE41" s="264">
        <f t="shared" si="10"/>
        <v>-139.770061</v>
      </c>
      <c r="AF41" s="264">
        <f t="shared" si="10"/>
        <v>-175.65396000000001</v>
      </c>
      <c r="AH41" s="264">
        <f t="shared" si="11"/>
        <v>2500</v>
      </c>
      <c r="AI41" s="264">
        <v>1000</v>
      </c>
      <c r="AJ41" s="264">
        <v>1500</v>
      </c>
      <c r="AK41" s="264">
        <f t="shared" si="12"/>
        <v>5880.30501</v>
      </c>
      <c r="AL41" s="264">
        <f t="shared" si="13"/>
        <v>302.5618449760766</v>
      </c>
      <c r="AM41" s="264">
        <f t="shared" si="14"/>
        <v>1423.60247</v>
      </c>
      <c r="AN41" s="264">
        <f t="shared" si="14"/>
        <v>139.770061</v>
      </c>
      <c r="AP41" s="264">
        <f t="shared" si="15"/>
        <v>225.627657</v>
      </c>
      <c r="AQ41" s="266">
        <f t="shared" si="16"/>
        <v>0.64353272699999997</v>
      </c>
      <c r="AR41" s="266">
        <f t="shared" si="9"/>
        <v>4.0572416700000002E-2</v>
      </c>
      <c r="AS41" s="266">
        <f t="shared" si="9"/>
        <v>0.30199230799999999</v>
      </c>
      <c r="AT41" s="266">
        <f t="shared" si="9"/>
        <v>1.3231038400000001E-2</v>
      </c>
      <c r="AU41" s="266">
        <f t="shared" si="9"/>
        <v>6.7149576200000003E-4</v>
      </c>
    </row>
    <row r="42" spans="2:47" x14ac:dyDescent="0.25">
      <c r="B42" s="264">
        <v>15</v>
      </c>
      <c r="C42" s="264" t="s">
        <v>1122</v>
      </c>
      <c r="E42" s="264">
        <v>947.36842100000001</v>
      </c>
      <c r="F42" s="264">
        <v>4721.7671399999999</v>
      </c>
      <c r="G42" s="264">
        <v>1182.5673999999999</v>
      </c>
      <c r="H42" s="264">
        <v>-1445.2789700000001</v>
      </c>
      <c r="I42" s="264">
        <v>-139.781453</v>
      </c>
      <c r="J42" s="264">
        <v>-175.675759</v>
      </c>
      <c r="K42" s="264">
        <v>-11389.645699999999</v>
      </c>
      <c r="L42" s="264">
        <v>-3151.4303100000002</v>
      </c>
      <c r="M42" s="264">
        <v>-262.81618900000001</v>
      </c>
      <c r="N42" s="264">
        <v>-2175.2498599999999</v>
      </c>
      <c r="O42" s="264">
        <v>457.15184799999997</v>
      </c>
      <c r="P42" s="264">
        <v>-1944.3245400000001</v>
      </c>
      <c r="Q42" s="264">
        <v>-172.103341</v>
      </c>
      <c r="R42" s="264">
        <v>-216.53622300000001</v>
      </c>
      <c r="S42" s="264">
        <v>0.643445351</v>
      </c>
      <c r="T42" s="264">
        <v>4.0735945900000001E-2</v>
      </c>
      <c r="U42" s="264">
        <v>0.30233389599999999</v>
      </c>
      <c r="V42" s="264">
        <v>1.29339973E-2</v>
      </c>
      <c r="W42" s="264">
        <v>5.5079803699999998E-4</v>
      </c>
      <c r="X42" s="264">
        <v>2500</v>
      </c>
      <c r="Y42" s="264">
        <v>225.682064</v>
      </c>
      <c r="AB42" s="264">
        <f t="shared" si="10"/>
        <v>4721.7671399999999</v>
      </c>
      <c r="AC42" s="264">
        <f t="shared" si="10"/>
        <v>1182.5673999999999</v>
      </c>
      <c r="AD42" s="264">
        <f t="shared" si="10"/>
        <v>-1445.2789700000001</v>
      </c>
      <c r="AE42" s="264">
        <f t="shared" si="10"/>
        <v>-139.781453</v>
      </c>
      <c r="AF42" s="264">
        <f t="shared" si="10"/>
        <v>-175.675759</v>
      </c>
      <c r="AH42" s="264">
        <f t="shared" si="11"/>
        <v>2500</v>
      </c>
      <c r="AI42" s="264">
        <v>1000</v>
      </c>
      <c r="AJ42" s="264">
        <v>1500</v>
      </c>
      <c r="AK42" s="264">
        <f t="shared" si="12"/>
        <v>5904.3345399999998</v>
      </c>
      <c r="AL42" s="264">
        <f t="shared" si="13"/>
        <v>302.59939349282297</v>
      </c>
      <c r="AM42" s="264">
        <f t="shared" si="14"/>
        <v>1445.2789700000001</v>
      </c>
      <c r="AN42" s="264">
        <f t="shared" si="14"/>
        <v>139.781453</v>
      </c>
      <c r="AP42" s="264">
        <f t="shared" si="15"/>
        <v>225.682064</v>
      </c>
      <c r="AQ42" s="266">
        <f t="shared" si="16"/>
        <v>0.643445351</v>
      </c>
      <c r="AR42" s="266">
        <f t="shared" si="9"/>
        <v>4.0735945900000001E-2</v>
      </c>
      <c r="AS42" s="266">
        <f t="shared" si="9"/>
        <v>0.30233389599999999</v>
      </c>
      <c r="AT42" s="266">
        <f t="shared" si="9"/>
        <v>1.29339973E-2</v>
      </c>
      <c r="AU42" s="266">
        <f t="shared" si="9"/>
        <v>5.5079803699999998E-4</v>
      </c>
    </row>
    <row r="43" spans="2:47" x14ac:dyDescent="0.25">
      <c r="B43" s="264">
        <v>16</v>
      </c>
      <c r="C43" s="264" t="s">
        <v>1122</v>
      </c>
      <c r="E43" s="264">
        <v>957.89473699999996</v>
      </c>
      <c r="F43" s="264">
        <v>4745.4680799999996</v>
      </c>
      <c r="G43" s="264">
        <v>1182.5673999999999</v>
      </c>
      <c r="H43" s="264">
        <v>-1466.9726000000001</v>
      </c>
      <c r="I43" s="264">
        <v>-139.78917200000001</v>
      </c>
      <c r="J43" s="264">
        <v>-175.69205600000001</v>
      </c>
      <c r="K43" s="264">
        <v>-11391.6289</v>
      </c>
      <c r="L43" s="264">
        <v>-3151.4303199999999</v>
      </c>
      <c r="M43" s="264">
        <v>-262.81619000000001</v>
      </c>
      <c r="N43" s="264">
        <v>-2175.2498599999999</v>
      </c>
      <c r="O43" s="264">
        <v>457.15184799999997</v>
      </c>
      <c r="P43" s="264">
        <v>-1944.3245400000001</v>
      </c>
      <c r="Q43" s="264">
        <v>-172.103341</v>
      </c>
      <c r="R43" s="264">
        <v>-216.53622300000001</v>
      </c>
      <c r="S43" s="264">
        <v>0.64333395999999998</v>
      </c>
      <c r="T43" s="264">
        <v>4.0908978200000001E-2</v>
      </c>
      <c r="U43" s="264">
        <v>0.30265105599999997</v>
      </c>
      <c r="V43" s="264">
        <v>1.26528956E-2</v>
      </c>
      <c r="W43" s="264">
        <v>4.5310095799999998E-4</v>
      </c>
      <c r="X43" s="264">
        <v>2500</v>
      </c>
      <c r="Y43" s="264">
        <v>225.726122</v>
      </c>
      <c r="AB43" s="264">
        <f t="shared" si="10"/>
        <v>4745.4680799999996</v>
      </c>
      <c r="AC43" s="264">
        <f t="shared" si="10"/>
        <v>1182.5673999999999</v>
      </c>
      <c r="AD43" s="264">
        <f t="shared" si="10"/>
        <v>-1466.9726000000001</v>
      </c>
      <c r="AE43" s="264">
        <f t="shared" si="10"/>
        <v>-139.78917200000001</v>
      </c>
      <c r="AF43" s="264">
        <f t="shared" si="10"/>
        <v>-175.69205600000001</v>
      </c>
      <c r="AH43" s="264">
        <f t="shared" si="11"/>
        <v>2500</v>
      </c>
      <c r="AI43" s="264">
        <v>1000</v>
      </c>
      <c r="AJ43" s="264">
        <v>1500</v>
      </c>
      <c r="AK43" s="264">
        <f t="shared" si="12"/>
        <v>5928.0354799999996</v>
      </c>
      <c r="AL43" s="264">
        <f t="shared" si="13"/>
        <v>302.62746488038283</v>
      </c>
      <c r="AM43" s="264">
        <f t="shared" si="14"/>
        <v>1466.9726000000001</v>
      </c>
      <c r="AN43" s="264">
        <f t="shared" si="14"/>
        <v>139.78917200000001</v>
      </c>
      <c r="AP43" s="264">
        <f t="shared" si="15"/>
        <v>225.726122</v>
      </c>
      <c r="AQ43" s="266">
        <f t="shared" si="16"/>
        <v>0.64333395999999998</v>
      </c>
      <c r="AR43" s="266">
        <f t="shared" si="9"/>
        <v>4.0908978200000001E-2</v>
      </c>
      <c r="AS43" s="266">
        <f t="shared" si="9"/>
        <v>0.30265105599999997</v>
      </c>
      <c r="AT43" s="266">
        <f t="shared" si="9"/>
        <v>1.26528956E-2</v>
      </c>
      <c r="AU43" s="266">
        <f t="shared" si="9"/>
        <v>4.5310095799999998E-4</v>
      </c>
    </row>
    <row r="44" spans="2:47" x14ac:dyDescent="0.25">
      <c r="B44" s="264">
        <v>17</v>
      </c>
      <c r="C44" s="264" t="s">
        <v>1122</v>
      </c>
      <c r="E44" s="264">
        <v>968.42105300000003</v>
      </c>
      <c r="F44" s="264">
        <v>4768.9088199999997</v>
      </c>
      <c r="G44" s="264">
        <v>1182.5673999999999</v>
      </c>
      <c r="H44" s="264">
        <v>-1488.68634</v>
      </c>
      <c r="I44" s="264">
        <v>-139.793995</v>
      </c>
      <c r="J44" s="264">
        <v>-175.70398800000001</v>
      </c>
      <c r="K44" s="264">
        <v>-11393.3392</v>
      </c>
      <c r="L44" s="264">
        <v>-3151.4303300000001</v>
      </c>
      <c r="M44" s="264">
        <v>-262.81619000000001</v>
      </c>
      <c r="N44" s="264">
        <v>-2175.2498599999999</v>
      </c>
      <c r="O44" s="264">
        <v>457.15184799999997</v>
      </c>
      <c r="P44" s="264">
        <v>-1944.3245400000001</v>
      </c>
      <c r="Q44" s="264">
        <v>-172.103341</v>
      </c>
      <c r="R44" s="264">
        <v>-216.53622300000001</v>
      </c>
      <c r="S44" s="264">
        <v>0.64320460999999995</v>
      </c>
      <c r="T44" s="264">
        <v>4.1088347099999999E-2</v>
      </c>
      <c r="U44" s="264">
        <v>0.30294737700000002</v>
      </c>
      <c r="V44" s="264">
        <v>1.2385834E-2</v>
      </c>
      <c r="W44" s="264">
        <v>3.7382467599999999E-4</v>
      </c>
      <c r="X44" s="264">
        <v>2500</v>
      </c>
      <c r="Y44" s="264">
        <v>225.761886</v>
      </c>
      <c r="AB44" s="264">
        <f t="shared" si="10"/>
        <v>4768.9088199999997</v>
      </c>
      <c r="AC44" s="264">
        <f t="shared" si="10"/>
        <v>1182.5673999999999</v>
      </c>
      <c r="AD44" s="264">
        <f t="shared" si="10"/>
        <v>-1488.68634</v>
      </c>
      <c r="AE44" s="264">
        <f t="shared" si="10"/>
        <v>-139.793995</v>
      </c>
      <c r="AF44" s="264">
        <f t="shared" si="10"/>
        <v>-175.70398800000001</v>
      </c>
      <c r="AH44" s="264">
        <f t="shared" si="11"/>
        <v>2500</v>
      </c>
      <c r="AI44" s="264">
        <v>1000</v>
      </c>
      <c r="AJ44" s="264">
        <v>1500</v>
      </c>
      <c r="AK44" s="264">
        <f t="shared" si="12"/>
        <v>5951.4762199999996</v>
      </c>
      <c r="AL44" s="264">
        <f t="shared" si="13"/>
        <v>302.6480176076555</v>
      </c>
      <c r="AM44" s="264">
        <f t="shared" si="14"/>
        <v>1488.68634</v>
      </c>
      <c r="AN44" s="264">
        <f t="shared" si="14"/>
        <v>139.793995</v>
      </c>
      <c r="AP44" s="264">
        <f t="shared" si="15"/>
        <v>225.761886</v>
      </c>
      <c r="AQ44" s="266">
        <f t="shared" si="16"/>
        <v>0.64320460999999995</v>
      </c>
      <c r="AR44" s="266">
        <f t="shared" si="9"/>
        <v>4.1088347099999999E-2</v>
      </c>
      <c r="AS44" s="266">
        <f t="shared" si="9"/>
        <v>0.30294737700000002</v>
      </c>
      <c r="AT44" s="266">
        <f t="shared" si="9"/>
        <v>1.2385834E-2</v>
      </c>
      <c r="AU44" s="266">
        <f t="shared" si="9"/>
        <v>3.7382467599999999E-4</v>
      </c>
    </row>
    <row r="45" spans="2:47" x14ac:dyDescent="0.25">
      <c r="B45" s="264">
        <v>18</v>
      </c>
      <c r="C45" s="264" t="s">
        <v>1122</v>
      </c>
      <c r="E45" s="264">
        <v>978.94736799999998</v>
      </c>
      <c r="F45" s="264">
        <v>4792.1438900000003</v>
      </c>
      <c r="G45" s="264">
        <v>1182.5673999999999</v>
      </c>
      <c r="H45" s="264">
        <v>-1510.42256</v>
      </c>
      <c r="I45" s="264">
        <v>-139.796539</v>
      </c>
      <c r="J45" s="264">
        <v>-175.71245500000001</v>
      </c>
      <c r="K45" s="264">
        <v>-11394.826999999999</v>
      </c>
      <c r="L45" s="264">
        <v>-3151.4303399999999</v>
      </c>
      <c r="M45" s="264">
        <v>-262.816191</v>
      </c>
      <c r="N45" s="264">
        <v>-2175.2498599999999</v>
      </c>
      <c r="O45" s="264">
        <v>457.15184799999997</v>
      </c>
      <c r="P45" s="264">
        <v>-1944.3245400000001</v>
      </c>
      <c r="Q45" s="264">
        <v>-172.103341</v>
      </c>
      <c r="R45" s="264">
        <v>-216.53622300000001</v>
      </c>
      <c r="S45" s="264">
        <v>0.643062087</v>
      </c>
      <c r="T45" s="264">
        <v>4.1271564199999999E-2</v>
      </c>
      <c r="U45" s="264">
        <v>0.30322574400000002</v>
      </c>
      <c r="V45" s="264">
        <v>1.2131272E-2</v>
      </c>
      <c r="W45" s="264">
        <v>3.0932718499999999E-4</v>
      </c>
      <c r="X45" s="264">
        <v>2500</v>
      </c>
      <c r="Y45" s="264">
        <v>225.79099099999999</v>
      </c>
      <c r="AB45" s="264">
        <f t="shared" si="10"/>
        <v>4792.1438900000003</v>
      </c>
      <c r="AC45" s="264">
        <f t="shared" si="10"/>
        <v>1182.5673999999999</v>
      </c>
      <c r="AD45" s="264">
        <f t="shared" si="10"/>
        <v>-1510.42256</v>
      </c>
      <c r="AE45" s="264">
        <f t="shared" si="10"/>
        <v>-139.796539</v>
      </c>
      <c r="AF45" s="264">
        <f t="shared" si="10"/>
        <v>-175.71245500000001</v>
      </c>
      <c r="AH45" s="264">
        <f t="shared" si="11"/>
        <v>2500</v>
      </c>
      <c r="AI45" s="264">
        <v>1000</v>
      </c>
      <c r="AJ45" s="264">
        <v>1500</v>
      </c>
      <c r="AK45" s="264">
        <f t="shared" si="12"/>
        <v>5974.7112900000002</v>
      </c>
      <c r="AL45" s="264">
        <f t="shared" si="13"/>
        <v>302.66260191387562</v>
      </c>
      <c r="AM45" s="264">
        <f t="shared" si="14"/>
        <v>1510.42256</v>
      </c>
      <c r="AN45" s="264">
        <f t="shared" si="14"/>
        <v>139.796539</v>
      </c>
      <c r="AP45" s="264">
        <f t="shared" si="15"/>
        <v>225.79099099999999</v>
      </c>
      <c r="AQ45" s="266">
        <f t="shared" si="16"/>
        <v>0.643062087</v>
      </c>
      <c r="AR45" s="266">
        <f t="shared" si="9"/>
        <v>4.1271564199999999E-2</v>
      </c>
      <c r="AS45" s="266">
        <f t="shared" si="9"/>
        <v>0.30322574400000002</v>
      </c>
      <c r="AT45" s="266">
        <f t="shared" si="9"/>
        <v>1.2131272E-2</v>
      </c>
      <c r="AU45" s="266">
        <f t="shared" si="9"/>
        <v>3.0932718499999999E-4</v>
      </c>
    </row>
    <row r="46" spans="2:47" x14ac:dyDescent="0.25">
      <c r="B46" s="264">
        <v>19</v>
      </c>
      <c r="C46" s="264" t="s">
        <v>1122</v>
      </c>
      <c r="E46" s="264">
        <v>989.47368400000005</v>
      </c>
      <c r="F46" s="264">
        <v>4815.2168199999996</v>
      </c>
      <c r="G46" s="264">
        <v>1182.5673999999999</v>
      </c>
      <c r="H46" s="264">
        <v>-1532.1831299999999</v>
      </c>
      <c r="I46" s="264">
        <v>-139.79729499999999</v>
      </c>
      <c r="J46" s="264">
        <v>-175.718176</v>
      </c>
      <c r="K46" s="264">
        <v>-11396.132900000001</v>
      </c>
      <c r="L46" s="264">
        <v>-3151.4303500000001</v>
      </c>
      <c r="M46" s="264">
        <v>-262.816191</v>
      </c>
      <c r="N46" s="264">
        <v>-2175.2498599999999</v>
      </c>
      <c r="O46" s="264">
        <v>457.15184799999997</v>
      </c>
      <c r="P46" s="264">
        <v>-1944.3245400000001</v>
      </c>
      <c r="Q46" s="264">
        <v>-172.103341</v>
      </c>
      <c r="R46" s="264">
        <v>-216.53622300000001</v>
      </c>
      <c r="S46" s="264">
        <v>0.64291016499999998</v>
      </c>
      <c r="T46" s="264">
        <v>4.1456683199999997E-2</v>
      </c>
      <c r="U46" s="264">
        <v>0.30348848499999997</v>
      </c>
      <c r="V46" s="264">
        <v>1.1887950600000001E-2</v>
      </c>
      <c r="W46" s="264">
        <v>2.5671083900000001E-4</v>
      </c>
      <c r="X46" s="264">
        <v>2500</v>
      </c>
      <c r="Y46" s="264">
        <v>225.814741</v>
      </c>
      <c r="AB46" s="264">
        <f t="shared" si="10"/>
        <v>4815.2168199999996</v>
      </c>
      <c r="AC46" s="264">
        <f t="shared" si="10"/>
        <v>1182.5673999999999</v>
      </c>
      <c r="AD46" s="264">
        <f t="shared" si="10"/>
        <v>-1532.1831299999999</v>
      </c>
      <c r="AE46" s="264">
        <f t="shared" si="10"/>
        <v>-139.79729499999999</v>
      </c>
      <c r="AF46" s="264">
        <f t="shared" si="10"/>
        <v>-175.718176</v>
      </c>
      <c r="AH46" s="264">
        <f t="shared" si="11"/>
        <v>2500</v>
      </c>
      <c r="AI46" s="264">
        <v>1000</v>
      </c>
      <c r="AJ46" s="264">
        <v>1500</v>
      </c>
      <c r="AK46" s="264">
        <f t="shared" si="12"/>
        <v>5997.7842199999996</v>
      </c>
      <c r="AL46" s="264">
        <f t="shared" si="13"/>
        <v>302.67245626794255</v>
      </c>
      <c r="AM46" s="264">
        <f t="shared" si="14"/>
        <v>1532.1831299999999</v>
      </c>
      <c r="AN46" s="264">
        <f t="shared" si="14"/>
        <v>139.79729499999999</v>
      </c>
      <c r="AP46" s="264">
        <f t="shared" si="15"/>
        <v>225.814741</v>
      </c>
      <c r="AQ46" s="266">
        <f t="shared" si="16"/>
        <v>0.64291016499999998</v>
      </c>
      <c r="AR46" s="266">
        <f t="shared" si="9"/>
        <v>4.1456683199999997E-2</v>
      </c>
      <c r="AS46" s="266">
        <f t="shared" si="9"/>
        <v>0.30348848499999997</v>
      </c>
      <c r="AT46" s="266">
        <f t="shared" si="9"/>
        <v>1.1887950600000001E-2</v>
      </c>
      <c r="AU46" s="266">
        <f t="shared" si="9"/>
        <v>2.5671083900000001E-4</v>
      </c>
    </row>
    <row r="47" spans="2:47" x14ac:dyDescent="0.25">
      <c r="B47" s="264">
        <v>20</v>
      </c>
      <c r="C47" s="264" t="s">
        <v>1122</v>
      </c>
      <c r="E47" s="264">
        <v>1000</v>
      </c>
      <c r="F47" s="264">
        <v>4838.16237</v>
      </c>
      <c r="G47" s="264">
        <v>1182.5673999999999</v>
      </c>
      <c r="H47" s="264">
        <v>-1553.9695300000001</v>
      </c>
      <c r="I47" s="264">
        <v>-139.796651</v>
      </c>
      <c r="J47" s="264">
        <v>-175.721722</v>
      </c>
      <c r="K47" s="264">
        <v>-11397.2891</v>
      </c>
      <c r="L47" s="264">
        <v>-3151.4303500000001</v>
      </c>
      <c r="M47" s="264">
        <v>-262.816192</v>
      </c>
      <c r="N47" s="264">
        <v>-2175.2498599999999</v>
      </c>
      <c r="O47" s="264">
        <v>457.15184799999997</v>
      </c>
      <c r="P47" s="264">
        <v>-1944.3245400000001</v>
      </c>
      <c r="Q47" s="264">
        <v>-172.103341</v>
      </c>
      <c r="R47" s="264">
        <v>-216.53622300000001</v>
      </c>
      <c r="S47" s="264">
        <v>0.64275181699999995</v>
      </c>
      <c r="T47" s="264">
        <v>4.1642189599999997E-2</v>
      </c>
      <c r="U47" s="264">
        <v>0.30373749</v>
      </c>
      <c r="V47" s="264">
        <v>1.1654831500000001E-2</v>
      </c>
      <c r="W47" s="264">
        <v>2.1366780900000001E-4</v>
      </c>
      <c r="X47" s="264">
        <v>2500</v>
      </c>
      <c r="Y47" s="264">
        <v>225.834172</v>
      </c>
      <c r="AB47" s="264">
        <f t="shared" si="10"/>
        <v>4838.16237</v>
      </c>
      <c r="AC47" s="264">
        <f t="shared" si="10"/>
        <v>1182.5673999999999</v>
      </c>
      <c r="AD47" s="264">
        <f t="shared" si="10"/>
        <v>-1553.9695300000001</v>
      </c>
      <c r="AE47" s="264">
        <f t="shared" si="10"/>
        <v>-139.796651</v>
      </c>
      <c r="AF47" s="264">
        <f t="shared" si="10"/>
        <v>-175.721722</v>
      </c>
      <c r="AH47" s="264">
        <f t="shared" si="11"/>
        <v>2500</v>
      </c>
      <c r="AI47" s="264">
        <v>1000</v>
      </c>
      <c r="AJ47" s="264">
        <v>1500</v>
      </c>
      <c r="AK47" s="264">
        <f t="shared" si="12"/>
        <v>6020.7297699999999</v>
      </c>
      <c r="AL47" s="264">
        <f t="shared" si="13"/>
        <v>302.6785642105263</v>
      </c>
      <c r="AM47" s="264">
        <f t="shared" si="14"/>
        <v>1553.9695300000001</v>
      </c>
      <c r="AN47" s="264">
        <f t="shared" si="14"/>
        <v>139.796651</v>
      </c>
      <c r="AP47" s="264">
        <f t="shared" si="15"/>
        <v>225.834172</v>
      </c>
      <c r="AQ47" s="266">
        <f t="shared" si="16"/>
        <v>0.64275181699999995</v>
      </c>
      <c r="AR47" s="266">
        <f t="shared" si="9"/>
        <v>4.1642189599999997E-2</v>
      </c>
      <c r="AS47" s="266">
        <f t="shared" si="9"/>
        <v>0.30373749</v>
      </c>
      <c r="AT47" s="266">
        <f t="shared" si="9"/>
        <v>1.1654831500000001E-2</v>
      </c>
      <c r="AU47" s="266">
        <f t="shared" si="9"/>
        <v>2.1366780900000001E-4</v>
      </c>
    </row>
    <row r="49" spans="1:49" s="262" customFormat="1" x14ac:dyDescent="0.25">
      <c r="A49" s="262" t="s">
        <v>22</v>
      </c>
    </row>
    <row r="50" spans="1:49" x14ac:dyDescent="0.25">
      <c r="AB50" s="263" t="s">
        <v>1079</v>
      </c>
      <c r="AC50" s="263" t="s">
        <v>1079</v>
      </c>
      <c r="AD50" s="263" t="s">
        <v>1080</v>
      </c>
      <c r="AE50" s="263" t="s">
        <v>1080</v>
      </c>
      <c r="AF50" s="263" t="s">
        <v>1079</v>
      </c>
      <c r="AG50" s="263"/>
      <c r="AH50" s="263" t="s">
        <v>1081</v>
      </c>
      <c r="AI50" s="263"/>
      <c r="AJ50" s="263"/>
      <c r="AK50" s="263"/>
      <c r="AL50" s="263"/>
      <c r="AM50" s="263"/>
      <c r="AN50" s="263"/>
      <c r="AO50" s="263"/>
      <c r="AP50" s="263" t="s">
        <v>2053</v>
      </c>
      <c r="AQ50" s="263"/>
      <c r="AR50" s="263"/>
      <c r="AS50" s="263"/>
      <c r="AT50" s="263"/>
      <c r="AU50" s="263"/>
      <c r="AV50" s="263"/>
      <c r="AW50" s="264" t="s">
        <v>3</v>
      </c>
    </row>
    <row r="51" spans="1:49" x14ac:dyDescent="0.25">
      <c r="B51" s="264" t="s">
        <v>1082</v>
      </c>
      <c r="C51" s="264" t="s">
        <v>1083</v>
      </c>
      <c r="D51" s="264" t="s">
        <v>1084</v>
      </c>
      <c r="E51" s="264" t="s">
        <v>1085</v>
      </c>
      <c r="F51" s="264" t="s">
        <v>1086</v>
      </c>
      <c r="G51" s="264" t="s">
        <v>1087</v>
      </c>
      <c r="H51" s="264" t="s">
        <v>1088</v>
      </c>
      <c r="I51" s="264" t="s">
        <v>1089</v>
      </c>
      <c r="J51" s="264" t="s">
        <v>1090</v>
      </c>
      <c r="K51" s="264" t="s">
        <v>1091</v>
      </c>
      <c r="L51" s="264" t="s">
        <v>1092</v>
      </c>
      <c r="M51" s="264" t="s">
        <v>1093</v>
      </c>
      <c r="N51" s="264" t="s">
        <v>1094</v>
      </c>
      <c r="O51" s="264" t="s">
        <v>1095</v>
      </c>
      <c r="P51" s="264" t="s">
        <v>1096</v>
      </c>
      <c r="Q51" s="264" t="s">
        <v>1097</v>
      </c>
      <c r="R51" s="264" t="s">
        <v>1098</v>
      </c>
      <c r="S51" s="264" t="s">
        <v>1099</v>
      </c>
      <c r="T51" s="264" t="s">
        <v>1100</v>
      </c>
      <c r="U51" s="264" t="s">
        <v>1101</v>
      </c>
      <c r="V51" s="264" t="s">
        <v>1102</v>
      </c>
      <c r="W51" s="264" t="s">
        <v>1103</v>
      </c>
      <c r="X51" s="264" t="s">
        <v>1104</v>
      </c>
      <c r="Y51" s="264" t="s">
        <v>1105</v>
      </c>
      <c r="AB51" s="264" t="s">
        <v>1106</v>
      </c>
      <c r="AC51" s="264" t="s">
        <v>1107</v>
      </c>
      <c r="AD51" s="264" t="s">
        <v>1108</v>
      </c>
      <c r="AE51" s="264" t="s">
        <v>1109</v>
      </c>
      <c r="AF51" s="264" t="s">
        <v>1110</v>
      </c>
      <c r="AH51" s="264" t="s">
        <v>1111</v>
      </c>
      <c r="AI51" s="264" t="s">
        <v>2051</v>
      </c>
      <c r="AJ51" s="264" t="s">
        <v>1112</v>
      </c>
      <c r="AK51" s="264" t="s">
        <v>2052</v>
      </c>
      <c r="AL51" s="264" t="s">
        <v>1113</v>
      </c>
      <c r="AM51" s="264" t="s">
        <v>1114</v>
      </c>
      <c r="AN51" s="264" t="s">
        <v>1115</v>
      </c>
      <c r="AO51" s="264" t="s">
        <v>3</v>
      </c>
      <c r="AP51" s="264" t="s">
        <v>1116</v>
      </c>
      <c r="AQ51" s="264" t="s">
        <v>1117</v>
      </c>
      <c r="AR51" s="264" t="s">
        <v>1118</v>
      </c>
      <c r="AS51" s="264" t="s">
        <v>1119</v>
      </c>
      <c r="AT51" s="264" t="s">
        <v>1120</v>
      </c>
      <c r="AU51" s="264" t="s">
        <v>1121</v>
      </c>
      <c r="AW51" s="264" t="s">
        <v>3</v>
      </c>
    </row>
    <row r="52" spans="1:49" x14ac:dyDescent="0.25">
      <c r="B52" s="264">
        <v>1</v>
      </c>
      <c r="C52" s="264" t="s">
        <v>1122</v>
      </c>
      <c r="E52" s="264">
        <v>800</v>
      </c>
      <c r="F52" s="264">
        <v>3794.3753900000002</v>
      </c>
      <c r="G52" s="264">
        <v>1182.5673999999999</v>
      </c>
      <c r="H52" s="264">
        <v>-997.13894100000005</v>
      </c>
      <c r="I52" s="264">
        <v>-120.470854</v>
      </c>
      <c r="J52" s="264">
        <v>-150.994429</v>
      </c>
      <c r="K52" s="264">
        <v>-10092.658100000001</v>
      </c>
      <c r="L52" s="264">
        <v>-2924.4849899999999</v>
      </c>
      <c r="M52" s="264">
        <v>-243.608982</v>
      </c>
      <c r="N52" s="264">
        <v>-1726.55997</v>
      </c>
      <c r="O52" s="264">
        <v>457.15184799999997</v>
      </c>
      <c r="P52" s="264">
        <v>-1944.3245400000001</v>
      </c>
      <c r="Q52" s="264">
        <v>-172.103341</v>
      </c>
      <c r="R52" s="264">
        <v>-216.53622300000001</v>
      </c>
      <c r="S52" s="264">
        <v>0.57345349800000001</v>
      </c>
      <c r="T52" s="264">
        <v>2.86235546E-2</v>
      </c>
      <c r="U52" s="264">
        <v>0.36422907700000001</v>
      </c>
      <c r="V52" s="264">
        <v>1.9288266599999999E-2</v>
      </c>
      <c r="W52" s="264">
        <v>1.4405054400000001E-2</v>
      </c>
      <c r="X52" s="264">
        <v>2500</v>
      </c>
      <c r="Y52" s="264">
        <v>192.992637</v>
      </c>
      <c r="AB52" s="264">
        <f>F52</f>
        <v>3794.3753900000002</v>
      </c>
      <c r="AC52" s="264">
        <f>G52</f>
        <v>1182.5673999999999</v>
      </c>
      <c r="AD52" s="264">
        <f>H52</f>
        <v>-997.13894100000005</v>
      </c>
      <c r="AE52" s="264">
        <f>I52</f>
        <v>-120.470854</v>
      </c>
      <c r="AF52" s="264">
        <f>J52</f>
        <v>-150.994429</v>
      </c>
      <c r="AH52" s="264">
        <f>X52</f>
        <v>2500</v>
      </c>
      <c r="AI52" s="264">
        <v>1000</v>
      </c>
      <c r="AJ52" s="264">
        <v>1500</v>
      </c>
      <c r="AK52" s="264">
        <f>AB52+AC52</f>
        <v>4976.9427900000001</v>
      </c>
      <c r="AL52" s="264">
        <f>ABS(AF52)/(4.18*15)*3600*0.03</f>
        <v>260.0860977990431</v>
      </c>
      <c r="AM52" s="264">
        <f>ABS(AD52)</f>
        <v>997.13894100000005</v>
      </c>
      <c r="AN52" s="264">
        <f>ABS(AE52)</f>
        <v>120.470854</v>
      </c>
      <c r="AP52" s="264">
        <f>Y52</f>
        <v>192.992637</v>
      </c>
      <c r="AQ52" s="266">
        <f>S52</f>
        <v>0.57345349800000001</v>
      </c>
      <c r="AR52" s="266">
        <f t="shared" ref="AR52:AU71" si="17">T52</f>
        <v>2.86235546E-2</v>
      </c>
      <c r="AS52" s="266">
        <f t="shared" si="17"/>
        <v>0.36422907700000001</v>
      </c>
      <c r="AT52" s="266">
        <f t="shared" si="17"/>
        <v>1.9288266599999999E-2</v>
      </c>
      <c r="AU52" s="266">
        <f t="shared" si="17"/>
        <v>1.4405054400000001E-2</v>
      </c>
    </row>
    <row r="53" spans="1:49" x14ac:dyDescent="0.25">
      <c r="B53" s="264">
        <v>2</v>
      </c>
      <c r="C53" s="264" t="s">
        <v>1122</v>
      </c>
      <c r="E53" s="264">
        <v>810.52631599999995</v>
      </c>
      <c r="F53" s="264">
        <v>3844.28631</v>
      </c>
      <c r="G53" s="264">
        <v>1182.5673999999999</v>
      </c>
      <c r="H53" s="264">
        <v>-1016.95259</v>
      </c>
      <c r="I53" s="264">
        <v>-120.802342</v>
      </c>
      <c r="J53" s="264">
        <v>-151.48686000000001</v>
      </c>
      <c r="K53" s="264">
        <v>-10121.931</v>
      </c>
      <c r="L53" s="264">
        <v>-2924.4853600000001</v>
      </c>
      <c r="M53" s="264">
        <v>-243.609013</v>
      </c>
      <c r="N53" s="264">
        <v>-1726.55998</v>
      </c>
      <c r="O53" s="264">
        <v>457.15184799999997</v>
      </c>
      <c r="P53" s="264">
        <v>-1944.3245400000001</v>
      </c>
      <c r="Q53" s="264">
        <v>-172.103341</v>
      </c>
      <c r="R53" s="264">
        <v>-216.53622300000001</v>
      </c>
      <c r="S53" s="264">
        <v>0.57647577999999999</v>
      </c>
      <c r="T53" s="264">
        <v>2.7478638900000001E-2</v>
      </c>
      <c r="U53" s="264">
        <v>0.36621891099999998</v>
      </c>
      <c r="V53" s="264">
        <v>1.7848041799999999E-2</v>
      </c>
      <c r="W53" s="264">
        <v>1.19781604E-2</v>
      </c>
      <c r="X53" s="264">
        <v>2500</v>
      </c>
      <c r="Y53" s="264">
        <v>193.90751499999999</v>
      </c>
      <c r="AB53" s="264">
        <f t="shared" ref="AB53:AF71" si="18">F53</f>
        <v>3844.28631</v>
      </c>
      <c r="AC53" s="264">
        <f t="shared" si="18"/>
        <v>1182.5673999999999</v>
      </c>
      <c r="AD53" s="264">
        <f t="shared" si="18"/>
        <v>-1016.95259</v>
      </c>
      <c r="AE53" s="264">
        <f t="shared" si="18"/>
        <v>-120.802342</v>
      </c>
      <c r="AF53" s="264">
        <f t="shared" si="18"/>
        <v>-151.48686000000001</v>
      </c>
      <c r="AH53" s="264">
        <f t="shared" ref="AH53:AH71" si="19">X53</f>
        <v>2500</v>
      </c>
      <c r="AI53" s="264">
        <v>1000</v>
      </c>
      <c r="AJ53" s="264">
        <v>1500</v>
      </c>
      <c r="AK53" s="264">
        <f t="shared" ref="AK53:AK71" si="20">AB53+AC53</f>
        <v>5026.8537099999994</v>
      </c>
      <c r="AL53" s="264">
        <f t="shared" ref="AL53:AL71" si="21">ABS(AF53)/(4.18*15)*3600*0.03</f>
        <v>260.93430430622016</v>
      </c>
      <c r="AM53" s="264">
        <f t="shared" ref="AM53:AN71" si="22">ABS(AD53)</f>
        <v>1016.95259</v>
      </c>
      <c r="AN53" s="264">
        <f t="shared" si="22"/>
        <v>120.802342</v>
      </c>
      <c r="AP53" s="264">
        <f t="shared" ref="AP53:AP71" si="23">Y53</f>
        <v>193.90751499999999</v>
      </c>
      <c r="AQ53" s="266">
        <f t="shared" ref="AQ53:AQ71" si="24">S53</f>
        <v>0.57647577999999999</v>
      </c>
      <c r="AR53" s="267">
        <f t="shared" si="17"/>
        <v>2.7478638900000001E-2</v>
      </c>
      <c r="AS53" s="266">
        <f t="shared" si="17"/>
        <v>0.36621891099999998</v>
      </c>
      <c r="AT53" s="266">
        <f t="shared" si="17"/>
        <v>1.7848041799999999E-2</v>
      </c>
      <c r="AU53" s="266">
        <f t="shared" si="17"/>
        <v>1.19781604E-2</v>
      </c>
    </row>
    <row r="54" spans="1:49" x14ac:dyDescent="0.25">
      <c r="B54" s="264">
        <v>3</v>
      </c>
      <c r="C54" s="264" t="s">
        <v>1122</v>
      </c>
      <c r="E54" s="264">
        <v>821.05263200000002</v>
      </c>
      <c r="F54" s="264">
        <v>3889.72759</v>
      </c>
      <c r="G54" s="264">
        <v>1182.5673999999999</v>
      </c>
      <c r="H54" s="264">
        <v>-1036.6323400000001</v>
      </c>
      <c r="I54" s="264">
        <v>-121.085487</v>
      </c>
      <c r="J54" s="264">
        <v>-151.90768</v>
      </c>
      <c r="K54" s="264">
        <v>-10146.9882</v>
      </c>
      <c r="L54" s="264">
        <v>-2924.4856799999998</v>
      </c>
      <c r="M54" s="264">
        <v>-243.60903999999999</v>
      </c>
      <c r="N54" s="264">
        <v>-1726.55999</v>
      </c>
      <c r="O54" s="264">
        <v>457.15184799999997</v>
      </c>
      <c r="P54" s="264">
        <v>-1944.3245400000001</v>
      </c>
      <c r="Q54" s="264">
        <v>-172.103341</v>
      </c>
      <c r="R54" s="264">
        <v>-216.53622300000001</v>
      </c>
      <c r="S54" s="264">
        <v>0.57902714099999997</v>
      </c>
      <c r="T54" s="264">
        <v>2.65187583E-2</v>
      </c>
      <c r="U54" s="264">
        <v>0.36791643099999999</v>
      </c>
      <c r="V54" s="264">
        <v>1.6616440100000001E-2</v>
      </c>
      <c r="W54" s="264">
        <v>9.92083377E-3</v>
      </c>
      <c r="X54" s="264">
        <v>2500</v>
      </c>
      <c r="Y54" s="264">
        <v>194.689897</v>
      </c>
      <c r="AB54" s="264">
        <f t="shared" si="18"/>
        <v>3889.72759</v>
      </c>
      <c r="AC54" s="264">
        <f t="shared" si="18"/>
        <v>1182.5673999999999</v>
      </c>
      <c r="AD54" s="264">
        <f t="shared" si="18"/>
        <v>-1036.6323400000001</v>
      </c>
      <c r="AE54" s="264">
        <f t="shared" si="18"/>
        <v>-121.085487</v>
      </c>
      <c r="AF54" s="264">
        <f t="shared" si="18"/>
        <v>-151.90768</v>
      </c>
      <c r="AH54" s="264">
        <f t="shared" si="19"/>
        <v>2500</v>
      </c>
      <c r="AI54" s="264">
        <v>1000</v>
      </c>
      <c r="AJ54" s="264">
        <v>1500</v>
      </c>
      <c r="AK54" s="264">
        <f t="shared" si="20"/>
        <v>5072.2949900000003</v>
      </c>
      <c r="AL54" s="264">
        <f t="shared" si="21"/>
        <v>261.65916172248802</v>
      </c>
      <c r="AM54" s="264">
        <f t="shared" si="22"/>
        <v>1036.6323400000001</v>
      </c>
      <c r="AN54" s="264">
        <f t="shared" si="22"/>
        <v>121.085487</v>
      </c>
      <c r="AP54" s="264">
        <f t="shared" si="23"/>
        <v>194.689897</v>
      </c>
      <c r="AQ54" s="266">
        <f t="shared" si="24"/>
        <v>0.57902714099999997</v>
      </c>
      <c r="AR54" s="266">
        <f t="shared" si="17"/>
        <v>2.65187583E-2</v>
      </c>
      <c r="AS54" s="266">
        <f t="shared" si="17"/>
        <v>0.36791643099999999</v>
      </c>
      <c r="AT54" s="266">
        <f t="shared" si="17"/>
        <v>1.6616440100000001E-2</v>
      </c>
      <c r="AU54" s="266">
        <f t="shared" si="17"/>
        <v>9.92083377E-3</v>
      </c>
    </row>
    <row r="55" spans="1:49" x14ac:dyDescent="0.25">
      <c r="B55" s="264">
        <v>4</v>
      </c>
      <c r="C55" s="264" t="s">
        <v>1122</v>
      </c>
      <c r="E55" s="264">
        <v>831.57894699999997</v>
      </c>
      <c r="F55" s="264">
        <v>3931.1876499999998</v>
      </c>
      <c r="G55" s="264">
        <v>1182.5673999999999</v>
      </c>
      <c r="H55" s="264">
        <v>-1056.19244</v>
      </c>
      <c r="I55" s="264">
        <v>-121.325326</v>
      </c>
      <c r="J55" s="264">
        <v>-152.264432</v>
      </c>
      <c r="K55" s="264">
        <v>-10168.2912</v>
      </c>
      <c r="L55" s="264">
        <v>-2924.4859700000002</v>
      </c>
      <c r="M55" s="264">
        <v>-243.60906499999999</v>
      </c>
      <c r="N55" s="264">
        <v>-1726.55999</v>
      </c>
      <c r="O55" s="264">
        <v>457.15184799999997</v>
      </c>
      <c r="P55" s="264">
        <v>-1944.3245400000001</v>
      </c>
      <c r="Q55" s="264">
        <v>-172.103341</v>
      </c>
      <c r="R55" s="264">
        <v>-216.53622300000001</v>
      </c>
      <c r="S55" s="264">
        <v>0.58116114399999996</v>
      </c>
      <c r="T55" s="264">
        <v>2.5725594300000001E-2</v>
      </c>
      <c r="U55" s="264">
        <v>0.36936216300000002</v>
      </c>
      <c r="V55" s="264">
        <v>1.5563252600000001E-2</v>
      </c>
      <c r="W55" s="264">
        <v>8.1875151000000007E-3</v>
      </c>
      <c r="X55" s="264">
        <v>2500</v>
      </c>
      <c r="Y55" s="264">
        <v>195.35398000000001</v>
      </c>
      <c r="AB55" s="264">
        <f t="shared" si="18"/>
        <v>3931.1876499999998</v>
      </c>
      <c r="AC55" s="264">
        <f t="shared" si="18"/>
        <v>1182.5673999999999</v>
      </c>
      <c r="AD55" s="264">
        <f t="shared" si="18"/>
        <v>-1056.19244</v>
      </c>
      <c r="AE55" s="264">
        <f t="shared" si="18"/>
        <v>-121.325326</v>
      </c>
      <c r="AF55" s="264">
        <f t="shared" si="18"/>
        <v>-152.264432</v>
      </c>
      <c r="AH55" s="264">
        <f t="shared" si="19"/>
        <v>2500</v>
      </c>
      <c r="AI55" s="264">
        <v>1000</v>
      </c>
      <c r="AJ55" s="264">
        <v>1500</v>
      </c>
      <c r="AK55" s="264">
        <f t="shared" si="20"/>
        <v>5113.7550499999998</v>
      </c>
      <c r="AL55" s="264">
        <f t="shared" si="21"/>
        <v>262.27366277511965</v>
      </c>
      <c r="AM55" s="264">
        <f t="shared" si="22"/>
        <v>1056.19244</v>
      </c>
      <c r="AN55" s="264">
        <f t="shared" si="22"/>
        <v>121.325326</v>
      </c>
      <c r="AP55" s="264">
        <f t="shared" si="23"/>
        <v>195.35398000000001</v>
      </c>
      <c r="AQ55" s="266">
        <f t="shared" si="24"/>
        <v>0.58116114399999996</v>
      </c>
      <c r="AR55" s="266">
        <f t="shared" si="17"/>
        <v>2.5725594300000001E-2</v>
      </c>
      <c r="AS55" s="266">
        <f t="shared" si="17"/>
        <v>0.36936216300000002</v>
      </c>
      <c r="AT55" s="266">
        <f t="shared" si="17"/>
        <v>1.5563252600000001E-2</v>
      </c>
      <c r="AU55" s="266">
        <f t="shared" si="17"/>
        <v>8.1875151000000007E-3</v>
      </c>
    </row>
    <row r="56" spans="1:49" x14ac:dyDescent="0.25">
      <c r="B56" s="264">
        <v>5</v>
      </c>
      <c r="C56" s="264" t="s">
        <v>1122</v>
      </c>
      <c r="E56" s="264">
        <v>842.10526300000004</v>
      </c>
      <c r="F56" s="264">
        <v>3969.13951</v>
      </c>
      <c r="G56" s="264">
        <v>1182.5673999999999</v>
      </c>
      <c r="H56" s="264">
        <v>-1075.6475800000001</v>
      </c>
      <c r="I56" s="264">
        <v>-121.52680100000001</v>
      </c>
      <c r="J56" s="264">
        <v>-152.564491</v>
      </c>
      <c r="K56" s="264">
        <v>-10186.286099999999</v>
      </c>
      <c r="L56" s="264">
        <v>-2924.4862199999998</v>
      </c>
      <c r="M56" s="264">
        <v>-243.60908599999999</v>
      </c>
      <c r="N56" s="264">
        <v>-1726.56</v>
      </c>
      <c r="O56" s="264">
        <v>457.15184799999997</v>
      </c>
      <c r="P56" s="264">
        <v>-1944.3245400000001</v>
      </c>
      <c r="Q56" s="264">
        <v>-172.103341</v>
      </c>
      <c r="R56" s="264">
        <v>-216.53622300000001</v>
      </c>
      <c r="S56" s="264">
        <v>0.58292854599999999</v>
      </c>
      <c r="T56" s="264">
        <v>2.50809988E-2</v>
      </c>
      <c r="U56" s="264">
        <v>0.37059240599999999</v>
      </c>
      <c r="V56" s="264">
        <v>1.4661724500000001E-2</v>
      </c>
      <c r="W56" s="264">
        <v>6.7360484299999997E-3</v>
      </c>
      <c r="X56" s="264">
        <v>2500</v>
      </c>
      <c r="Y56" s="264">
        <v>195.91357400000001</v>
      </c>
      <c r="AB56" s="264">
        <f t="shared" si="18"/>
        <v>3969.13951</v>
      </c>
      <c r="AC56" s="264">
        <f t="shared" si="18"/>
        <v>1182.5673999999999</v>
      </c>
      <c r="AD56" s="264">
        <f t="shared" si="18"/>
        <v>-1075.6475800000001</v>
      </c>
      <c r="AE56" s="264">
        <f t="shared" si="18"/>
        <v>-121.52680100000001</v>
      </c>
      <c r="AF56" s="264">
        <f t="shared" si="18"/>
        <v>-152.564491</v>
      </c>
      <c r="AH56" s="264">
        <f t="shared" si="19"/>
        <v>2500</v>
      </c>
      <c r="AI56" s="264">
        <v>1000</v>
      </c>
      <c r="AJ56" s="264">
        <v>1500</v>
      </c>
      <c r="AK56" s="264">
        <f t="shared" si="20"/>
        <v>5151.7069099999999</v>
      </c>
      <c r="AL56" s="264">
        <f t="shared" si="21"/>
        <v>262.79051081339713</v>
      </c>
      <c r="AM56" s="264">
        <f t="shared" si="22"/>
        <v>1075.6475800000001</v>
      </c>
      <c r="AN56" s="264">
        <f t="shared" si="22"/>
        <v>121.52680100000001</v>
      </c>
      <c r="AP56" s="264">
        <f t="shared" si="23"/>
        <v>195.91357400000001</v>
      </c>
      <c r="AQ56" s="266">
        <f t="shared" si="24"/>
        <v>0.58292854599999999</v>
      </c>
      <c r="AR56" s="266">
        <f t="shared" si="17"/>
        <v>2.50809988E-2</v>
      </c>
      <c r="AS56" s="266">
        <f t="shared" si="17"/>
        <v>0.37059240599999999</v>
      </c>
      <c r="AT56" s="266">
        <f t="shared" si="17"/>
        <v>1.4661724500000001E-2</v>
      </c>
      <c r="AU56" s="266">
        <f t="shared" si="17"/>
        <v>6.7360484299999997E-3</v>
      </c>
    </row>
    <row r="57" spans="1:49" x14ac:dyDescent="0.25">
      <c r="B57" s="264">
        <v>6</v>
      </c>
      <c r="C57" s="264" t="s">
        <v>1122</v>
      </c>
      <c r="E57" s="264">
        <v>852.63157899999999</v>
      </c>
      <c r="F57" s="264">
        <v>4004.0338400000001</v>
      </c>
      <c r="G57" s="264">
        <v>1182.5673999999999</v>
      </c>
      <c r="H57" s="264">
        <v>-1095.0124900000001</v>
      </c>
      <c r="I57" s="264">
        <v>-121.694678</v>
      </c>
      <c r="J57" s="264">
        <v>-152.81494599999999</v>
      </c>
      <c r="K57" s="264">
        <v>-10201.3969</v>
      </c>
      <c r="L57" s="264">
        <v>-2924.4864299999999</v>
      </c>
      <c r="M57" s="264">
        <v>-243.609105</v>
      </c>
      <c r="N57" s="264">
        <v>-1726.56</v>
      </c>
      <c r="O57" s="264">
        <v>457.15184799999997</v>
      </c>
      <c r="P57" s="264">
        <v>-1944.3245400000001</v>
      </c>
      <c r="Q57" s="264">
        <v>-172.103341</v>
      </c>
      <c r="R57" s="264">
        <v>-216.53622300000001</v>
      </c>
      <c r="S57" s="264">
        <v>0.58437702899999999</v>
      </c>
      <c r="T57" s="264">
        <v>2.45672532E-2</v>
      </c>
      <c r="U57" s="264">
        <v>0.37163947000000003</v>
      </c>
      <c r="V57" s="264">
        <v>1.3888317400000001E-2</v>
      </c>
      <c r="W57" s="264">
        <v>5.52770087E-3</v>
      </c>
      <c r="X57" s="264">
        <v>2500</v>
      </c>
      <c r="Y57" s="264">
        <v>196.381888</v>
      </c>
      <c r="AB57" s="264">
        <f t="shared" si="18"/>
        <v>4004.0338400000001</v>
      </c>
      <c r="AC57" s="264">
        <f t="shared" si="18"/>
        <v>1182.5673999999999</v>
      </c>
      <c r="AD57" s="264">
        <f t="shared" si="18"/>
        <v>-1095.0124900000001</v>
      </c>
      <c r="AE57" s="264">
        <f t="shared" si="18"/>
        <v>-121.694678</v>
      </c>
      <c r="AF57" s="264">
        <f t="shared" si="18"/>
        <v>-152.81494599999999</v>
      </c>
      <c r="AH57" s="264">
        <f t="shared" si="19"/>
        <v>2500</v>
      </c>
      <c r="AI57" s="264">
        <v>1000</v>
      </c>
      <c r="AJ57" s="264">
        <v>1500</v>
      </c>
      <c r="AK57" s="264">
        <f t="shared" si="20"/>
        <v>5186.60124</v>
      </c>
      <c r="AL57" s="264">
        <f t="shared" si="21"/>
        <v>263.22191655502394</v>
      </c>
      <c r="AM57" s="264">
        <f t="shared" si="22"/>
        <v>1095.0124900000001</v>
      </c>
      <c r="AN57" s="264">
        <f t="shared" si="22"/>
        <v>121.694678</v>
      </c>
      <c r="AP57" s="264">
        <f t="shared" si="23"/>
        <v>196.381888</v>
      </c>
      <c r="AQ57" s="266">
        <f t="shared" si="24"/>
        <v>0.58437702899999999</v>
      </c>
      <c r="AR57" s="266">
        <f t="shared" si="17"/>
        <v>2.45672532E-2</v>
      </c>
      <c r="AS57" s="266">
        <f t="shared" si="17"/>
        <v>0.37163947000000003</v>
      </c>
      <c r="AT57" s="266">
        <f t="shared" si="17"/>
        <v>1.3888317400000001E-2</v>
      </c>
      <c r="AU57" s="266">
        <f t="shared" si="17"/>
        <v>5.52770087E-3</v>
      </c>
    </row>
    <row r="58" spans="1:49" x14ac:dyDescent="0.25">
      <c r="B58" s="264">
        <v>7</v>
      </c>
      <c r="C58" s="264" t="s">
        <v>1122</v>
      </c>
      <c r="E58" s="264">
        <v>863.15789500000005</v>
      </c>
      <c r="F58" s="264">
        <v>4036.2928999999999</v>
      </c>
      <c r="G58" s="264">
        <v>1182.5673999999999</v>
      </c>
      <c r="H58" s="264">
        <v>-1114.3016</v>
      </c>
      <c r="I58" s="264">
        <v>-121.83346400000001</v>
      </c>
      <c r="J58" s="264">
        <v>-153.02249</v>
      </c>
      <c r="K58" s="264">
        <v>-10214.0203</v>
      </c>
      <c r="L58" s="264">
        <v>-2924.4866200000001</v>
      </c>
      <c r="M58" s="264">
        <v>-243.60911999999999</v>
      </c>
      <c r="N58" s="264">
        <v>-1726.5600099999999</v>
      </c>
      <c r="O58" s="264">
        <v>457.15184799999997</v>
      </c>
      <c r="P58" s="264">
        <v>-1944.3245400000001</v>
      </c>
      <c r="Q58" s="264">
        <v>-172.103341</v>
      </c>
      <c r="R58" s="264">
        <v>-216.53622300000001</v>
      </c>
      <c r="S58" s="264">
        <v>0.58555088300000002</v>
      </c>
      <c r="T58" s="264">
        <v>2.4167343899999999E-2</v>
      </c>
      <c r="U58" s="264">
        <v>0.37253188399999998</v>
      </c>
      <c r="V58" s="264">
        <v>1.32224874E-2</v>
      </c>
      <c r="W58" s="264">
        <v>4.52721267E-3</v>
      </c>
      <c r="X58" s="264">
        <v>2500</v>
      </c>
      <c r="Y58" s="264">
        <v>196.77134100000001</v>
      </c>
      <c r="AB58" s="264">
        <f t="shared" si="18"/>
        <v>4036.2928999999999</v>
      </c>
      <c r="AC58" s="264">
        <f t="shared" si="18"/>
        <v>1182.5673999999999</v>
      </c>
      <c r="AD58" s="264">
        <f t="shared" si="18"/>
        <v>-1114.3016</v>
      </c>
      <c r="AE58" s="264">
        <f t="shared" si="18"/>
        <v>-121.83346400000001</v>
      </c>
      <c r="AF58" s="264">
        <f t="shared" si="18"/>
        <v>-153.02249</v>
      </c>
      <c r="AH58" s="264">
        <f t="shared" si="19"/>
        <v>2500</v>
      </c>
      <c r="AI58" s="264">
        <v>1000</v>
      </c>
      <c r="AJ58" s="264">
        <v>1500</v>
      </c>
      <c r="AK58" s="264">
        <f t="shared" si="20"/>
        <v>5218.8603000000003</v>
      </c>
      <c r="AL58" s="264">
        <f t="shared" si="21"/>
        <v>263.57940861244026</v>
      </c>
      <c r="AM58" s="264">
        <f t="shared" si="22"/>
        <v>1114.3016</v>
      </c>
      <c r="AN58" s="264">
        <f t="shared" si="22"/>
        <v>121.83346400000001</v>
      </c>
      <c r="AP58" s="264">
        <f t="shared" si="23"/>
        <v>196.77134100000001</v>
      </c>
      <c r="AQ58" s="266">
        <f t="shared" si="24"/>
        <v>0.58555088300000002</v>
      </c>
      <c r="AR58" s="266">
        <f t="shared" si="17"/>
        <v>2.4167343899999999E-2</v>
      </c>
      <c r="AS58" s="266">
        <f t="shared" si="17"/>
        <v>0.37253188399999998</v>
      </c>
      <c r="AT58" s="266">
        <f t="shared" si="17"/>
        <v>1.32224874E-2</v>
      </c>
      <c r="AU58" s="266">
        <f t="shared" si="17"/>
        <v>4.52721267E-3</v>
      </c>
    </row>
    <row r="59" spans="1:49" x14ac:dyDescent="0.25">
      <c r="B59" s="264">
        <v>8</v>
      </c>
      <c r="C59" s="264" t="s">
        <v>1122</v>
      </c>
      <c r="E59" s="264">
        <v>873.684211</v>
      </c>
      <c r="F59" s="264">
        <v>4066.3052899999998</v>
      </c>
      <c r="G59" s="264">
        <v>1182.5673999999999</v>
      </c>
      <c r="H59" s="264">
        <v>-1133.52865</v>
      </c>
      <c r="I59" s="264">
        <v>-121.947349</v>
      </c>
      <c r="J59" s="264">
        <v>-153.19332299999999</v>
      </c>
      <c r="K59" s="264">
        <v>-10224.5208</v>
      </c>
      <c r="L59" s="264">
        <v>-2924.48677</v>
      </c>
      <c r="M59" s="264">
        <v>-243.60913300000001</v>
      </c>
      <c r="N59" s="264">
        <v>-1726.5600099999999</v>
      </c>
      <c r="O59" s="264">
        <v>457.15184799999997</v>
      </c>
      <c r="P59" s="264">
        <v>-1944.3245400000001</v>
      </c>
      <c r="Q59" s="264">
        <v>-172.103341</v>
      </c>
      <c r="R59" s="264">
        <v>-216.53622300000001</v>
      </c>
      <c r="S59" s="264">
        <v>0.58649069200000004</v>
      </c>
      <c r="T59" s="264">
        <v>2.38652338E-2</v>
      </c>
      <c r="U59" s="264">
        <v>0.37329459700000001</v>
      </c>
      <c r="V59" s="264">
        <v>1.26464713E-2</v>
      </c>
      <c r="W59" s="264">
        <v>3.702852E-3</v>
      </c>
      <c r="X59" s="264">
        <v>2500</v>
      </c>
      <c r="Y59" s="264">
        <v>197.09339800000001</v>
      </c>
      <c r="AB59" s="264">
        <f t="shared" si="18"/>
        <v>4066.3052899999998</v>
      </c>
      <c r="AC59" s="264">
        <f t="shared" si="18"/>
        <v>1182.5673999999999</v>
      </c>
      <c r="AD59" s="264">
        <f t="shared" si="18"/>
        <v>-1133.52865</v>
      </c>
      <c r="AE59" s="264">
        <f t="shared" si="18"/>
        <v>-121.947349</v>
      </c>
      <c r="AF59" s="264">
        <f t="shared" si="18"/>
        <v>-153.19332299999999</v>
      </c>
      <c r="AH59" s="264">
        <f t="shared" si="19"/>
        <v>2500</v>
      </c>
      <c r="AI59" s="264">
        <v>1000</v>
      </c>
      <c r="AJ59" s="264">
        <v>1500</v>
      </c>
      <c r="AK59" s="264">
        <f t="shared" si="20"/>
        <v>5248.8726900000001</v>
      </c>
      <c r="AL59" s="264">
        <f t="shared" si="21"/>
        <v>263.87366641148327</v>
      </c>
      <c r="AM59" s="264">
        <f t="shared" si="22"/>
        <v>1133.52865</v>
      </c>
      <c r="AN59" s="264">
        <f t="shared" si="22"/>
        <v>121.947349</v>
      </c>
      <c r="AP59" s="264">
        <f t="shared" si="23"/>
        <v>197.09339800000001</v>
      </c>
      <c r="AQ59" s="266">
        <f t="shared" si="24"/>
        <v>0.58649069200000004</v>
      </c>
      <c r="AR59" s="266">
        <f t="shared" si="17"/>
        <v>2.38652338E-2</v>
      </c>
      <c r="AS59" s="266">
        <f t="shared" si="17"/>
        <v>0.37329459700000001</v>
      </c>
      <c r="AT59" s="266">
        <f t="shared" si="17"/>
        <v>1.26464713E-2</v>
      </c>
      <c r="AU59" s="266">
        <f t="shared" si="17"/>
        <v>3.702852E-3</v>
      </c>
    </row>
    <row r="60" spans="1:49" x14ac:dyDescent="0.25">
      <c r="B60" s="264">
        <v>9</v>
      </c>
      <c r="C60" s="264" t="s">
        <v>1122</v>
      </c>
      <c r="E60" s="264">
        <v>884.21052599999996</v>
      </c>
      <c r="F60" s="264">
        <v>4094.4222300000001</v>
      </c>
      <c r="G60" s="264">
        <v>1182.5673999999999</v>
      </c>
      <c r="H60" s="264">
        <v>-1152.7064700000001</v>
      </c>
      <c r="I60" s="264">
        <v>-122.040143</v>
      </c>
      <c r="J60" s="264">
        <v>-153.333078</v>
      </c>
      <c r="K60" s="264">
        <v>-10233.227199999999</v>
      </c>
      <c r="L60" s="264">
        <v>-2924.4868999999999</v>
      </c>
      <c r="M60" s="264">
        <v>-243.60914399999999</v>
      </c>
      <c r="N60" s="264">
        <v>-1726.5600199999999</v>
      </c>
      <c r="O60" s="264">
        <v>457.15184799999997</v>
      </c>
      <c r="P60" s="264">
        <v>-1944.3245400000001</v>
      </c>
      <c r="Q60" s="264">
        <v>-172.103341</v>
      </c>
      <c r="R60" s="264">
        <v>-216.53622300000001</v>
      </c>
      <c r="S60" s="264">
        <v>0.58723307700000005</v>
      </c>
      <c r="T60" s="264">
        <v>2.3646101199999998E-2</v>
      </c>
      <c r="U60" s="264">
        <v>0.37394918799999999</v>
      </c>
      <c r="V60" s="264">
        <v>1.2145070799999999E-2</v>
      </c>
      <c r="W60" s="264">
        <v>3.0264361700000002E-3</v>
      </c>
      <c r="X60" s="264">
        <v>2500</v>
      </c>
      <c r="Y60" s="264">
        <v>197.35844499999999</v>
      </c>
      <c r="AB60" s="264">
        <f t="shared" si="18"/>
        <v>4094.4222300000001</v>
      </c>
      <c r="AC60" s="264">
        <f t="shared" si="18"/>
        <v>1182.5673999999999</v>
      </c>
      <c r="AD60" s="264">
        <f t="shared" si="18"/>
        <v>-1152.7064700000001</v>
      </c>
      <c r="AE60" s="264">
        <f t="shared" si="18"/>
        <v>-122.040143</v>
      </c>
      <c r="AF60" s="264">
        <f t="shared" si="18"/>
        <v>-153.333078</v>
      </c>
      <c r="AH60" s="264">
        <f t="shared" si="19"/>
        <v>2500</v>
      </c>
      <c r="AI60" s="264">
        <v>1000</v>
      </c>
      <c r="AJ60" s="264">
        <v>1500</v>
      </c>
      <c r="AK60" s="264">
        <f t="shared" si="20"/>
        <v>5276.98963</v>
      </c>
      <c r="AL60" s="264">
        <f t="shared" si="21"/>
        <v>264.11439272727273</v>
      </c>
      <c r="AM60" s="264">
        <f t="shared" si="22"/>
        <v>1152.7064700000001</v>
      </c>
      <c r="AN60" s="264">
        <f t="shared" si="22"/>
        <v>122.040143</v>
      </c>
      <c r="AP60" s="264">
        <f t="shared" si="23"/>
        <v>197.35844499999999</v>
      </c>
      <c r="AQ60" s="266">
        <f t="shared" si="24"/>
        <v>0.58723307700000005</v>
      </c>
      <c r="AR60" s="266">
        <f t="shared" si="17"/>
        <v>2.3646101199999998E-2</v>
      </c>
      <c r="AS60" s="266">
        <f t="shared" si="17"/>
        <v>0.37394918799999999</v>
      </c>
      <c r="AT60" s="266">
        <f t="shared" si="17"/>
        <v>1.2145070799999999E-2</v>
      </c>
      <c r="AU60" s="266">
        <f t="shared" si="17"/>
        <v>3.0264361700000002E-3</v>
      </c>
    </row>
    <row r="61" spans="1:49" x14ac:dyDescent="0.25">
      <c r="B61" s="264">
        <v>10</v>
      </c>
      <c r="C61" s="264" t="s">
        <v>1122</v>
      </c>
      <c r="E61" s="264">
        <v>894.73684200000002</v>
      </c>
      <c r="F61" s="264">
        <v>4120.9554200000002</v>
      </c>
      <c r="G61" s="264">
        <v>1182.5673999999999</v>
      </c>
      <c r="H61" s="264">
        <v>-1171.84674</v>
      </c>
      <c r="I61" s="264">
        <v>-122.11525399999999</v>
      </c>
      <c r="J61" s="264">
        <v>-153.44678300000001</v>
      </c>
      <c r="K61" s="264">
        <v>-10240.4311</v>
      </c>
      <c r="L61" s="264">
        <v>-2924.4870099999998</v>
      </c>
      <c r="M61" s="264">
        <v>-243.60915299999999</v>
      </c>
      <c r="N61" s="264">
        <v>-1726.5600199999999</v>
      </c>
      <c r="O61" s="264">
        <v>457.15184799999997</v>
      </c>
      <c r="P61" s="264">
        <v>-1944.3245400000001</v>
      </c>
      <c r="Q61" s="264">
        <v>-172.103341</v>
      </c>
      <c r="R61" s="264">
        <v>-216.53622300000001</v>
      </c>
      <c r="S61" s="264">
        <v>0.58781055900000001</v>
      </c>
      <c r="T61" s="264">
        <v>2.3496518500000001E-2</v>
      </c>
      <c r="U61" s="264">
        <v>0.37451410899999998</v>
      </c>
      <c r="V61" s="264">
        <v>1.17054247E-2</v>
      </c>
      <c r="W61" s="264">
        <v>2.4732855599999999E-3</v>
      </c>
      <c r="X61" s="264">
        <v>2500</v>
      </c>
      <c r="Y61" s="264">
        <v>197.57572200000001</v>
      </c>
      <c r="AB61" s="264">
        <f t="shared" si="18"/>
        <v>4120.9554200000002</v>
      </c>
      <c r="AC61" s="264">
        <f t="shared" si="18"/>
        <v>1182.5673999999999</v>
      </c>
      <c r="AD61" s="264">
        <f t="shared" si="18"/>
        <v>-1171.84674</v>
      </c>
      <c r="AE61" s="264">
        <f t="shared" si="18"/>
        <v>-122.11525399999999</v>
      </c>
      <c r="AF61" s="264">
        <f t="shared" si="18"/>
        <v>-153.44678300000001</v>
      </c>
      <c r="AH61" s="264">
        <f t="shared" si="19"/>
        <v>2500</v>
      </c>
      <c r="AI61" s="264">
        <v>1000</v>
      </c>
      <c r="AJ61" s="264">
        <v>1500</v>
      </c>
      <c r="AK61" s="264">
        <f t="shared" si="20"/>
        <v>5303.5228200000001</v>
      </c>
      <c r="AL61" s="264">
        <f t="shared" si="21"/>
        <v>264.31024822966504</v>
      </c>
      <c r="AM61" s="264">
        <f t="shared" si="22"/>
        <v>1171.84674</v>
      </c>
      <c r="AN61" s="264">
        <f t="shared" si="22"/>
        <v>122.11525399999999</v>
      </c>
      <c r="AP61" s="264">
        <f t="shared" si="23"/>
        <v>197.57572200000001</v>
      </c>
      <c r="AQ61" s="266">
        <f t="shared" si="24"/>
        <v>0.58781055900000001</v>
      </c>
      <c r="AR61" s="266">
        <f t="shared" si="17"/>
        <v>2.3496518500000001E-2</v>
      </c>
      <c r="AS61" s="266">
        <f t="shared" si="17"/>
        <v>0.37451410899999998</v>
      </c>
      <c r="AT61" s="266">
        <f t="shared" si="17"/>
        <v>1.17054247E-2</v>
      </c>
      <c r="AU61" s="266">
        <f t="shared" si="17"/>
        <v>2.4732855599999999E-3</v>
      </c>
    </row>
    <row r="62" spans="1:49" x14ac:dyDescent="0.25">
      <c r="B62" s="264">
        <v>11</v>
      </c>
      <c r="C62" s="264" t="s">
        <v>1122</v>
      </c>
      <c r="E62" s="264">
        <v>905.26315799999998</v>
      </c>
      <c r="F62" s="264">
        <v>4146.1767799999998</v>
      </c>
      <c r="G62" s="264">
        <v>1182.5673999999999</v>
      </c>
      <c r="H62" s="264">
        <v>-1190.9598599999999</v>
      </c>
      <c r="I62" s="264">
        <v>-122.175669</v>
      </c>
      <c r="J62" s="264">
        <v>-153.538839</v>
      </c>
      <c r="K62" s="264">
        <v>-10246.3868</v>
      </c>
      <c r="L62" s="264">
        <v>-2924.4870900000001</v>
      </c>
      <c r="M62" s="264">
        <v>-243.609161</v>
      </c>
      <c r="N62" s="264">
        <v>-1726.5600199999999</v>
      </c>
      <c r="O62" s="264">
        <v>457.15184799999997</v>
      </c>
      <c r="P62" s="264">
        <v>-1944.3245400000001</v>
      </c>
      <c r="Q62" s="264">
        <v>-172.103341</v>
      </c>
      <c r="R62" s="264">
        <v>-216.53622300000001</v>
      </c>
      <c r="S62" s="264">
        <v>0.58825155200000001</v>
      </c>
      <c r="T62" s="264">
        <v>2.3404553500000001E-2</v>
      </c>
      <c r="U62" s="264">
        <v>0.37500495</v>
      </c>
      <c r="V62" s="264">
        <v>1.13167684E-2</v>
      </c>
      <c r="W62" s="264">
        <v>2.0220926400000001E-3</v>
      </c>
      <c r="X62" s="264">
        <v>2500</v>
      </c>
      <c r="Y62" s="264">
        <v>197.75330400000001</v>
      </c>
      <c r="AB62" s="264">
        <f t="shared" si="18"/>
        <v>4146.1767799999998</v>
      </c>
      <c r="AC62" s="264">
        <f t="shared" si="18"/>
        <v>1182.5673999999999</v>
      </c>
      <c r="AD62" s="264">
        <f t="shared" si="18"/>
        <v>-1190.9598599999999</v>
      </c>
      <c r="AE62" s="264">
        <f t="shared" si="18"/>
        <v>-122.175669</v>
      </c>
      <c r="AF62" s="264">
        <f t="shared" si="18"/>
        <v>-153.538839</v>
      </c>
      <c r="AH62" s="264">
        <f t="shared" si="19"/>
        <v>2500</v>
      </c>
      <c r="AI62" s="264">
        <v>1000</v>
      </c>
      <c r="AJ62" s="264">
        <v>1500</v>
      </c>
      <c r="AK62" s="264">
        <f t="shared" si="20"/>
        <v>5328.7441799999997</v>
      </c>
      <c r="AL62" s="264">
        <f t="shared" si="21"/>
        <v>264.4688135885167</v>
      </c>
      <c r="AM62" s="264">
        <f t="shared" si="22"/>
        <v>1190.9598599999999</v>
      </c>
      <c r="AN62" s="264">
        <f t="shared" si="22"/>
        <v>122.175669</v>
      </c>
      <c r="AP62" s="264">
        <f t="shared" si="23"/>
        <v>197.75330400000001</v>
      </c>
      <c r="AQ62" s="266">
        <f t="shared" si="24"/>
        <v>0.58825155200000001</v>
      </c>
      <c r="AR62" s="266">
        <f t="shared" si="17"/>
        <v>2.3404553500000001E-2</v>
      </c>
      <c r="AS62" s="266">
        <f t="shared" si="17"/>
        <v>0.37500495</v>
      </c>
      <c r="AT62" s="266">
        <f t="shared" si="17"/>
        <v>1.13167684E-2</v>
      </c>
      <c r="AU62" s="266">
        <f t="shared" si="17"/>
        <v>2.0220926400000001E-3</v>
      </c>
    </row>
    <row r="63" spans="1:49" x14ac:dyDescent="0.25">
      <c r="B63" s="264">
        <v>12</v>
      </c>
      <c r="C63" s="264" t="s">
        <v>1122</v>
      </c>
      <c r="E63" s="264">
        <v>915.78947400000004</v>
      </c>
      <c r="F63" s="264">
        <v>4170.3197600000003</v>
      </c>
      <c r="G63" s="264">
        <v>1182.5673999999999</v>
      </c>
      <c r="H63" s="264">
        <v>-1210.05495</v>
      </c>
      <c r="I63" s="264">
        <v>-122.223964</v>
      </c>
      <c r="J63" s="264">
        <v>-153.61303799999999</v>
      </c>
      <c r="K63" s="264">
        <v>-10251.312099999999</v>
      </c>
      <c r="L63" s="264">
        <v>-2924.4871600000001</v>
      </c>
      <c r="M63" s="264">
        <v>-243.60916700000001</v>
      </c>
      <c r="N63" s="264">
        <v>-1726.5600199999999</v>
      </c>
      <c r="O63" s="264">
        <v>457.15184799999997</v>
      </c>
      <c r="P63" s="264">
        <v>-1944.3245400000001</v>
      </c>
      <c r="Q63" s="264">
        <v>-172.103341</v>
      </c>
      <c r="R63" s="264">
        <v>-216.53622300000001</v>
      </c>
      <c r="S63" s="264">
        <v>0.58858051</v>
      </c>
      <c r="T63" s="264">
        <v>2.3359791800000002E-2</v>
      </c>
      <c r="U63" s="264">
        <v>0.37543473900000002</v>
      </c>
      <c r="V63" s="264">
        <v>1.09701833E-2</v>
      </c>
      <c r="W63" s="264">
        <v>1.65470799E-3</v>
      </c>
      <c r="X63" s="264">
        <v>2500</v>
      </c>
      <c r="Y63" s="264">
        <v>197.89813699999999</v>
      </c>
      <c r="AB63" s="264">
        <f t="shared" si="18"/>
        <v>4170.3197600000003</v>
      </c>
      <c r="AC63" s="264">
        <f t="shared" si="18"/>
        <v>1182.5673999999999</v>
      </c>
      <c r="AD63" s="264">
        <f t="shared" si="18"/>
        <v>-1210.05495</v>
      </c>
      <c r="AE63" s="264">
        <f t="shared" si="18"/>
        <v>-122.223964</v>
      </c>
      <c r="AF63" s="264">
        <f t="shared" si="18"/>
        <v>-153.61303799999999</v>
      </c>
      <c r="AH63" s="264">
        <f t="shared" si="19"/>
        <v>2500</v>
      </c>
      <c r="AI63" s="264">
        <v>1000</v>
      </c>
      <c r="AJ63" s="264">
        <v>1500</v>
      </c>
      <c r="AK63" s="264">
        <f t="shared" si="20"/>
        <v>5352.8871600000002</v>
      </c>
      <c r="AL63" s="264">
        <f t="shared" si="21"/>
        <v>264.59662047846888</v>
      </c>
      <c r="AM63" s="264">
        <f t="shared" si="22"/>
        <v>1210.05495</v>
      </c>
      <c r="AN63" s="264">
        <f t="shared" si="22"/>
        <v>122.223964</v>
      </c>
      <c r="AP63" s="264">
        <f t="shared" si="23"/>
        <v>197.89813699999999</v>
      </c>
      <c r="AQ63" s="266">
        <f t="shared" si="24"/>
        <v>0.58858051</v>
      </c>
      <c r="AR63" s="266">
        <f t="shared" si="17"/>
        <v>2.3359791800000002E-2</v>
      </c>
      <c r="AS63" s="266">
        <f t="shared" si="17"/>
        <v>0.37543473900000002</v>
      </c>
      <c r="AT63" s="266">
        <f t="shared" si="17"/>
        <v>1.09701833E-2</v>
      </c>
      <c r="AU63" s="266">
        <f t="shared" si="17"/>
        <v>1.65470799E-3</v>
      </c>
    </row>
    <row r="64" spans="1:49" x14ac:dyDescent="0.25">
      <c r="B64" s="264">
        <v>13</v>
      </c>
      <c r="C64" s="264" t="s">
        <v>1122</v>
      </c>
      <c r="E64" s="264">
        <v>926.315789</v>
      </c>
      <c r="F64" s="264">
        <v>4193.5819899999997</v>
      </c>
      <c r="G64" s="264">
        <v>1182.5673999999999</v>
      </c>
      <c r="H64" s="264">
        <v>-1229.1398300000001</v>
      </c>
      <c r="I64" s="264">
        <v>-122.262331</v>
      </c>
      <c r="J64" s="264">
        <v>-153.67260200000001</v>
      </c>
      <c r="K64" s="264">
        <v>-10255.3915</v>
      </c>
      <c r="L64" s="264">
        <v>-2924.48722</v>
      </c>
      <c r="M64" s="264">
        <v>-243.609172</v>
      </c>
      <c r="N64" s="264">
        <v>-1726.5600199999999</v>
      </c>
      <c r="O64" s="264">
        <v>457.15184799999997</v>
      </c>
      <c r="P64" s="264">
        <v>-1944.3245400000001</v>
      </c>
      <c r="Q64" s="264">
        <v>-172.103341</v>
      </c>
      <c r="R64" s="264">
        <v>-216.53622300000001</v>
      </c>
      <c r="S64" s="264">
        <v>0.58881819099999999</v>
      </c>
      <c r="T64" s="264">
        <v>2.33532893E-2</v>
      </c>
      <c r="U64" s="264">
        <v>0.37581425699999998</v>
      </c>
      <c r="V64" s="264">
        <v>1.0658346799999999E-2</v>
      </c>
      <c r="W64" s="264">
        <v>1.35586085E-3</v>
      </c>
      <c r="X64" s="264">
        <v>2500</v>
      </c>
      <c r="Y64" s="264">
        <v>198.016108</v>
      </c>
      <c r="AB64" s="264">
        <f t="shared" si="18"/>
        <v>4193.5819899999997</v>
      </c>
      <c r="AC64" s="264">
        <f t="shared" si="18"/>
        <v>1182.5673999999999</v>
      </c>
      <c r="AD64" s="264">
        <f t="shared" si="18"/>
        <v>-1229.1398300000001</v>
      </c>
      <c r="AE64" s="264">
        <f t="shared" si="18"/>
        <v>-122.262331</v>
      </c>
      <c r="AF64" s="264">
        <f t="shared" si="18"/>
        <v>-153.67260200000001</v>
      </c>
      <c r="AH64" s="264">
        <f t="shared" si="19"/>
        <v>2500</v>
      </c>
      <c r="AI64" s="264">
        <v>1000</v>
      </c>
      <c r="AJ64" s="264">
        <v>1500</v>
      </c>
      <c r="AK64" s="264">
        <f t="shared" si="20"/>
        <v>5376.1493899999996</v>
      </c>
      <c r="AL64" s="264">
        <f t="shared" si="21"/>
        <v>264.69921875598084</v>
      </c>
      <c r="AM64" s="264">
        <f t="shared" si="22"/>
        <v>1229.1398300000001</v>
      </c>
      <c r="AN64" s="264">
        <f t="shared" si="22"/>
        <v>122.262331</v>
      </c>
      <c r="AP64" s="264">
        <f t="shared" si="23"/>
        <v>198.016108</v>
      </c>
      <c r="AQ64" s="266">
        <f t="shared" si="24"/>
        <v>0.58881819099999999</v>
      </c>
      <c r="AR64" s="266">
        <f t="shared" si="17"/>
        <v>2.33532893E-2</v>
      </c>
      <c r="AS64" s="266">
        <f t="shared" si="17"/>
        <v>0.37581425699999998</v>
      </c>
      <c r="AT64" s="266">
        <f t="shared" si="17"/>
        <v>1.0658346799999999E-2</v>
      </c>
      <c r="AU64" s="266">
        <f t="shared" si="17"/>
        <v>1.35586085E-3</v>
      </c>
    </row>
    <row r="65" spans="1:49" x14ac:dyDescent="0.25">
      <c r="B65" s="264">
        <v>14</v>
      </c>
      <c r="C65" s="264" t="s">
        <v>1122</v>
      </c>
      <c r="E65" s="264">
        <v>936.84210499999995</v>
      </c>
      <c r="F65" s="264">
        <v>4216.1287400000001</v>
      </c>
      <c r="G65" s="264">
        <v>1182.5673999999999</v>
      </c>
      <c r="H65" s="264">
        <v>-1248.2211199999999</v>
      </c>
      <c r="I65" s="264">
        <v>-122.292607</v>
      </c>
      <c r="J65" s="264">
        <v>-153.72022899999999</v>
      </c>
      <c r="K65" s="264">
        <v>-10258.779</v>
      </c>
      <c r="L65" s="264">
        <v>-2924.4872700000001</v>
      </c>
      <c r="M65" s="264">
        <v>-243.60917599999999</v>
      </c>
      <c r="N65" s="264">
        <v>-1726.5600199999999</v>
      </c>
      <c r="O65" s="264">
        <v>457.15184799999997</v>
      </c>
      <c r="P65" s="264">
        <v>-1944.3245400000001</v>
      </c>
      <c r="Q65" s="264">
        <v>-172.103341</v>
      </c>
      <c r="R65" s="264">
        <v>-216.53622300000001</v>
      </c>
      <c r="S65" s="264">
        <v>0.58898200099999998</v>
      </c>
      <c r="T65" s="264">
        <v>2.3377472400000002E-2</v>
      </c>
      <c r="U65" s="264">
        <v>0.37615235000000002</v>
      </c>
      <c r="V65" s="264">
        <v>1.0375291599999999E-2</v>
      </c>
      <c r="W65" s="264">
        <v>1.11283939E-3</v>
      </c>
      <c r="X65" s="264">
        <v>2500</v>
      </c>
      <c r="Y65" s="264">
        <v>198.112144</v>
      </c>
      <c r="AB65" s="264">
        <f t="shared" si="18"/>
        <v>4216.1287400000001</v>
      </c>
      <c r="AC65" s="264">
        <f t="shared" si="18"/>
        <v>1182.5673999999999</v>
      </c>
      <c r="AD65" s="264">
        <f t="shared" si="18"/>
        <v>-1248.2211199999999</v>
      </c>
      <c r="AE65" s="264">
        <f t="shared" si="18"/>
        <v>-122.292607</v>
      </c>
      <c r="AF65" s="264">
        <f t="shared" si="18"/>
        <v>-153.72022899999999</v>
      </c>
      <c r="AH65" s="264">
        <f t="shared" si="19"/>
        <v>2500</v>
      </c>
      <c r="AI65" s="264">
        <v>1000</v>
      </c>
      <c r="AJ65" s="264">
        <v>1500</v>
      </c>
      <c r="AK65" s="264">
        <f t="shared" si="20"/>
        <v>5398.69614</v>
      </c>
      <c r="AL65" s="264">
        <f t="shared" si="21"/>
        <v>264.78125569377994</v>
      </c>
      <c r="AM65" s="264">
        <f t="shared" si="22"/>
        <v>1248.2211199999999</v>
      </c>
      <c r="AN65" s="264">
        <f t="shared" si="22"/>
        <v>122.292607</v>
      </c>
      <c r="AP65" s="264">
        <f t="shared" si="23"/>
        <v>198.112144</v>
      </c>
      <c r="AQ65" s="266">
        <f t="shared" si="24"/>
        <v>0.58898200099999998</v>
      </c>
      <c r="AR65" s="266">
        <f t="shared" si="17"/>
        <v>2.3377472400000002E-2</v>
      </c>
      <c r="AS65" s="266">
        <f t="shared" si="17"/>
        <v>0.37615235000000002</v>
      </c>
      <c r="AT65" s="266">
        <f t="shared" si="17"/>
        <v>1.0375291599999999E-2</v>
      </c>
      <c r="AU65" s="266">
        <f t="shared" si="17"/>
        <v>1.11283939E-3</v>
      </c>
    </row>
    <row r="66" spans="1:49" x14ac:dyDescent="0.25">
      <c r="B66" s="264">
        <v>15</v>
      </c>
      <c r="C66" s="264" t="s">
        <v>1122</v>
      </c>
      <c r="E66" s="264">
        <v>947.36842100000001</v>
      </c>
      <c r="F66" s="264">
        <v>4238.0968800000001</v>
      </c>
      <c r="G66" s="264">
        <v>1182.5673999999999</v>
      </c>
      <c r="H66" s="264">
        <v>-1267.30439</v>
      </c>
      <c r="I66" s="264">
        <v>-122.316318</v>
      </c>
      <c r="J66" s="264">
        <v>-153.758162</v>
      </c>
      <c r="K66" s="264">
        <v>-10261.602199999999</v>
      </c>
      <c r="L66" s="264">
        <v>-2924.48731</v>
      </c>
      <c r="M66" s="264">
        <v>-243.60917900000001</v>
      </c>
      <c r="N66" s="264">
        <v>-1726.5600300000001</v>
      </c>
      <c r="O66" s="264">
        <v>457.15184799999997</v>
      </c>
      <c r="P66" s="264">
        <v>-1944.3245400000001</v>
      </c>
      <c r="Q66" s="264">
        <v>-172.103341</v>
      </c>
      <c r="R66" s="264">
        <v>-216.53622300000001</v>
      </c>
      <c r="S66" s="264">
        <v>0.58908638899999999</v>
      </c>
      <c r="T66" s="264">
        <v>2.3426005E-2</v>
      </c>
      <c r="U66" s="264">
        <v>0.37645622899999998</v>
      </c>
      <c r="V66" s="264">
        <v>1.0116183000000001E-2</v>
      </c>
      <c r="W66" s="264">
        <v>9.1515673699999996E-4</v>
      </c>
      <c r="X66" s="264">
        <v>2500</v>
      </c>
      <c r="Y66" s="264">
        <v>198.19033300000001</v>
      </c>
      <c r="AB66" s="264">
        <f t="shared" si="18"/>
        <v>4238.0968800000001</v>
      </c>
      <c r="AC66" s="264">
        <f t="shared" si="18"/>
        <v>1182.5673999999999</v>
      </c>
      <c r="AD66" s="264">
        <f t="shared" si="18"/>
        <v>-1267.30439</v>
      </c>
      <c r="AE66" s="264">
        <f t="shared" si="18"/>
        <v>-122.316318</v>
      </c>
      <c r="AF66" s="264">
        <f t="shared" si="18"/>
        <v>-153.758162</v>
      </c>
      <c r="AH66" s="264">
        <f t="shared" si="19"/>
        <v>2500</v>
      </c>
      <c r="AI66" s="264">
        <v>1000</v>
      </c>
      <c r="AJ66" s="264">
        <v>1500</v>
      </c>
      <c r="AK66" s="264">
        <f t="shared" si="20"/>
        <v>5420.66428</v>
      </c>
      <c r="AL66" s="264">
        <f t="shared" si="21"/>
        <v>264.84659483253586</v>
      </c>
      <c r="AM66" s="264">
        <f t="shared" si="22"/>
        <v>1267.30439</v>
      </c>
      <c r="AN66" s="264">
        <f t="shared" si="22"/>
        <v>122.316318</v>
      </c>
      <c r="AP66" s="264">
        <f t="shared" si="23"/>
        <v>198.19033300000001</v>
      </c>
      <c r="AQ66" s="266">
        <f t="shared" si="24"/>
        <v>0.58908638899999999</v>
      </c>
      <c r="AR66" s="266">
        <f t="shared" si="17"/>
        <v>2.3426005E-2</v>
      </c>
      <c r="AS66" s="266">
        <f t="shared" si="17"/>
        <v>0.37645622899999998</v>
      </c>
      <c r="AT66" s="266">
        <f t="shared" si="17"/>
        <v>1.0116183000000001E-2</v>
      </c>
      <c r="AU66" s="266">
        <f t="shared" si="17"/>
        <v>9.1515673699999996E-4</v>
      </c>
    </row>
    <row r="67" spans="1:49" x14ac:dyDescent="0.25">
      <c r="B67" s="264">
        <v>16</v>
      </c>
      <c r="C67" s="264" t="s">
        <v>1122</v>
      </c>
      <c r="E67" s="264">
        <v>957.89473699999996</v>
      </c>
      <c r="F67" s="264">
        <v>4259.5988100000004</v>
      </c>
      <c r="G67" s="264">
        <v>1182.5673999999999</v>
      </c>
      <c r="H67" s="264">
        <v>-1286.3942099999999</v>
      </c>
      <c r="I67" s="264">
        <v>-122.33472</v>
      </c>
      <c r="J67" s="264">
        <v>-153.788241</v>
      </c>
      <c r="K67" s="264">
        <v>-10263.965700000001</v>
      </c>
      <c r="L67" s="264">
        <v>-2924.4873400000001</v>
      </c>
      <c r="M67" s="264">
        <v>-243.609182</v>
      </c>
      <c r="N67" s="264">
        <v>-1726.5600300000001</v>
      </c>
      <c r="O67" s="264">
        <v>457.15184799999997</v>
      </c>
      <c r="P67" s="264">
        <v>-1944.3245400000001</v>
      </c>
      <c r="Q67" s="264">
        <v>-172.103341</v>
      </c>
      <c r="R67" s="264">
        <v>-216.53622300000001</v>
      </c>
      <c r="S67" s="264">
        <v>0.58914324600000001</v>
      </c>
      <c r="T67" s="264">
        <v>2.34936398E-2</v>
      </c>
      <c r="U67" s="264">
        <v>0.37673173999999998</v>
      </c>
      <c r="V67" s="264">
        <v>9.8771195500000006E-3</v>
      </c>
      <c r="W67" s="264">
        <v>7.5422444200000003E-4</v>
      </c>
      <c r="X67" s="264">
        <v>2500</v>
      </c>
      <c r="Y67" s="264">
        <v>198.254031</v>
      </c>
      <c r="AB67" s="264">
        <f t="shared" si="18"/>
        <v>4259.5988100000004</v>
      </c>
      <c r="AC67" s="264">
        <f t="shared" si="18"/>
        <v>1182.5673999999999</v>
      </c>
      <c r="AD67" s="264">
        <f t="shared" si="18"/>
        <v>-1286.3942099999999</v>
      </c>
      <c r="AE67" s="264">
        <f t="shared" si="18"/>
        <v>-122.33472</v>
      </c>
      <c r="AF67" s="264">
        <f t="shared" si="18"/>
        <v>-153.788241</v>
      </c>
      <c r="AH67" s="264">
        <f t="shared" si="19"/>
        <v>2500</v>
      </c>
      <c r="AI67" s="264">
        <v>1000</v>
      </c>
      <c r="AJ67" s="264">
        <v>1500</v>
      </c>
      <c r="AK67" s="264">
        <f t="shared" si="20"/>
        <v>5442.1662100000003</v>
      </c>
      <c r="AL67" s="264">
        <f t="shared" si="21"/>
        <v>264.89840555023926</v>
      </c>
      <c r="AM67" s="264">
        <f t="shared" si="22"/>
        <v>1286.3942099999999</v>
      </c>
      <c r="AN67" s="264">
        <f t="shared" si="22"/>
        <v>122.33472</v>
      </c>
      <c r="AP67" s="264">
        <f t="shared" si="23"/>
        <v>198.254031</v>
      </c>
      <c r="AQ67" s="266">
        <f t="shared" si="24"/>
        <v>0.58914324600000001</v>
      </c>
      <c r="AR67" s="266">
        <f t="shared" si="17"/>
        <v>2.34936398E-2</v>
      </c>
      <c r="AS67" s="266">
        <f t="shared" si="17"/>
        <v>0.37673173999999998</v>
      </c>
      <c r="AT67" s="266">
        <f t="shared" si="17"/>
        <v>9.8771195500000006E-3</v>
      </c>
      <c r="AU67" s="266">
        <f t="shared" si="17"/>
        <v>7.5422444200000003E-4</v>
      </c>
    </row>
    <row r="68" spans="1:49" x14ac:dyDescent="0.25">
      <c r="B68" s="264">
        <v>17</v>
      </c>
      <c r="C68" s="264" t="s">
        <v>1122</v>
      </c>
      <c r="E68" s="264">
        <v>968.42105300000003</v>
      </c>
      <c r="F68" s="264">
        <v>4280.7262799999999</v>
      </c>
      <c r="G68" s="264">
        <v>1182.5673999999999</v>
      </c>
      <c r="H68" s="264">
        <v>-1305.4943699999999</v>
      </c>
      <c r="I68" s="264">
        <v>-122.34884099999999</v>
      </c>
      <c r="J68" s="264">
        <v>-153.81197499999999</v>
      </c>
      <c r="K68" s="264">
        <v>-10265.9552</v>
      </c>
      <c r="L68" s="264">
        <v>-2924.4873600000001</v>
      </c>
      <c r="M68" s="264">
        <v>-243.609184</v>
      </c>
      <c r="N68" s="264">
        <v>-1726.5600300000001</v>
      </c>
      <c r="O68" s="264">
        <v>457.15184799999997</v>
      </c>
      <c r="P68" s="264">
        <v>-1944.3245400000001</v>
      </c>
      <c r="Q68" s="264">
        <v>-172.103341</v>
      </c>
      <c r="R68" s="264">
        <v>-216.53622300000001</v>
      </c>
      <c r="S68" s="264">
        <v>0.58916229200000003</v>
      </c>
      <c r="T68" s="264">
        <v>2.3576067499999999E-2</v>
      </c>
      <c r="U68" s="264">
        <v>0.376983607</v>
      </c>
      <c r="V68" s="264">
        <v>9.6549606E-3</v>
      </c>
      <c r="W68" s="264">
        <v>6.23048722E-4</v>
      </c>
      <c r="X68" s="264">
        <v>2500</v>
      </c>
      <c r="Y68" s="264">
        <v>198.305982</v>
      </c>
      <c r="AB68" s="264">
        <f t="shared" si="18"/>
        <v>4280.7262799999999</v>
      </c>
      <c r="AC68" s="264">
        <f t="shared" si="18"/>
        <v>1182.5673999999999</v>
      </c>
      <c r="AD68" s="264">
        <f t="shared" si="18"/>
        <v>-1305.4943699999999</v>
      </c>
      <c r="AE68" s="264">
        <f t="shared" si="18"/>
        <v>-122.34884099999999</v>
      </c>
      <c r="AF68" s="264">
        <f t="shared" si="18"/>
        <v>-153.81197499999999</v>
      </c>
      <c r="AH68" s="264">
        <f t="shared" si="19"/>
        <v>2500</v>
      </c>
      <c r="AI68" s="264">
        <v>1000</v>
      </c>
      <c r="AJ68" s="264">
        <v>1500</v>
      </c>
      <c r="AK68" s="264">
        <f t="shared" si="20"/>
        <v>5463.2936799999998</v>
      </c>
      <c r="AL68" s="264">
        <f t="shared" si="21"/>
        <v>264.93928708133973</v>
      </c>
      <c r="AM68" s="264">
        <f t="shared" si="22"/>
        <v>1305.4943699999999</v>
      </c>
      <c r="AN68" s="264">
        <f t="shared" si="22"/>
        <v>122.34884099999999</v>
      </c>
      <c r="AP68" s="264">
        <f t="shared" si="23"/>
        <v>198.305982</v>
      </c>
      <c r="AQ68" s="266">
        <f t="shared" si="24"/>
        <v>0.58916229200000003</v>
      </c>
      <c r="AR68" s="266">
        <f t="shared" si="17"/>
        <v>2.3576067499999999E-2</v>
      </c>
      <c r="AS68" s="266">
        <f t="shared" si="17"/>
        <v>0.376983607</v>
      </c>
      <c r="AT68" s="266">
        <f t="shared" si="17"/>
        <v>9.6549606E-3</v>
      </c>
      <c r="AU68" s="266">
        <f t="shared" si="17"/>
        <v>6.23048722E-4</v>
      </c>
    </row>
    <row r="69" spans="1:49" x14ac:dyDescent="0.25">
      <c r="B69" s="264">
        <v>18</v>
      </c>
      <c r="C69" s="264" t="s">
        <v>1122</v>
      </c>
      <c r="E69" s="264">
        <v>978.94736799999998</v>
      </c>
      <c r="F69" s="264">
        <v>4301.5538299999998</v>
      </c>
      <c r="G69" s="264">
        <v>1182.5673999999999</v>
      </c>
      <c r="H69" s="264">
        <v>-1324.6079299999999</v>
      </c>
      <c r="I69" s="264">
        <v>-122.359515</v>
      </c>
      <c r="J69" s="264">
        <v>-153.83058600000001</v>
      </c>
      <c r="K69" s="264">
        <v>-10267.639800000001</v>
      </c>
      <c r="L69" s="264">
        <v>-2924.48738</v>
      </c>
      <c r="M69" s="264">
        <v>-243.609185</v>
      </c>
      <c r="N69" s="264">
        <v>-1726.5600300000001</v>
      </c>
      <c r="O69" s="264">
        <v>457.15184799999997</v>
      </c>
      <c r="P69" s="264">
        <v>-1944.3245400000001</v>
      </c>
      <c r="Q69" s="264">
        <v>-172.103341</v>
      </c>
      <c r="R69" s="264">
        <v>-216.53622300000001</v>
      </c>
      <c r="S69" s="264">
        <v>0.58915142600000003</v>
      </c>
      <c r="T69" s="264">
        <v>2.3669774099999999E-2</v>
      </c>
      <c r="U69" s="264">
        <v>0.37721564200000002</v>
      </c>
      <c r="V69" s="264">
        <v>9.4471793099999996E-3</v>
      </c>
      <c r="W69" s="264">
        <v>5.1595851699999995E-4</v>
      </c>
      <c r="X69" s="264">
        <v>2500</v>
      </c>
      <c r="Y69" s="264">
        <v>198.34841399999999</v>
      </c>
      <c r="AB69" s="264">
        <f t="shared" si="18"/>
        <v>4301.5538299999998</v>
      </c>
      <c r="AC69" s="264">
        <f t="shared" si="18"/>
        <v>1182.5673999999999</v>
      </c>
      <c r="AD69" s="264">
        <f t="shared" si="18"/>
        <v>-1324.6079299999999</v>
      </c>
      <c r="AE69" s="264">
        <f t="shared" si="18"/>
        <v>-122.359515</v>
      </c>
      <c r="AF69" s="264">
        <f t="shared" si="18"/>
        <v>-153.83058600000001</v>
      </c>
      <c r="AH69" s="264">
        <f t="shared" si="19"/>
        <v>2500</v>
      </c>
      <c r="AI69" s="264">
        <v>1000</v>
      </c>
      <c r="AJ69" s="264">
        <v>1500</v>
      </c>
      <c r="AK69" s="264">
        <f t="shared" si="20"/>
        <v>5484.1212299999997</v>
      </c>
      <c r="AL69" s="264">
        <f t="shared" si="21"/>
        <v>264.97134430622009</v>
      </c>
      <c r="AM69" s="264">
        <f t="shared" si="22"/>
        <v>1324.6079299999999</v>
      </c>
      <c r="AN69" s="264">
        <f t="shared" si="22"/>
        <v>122.359515</v>
      </c>
      <c r="AP69" s="264">
        <f t="shared" si="23"/>
        <v>198.34841399999999</v>
      </c>
      <c r="AQ69" s="266">
        <f t="shared" si="24"/>
        <v>0.58915142600000003</v>
      </c>
      <c r="AR69" s="266">
        <f t="shared" si="17"/>
        <v>2.3669774099999999E-2</v>
      </c>
      <c r="AS69" s="266">
        <f t="shared" si="17"/>
        <v>0.37721564200000002</v>
      </c>
      <c r="AT69" s="266">
        <f t="shared" si="17"/>
        <v>9.4471793099999996E-3</v>
      </c>
      <c r="AU69" s="266">
        <f t="shared" si="17"/>
        <v>5.1595851699999995E-4</v>
      </c>
    </row>
    <row r="70" spans="1:49" x14ac:dyDescent="0.25">
      <c r="B70" s="264">
        <v>19</v>
      </c>
      <c r="C70" s="264" t="s">
        <v>1122</v>
      </c>
      <c r="E70" s="264">
        <v>989.47368400000005</v>
      </c>
      <c r="F70" s="264">
        <v>4322.1418199999998</v>
      </c>
      <c r="G70" s="264">
        <v>1182.5673999999999</v>
      </c>
      <c r="H70" s="264">
        <v>-1343.73739</v>
      </c>
      <c r="I70" s="264">
        <v>-122.36742</v>
      </c>
      <c r="J70" s="264">
        <v>-153.845068</v>
      </c>
      <c r="K70" s="264">
        <v>-10269.075999999999</v>
      </c>
      <c r="L70" s="264">
        <v>-2924.4874</v>
      </c>
      <c r="M70" s="264">
        <v>-243.60918699999999</v>
      </c>
      <c r="N70" s="264">
        <v>-1726.5600300000001</v>
      </c>
      <c r="O70" s="264">
        <v>457.15184799999997</v>
      </c>
      <c r="P70" s="264">
        <v>-1944.3245400000001</v>
      </c>
      <c r="Q70" s="264">
        <v>-172.103341</v>
      </c>
      <c r="R70" s="264">
        <v>-216.53622300000001</v>
      </c>
      <c r="S70" s="264">
        <v>0.58911704600000003</v>
      </c>
      <c r="T70" s="264">
        <v>2.3771910199999999E-2</v>
      </c>
      <c r="U70" s="264">
        <v>0.37743091699999998</v>
      </c>
      <c r="V70" s="264">
        <v>9.2517411899999992E-3</v>
      </c>
      <c r="W70" s="264">
        <v>4.2836905100000002E-4</v>
      </c>
      <c r="X70" s="264">
        <v>2500</v>
      </c>
      <c r="Y70" s="264">
        <v>198.38313299999999</v>
      </c>
      <c r="AB70" s="264">
        <f t="shared" si="18"/>
        <v>4322.1418199999998</v>
      </c>
      <c r="AC70" s="264">
        <f t="shared" si="18"/>
        <v>1182.5673999999999</v>
      </c>
      <c r="AD70" s="264">
        <f t="shared" si="18"/>
        <v>-1343.73739</v>
      </c>
      <c r="AE70" s="264">
        <f t="shared" si="18"/>
        <v>-122.36742</v>
      </c>
      <c r="AF70" s="264">
        <f t="shared" si="18"/>
        <v>-153.845068</v>
      </c>
      <c r="AH70" s="264">
        <f t="shared" si="19"/>
        <v>2500</v>
      </c>
      <c r="AI70" s="264">
        <v>1000</v>
      </c>
      <c r="AJ70" s="264">
        <v>1500</v>
      </c>
      <c r="AK70" s="264">
        <f t="shared" si="20"/>
        <v>5504.7092199999997</v>
      </c>
      <c r="AL70" s="264">
        <f t="shared" si="21"/>
        <v>264.99628937799042</v>
      </c>
      <c r="AM70" s="264">
        <f t="shared" si="22"/>
        <v>1343.73739</v>
      </c>
      <c r="AN70" s="264">
        <f t="shared" si="22"/>
        <v>122.36742</v>
      </c>
      <c r="AP70" s="264">
        <f t="shared" si="23"/>
        <v>198.38313299999999</v>
      </c>
      <c r="AQ70" s="266">
        <f t="shared" si="24"/>
        <v>0.58911704600000003</v>
      </c>
      <c r="AR70" s="266">
        <f t="shared" si="17"/>
        <v>2.3771910199999999E-2</v>
      </c>
      <c r="AS70" s="266">
        <f t="shared" si="17"/>
        <v>0.37743091699999998</v>
      </c>
      <c r="AT70" s="266">
        <f t="shared" si="17"/>
        <v>9.2517411899999992E-3</v>
      </c>
      <c r="AU70" s="266">
        <f t="shared" si="17"/>
        <v>4.2836905100000002E-4</v>
      </c>
    </row>
    <row r="71" spans="1:49" x14ac:dyDescent="0.25">
      <c r="B71" s="264">
        <v>20</v>
      </c>
      <c r="C71" s="264" t="s">
        <v>1122</v>
      </c>
      <c r="E71" s="264">
        <v>1000</v>
      </c>
      <c r="F71" s="264">
        <v>4342.5390299999999</v>
      </c>
      <c r="G71" s="264">
        <v>1182.5673999999999</v>
      </c>
      <c r="H71" s="264">
        <v>-1362.8847499999999</v>
      </c>
      <c r="I71" s="264">
        <v>-122.37310100000001</v>
      </c>
      <c r="J71" s="264">
        <v>-153.856223</v>
      </c>
      <c r="K71" s="264">
        <v>-10270.308999999999</v>
      </c>
      <c r="L71" s="264">
        <v>-2924.4874100000002</v>
      </c>
      <c r="M71" s="264">
        <v>-243.60918799999999</v>
      </c>
      <c r="N71" s="264">
        <v>-1726.5600300000001</v>
      </c>
      <c r="O71" s="264">
        <v>457.15184799999997</v>
      </c>
      <c r="P71" s="264">
        <v>-1944.3245400000001</v>
      </c>
      <c r="Q71" s="264">
        <v>-172.103341</v>
      </c>
      <c r="R71" s="264">
        <v>-216.53622300000001</v>
      </c>
      <c r="S71" s="264">
        <v>0.58906431299999995</v>
      </c>
      <c r="T71" s="264">
        <v>2.38801768E-2</v>
      </c>
      <c r="U71" s="264">
        <v>0.37763191200000001</v>
      </c>
      <c r="V71" s="264">
        <v>9.0670043499999995E-3</v>
      </c>
      <c r="W71" s="264">
        <v>3.56580802E-4</v>
      </c>
      <c r="X71" s="264">
        <v>2500</v>
      </c>
      <c r="Y71" s="264">
        <v>198.411598</v>
      </c>
      <c r="AB71" s="264">
        <f t="shared" si="18"/>
        <v>4342.5390299999999</v>
      </c>
      <c r="AC71" s="264">
        <f t="shared" si="18"/>
        <v>1182.5673999999999</v>
      </c>
      <c r="AD71" s="264">
        <f t="shared" si="18"/>
        <v>-1362.8847499999999</v>
      </c>
      <c r="AE71" s="264">
        <f t="shared" si="18"/>
        <v>-122.37310100000001</v>
      </c>
      <c r="AF71" s="264">
        <f t="shared" si="18"/>
        <v>-153.856223</v>
      </c>
      <c r="AH71" s="264">
        <f t="shared" si="19"/>
        <v>2500</v>
      </c>
      <c r="AI71" s="264">
        <v>1000</v>
      </c>
      <c r="AJ71" s="264">
        <v>1500</v>
      </c>
      <c r="AK71" s="264">
        <f t="shared" si="20"/>
        <v>5525.1064299999998</v>
      </c>
      <c r="AL71" s="264">
        <f t="shared" si="21"/>
        <v>265.01550373205737</v>
      </c>
      <c r="AM71" s="264">
        <f t="shared" si="22"/>
        <v>1362.8847499999999</v>
      </c>
      <c r="AN71" s="264">
        <f t="shared" si="22"/>
        <v>122.37310100000001</v>
      </c>
      <c r="AP71" s="264">
        <f t="shared" si="23"/>
        <v>198.411598</v>
      </c>
      <c r="AQ71" s="266">
        <f t="shared" si="24"/>
        <v>0.58906431299999995</v>
      </c>
      <c r="AR71" s="266">
        <f t="shared" si="17"/>
        <v>2.38801768E-2</v>
      </c>
      <c r="AS71" s="266">
        <f t="shared" si="17"/>
        <v>0.37763191200000001</v>
      </c>
      <c r="AT71" s="266">
        <f t="shared" si="17"/>
        <v>9.0670043499999995E-3</v>
      </c>
      <c r="AU71" s="266">
        <f t="shared" si="17"/>
        <v>3.56580802E-4</v>
      </c>
    </row>
    <row r="73" spans="1:49" s="262" customFormat="1" x14ac:dyDescent="0.25">
      <c r="A73" s="262" t="s">
        <v>20</v>
      </c>
    </row>
    <row r="74" spans="1:49" ht="16.149999999999999" customHeight="1" x14ac:dyDescent="0.25">
      <c r="AB74" s="263" t="s">
        <v>1079</v>
      </c>
      <c r="AC74" s="263" t="s">
        <v>1079</v>
      </c>
      <c r="AD74" s="263" t="s">
        <v>1080</v>
      </c>
      <c r="AE74" s="263" t="s">
        <v>1080</v>
      </c>
      <c r="AF74" s="263" t="s">
        <v>1079</v>
      </c>
      <c r="AG74" s="263"/>
      <c r="AH74" s="263" t="s">
        <v>1081</v>
      </c>
      <c r="AI74" s="263"/>
      <c r="AJ74" s="263"/>
      <c r="AK74" s="263"/>
      <c r="AL74" s="263"/>
      <c r="AM74" s="263"/>
      <c r="AN74" s="263"/>
      <c r="AO74" s="263"/>
      <c r="AP74" s="263" t="s">
        <v>2053</v>
      </c>
      <c r="AQ74" s="263"/>
      <c r="AR74" s="263"/>
      <c r="AS74" s="263"/>
      <c r="AT74" s="263"/>
      <c r="AU74" s="263"/>
      <c r="AV74" s="263"/>
      <c r="AW74" s="264" t="s">
        <v>3</v>
      </c>
    </row>
    <row r="75" spans="1:49" x14ac:dyDescent="0.25">
      <c r="B75" s="264" t="s">
        <v>1082</v>
      </c>
      <c r="C75" s="264" t="s">
        <v>1083</v>
      </c>
      <c r="D75" s="264" t="s">
        <v>1084</v>
      </c>
      <c r="E75" s="264" t="s">
        <v>1085</v>
      </c>
      <c r="F75" s="264" t="s">
        <v>1086</v>
      </c>
      <c r="G75" s="264" t="s">
        <v>1087</v>
      </c>
      <c r="H75" s="264" t="s">
        <v>1088</v>
      </c>
      <c r="I75" s="264" t="s">
        <v>1089</v>
      </c>
      <c r="J75" s="264" t="s">
        <v>1090</v>
      </c>
      <c r="K75" s="264" t="s">
        <v>1091</v>
      </c>
      <c r="L75" s="264" t="s">
        <v>1092</v>
      </c>
      <c r="M75" s="264" t="s">
        <v>1093</v>
      </c>
      <c r="N75" s="264" t="s">
        <v>1094</v>
      </c>
      <c r="O75" s="264" t="s">
        <v>1095</v>
      </c>
      <c r="P75" s="264" t="s">
        <v>1096</v>
      </c>
      <c r="Q75" s="264" t="s">
        <v>1097</v>
      </c>
      <c r="R75" s="264" t="s">
        <v>1098</v>
      </c>
      <c r="S75" s="264" t="s">
        <v>1099</v>
      </c>
      <c r="T75" s="264" t="s">
        <v>1100</v>
      </c>
      <c r="U75" s="264" t="s">
        <v>1101</v>
      </c>
      <c r="V75" s="264" t="s">
        <v>1102</v>
      </c>
      <c r="W75" s="264" t="s">
        <v>1103</v>
      </c>
      <c r="X75" s="264" t="s">
        <v>1104</v>
      </c>
      <c r="Y75" s="264" t="s">
        <v>1105</v>
      </c>
      <c r="AB75" s="264" t="s">
        <v>1106</v>
      </c>
      <c r="AC75" s="264" t="s">
        <v>1107</v>
      </c>
      <c r="AD75" s="264" t="s">
        <v>1108</v>
      </c>
      <c r="AE75" s="264" t="s">
        <v>1109</v>
      </c>
      <c r="AF75" s="264" t="s">
        <v>1110</v>
      </c>
      <c r="AH75" s="264" t="s">
        <v>1111</v>
      </c>
      <c r="AI75" s="264" t="s">
        <v>2051</v>
      </c>
      <c r="AJ75" s="264" t="s">
        <v>1112</v>
      </c>
      <c r="AK75" s="264" t="s">
        <v>2052</v>
      </c>
      <c r="AL75" s="264" t="s">
        <v>1113</v>
      </c>
      <c r="AM75" s="264" t="s">
        <v>1114</v>
      </c>
      <c r="AN75" s="264" t="s">
        <v>1115</v>
      </c>
      <c r="AO75" s="264" t="s">
        <v>3</v>
      </c>
      <c r="AP75" s="264" t="s">
        <v>1116</v>
      </c>
      <c r="AQ75" s="264" t="s">
        <v>1117</v>
      </c>
      <c r="AR75" s="264" t="s">
        <v>1118</v>
      </c>
      <c r="AS75" s="264" t="s">
        <v>1119</v>
      </c>
      <c r="AT75" s="264" t="s">
        <v>1120</v>
      </c>
      <c r="AU75" s="264" t="s">
        <v>1121</v>
      </c>
      <c r="AW75" s="264" t="s">
        <v>3</v>
      </c>
    </row>
    <row r="76" spans="1:49" x14ac:dyDescent="0.25">
      <c r="B76" s="264">
        <v>1</v>
      </c>
      <c r="C76" s="264" t="s">
        <v>1123</v>
      </c>
      <c r="E76" s="264">
        <v>800</v>
      </c>
      <c r="F76" s="264">
        <v>1626.66354</v>
      </c>
      <c r="G76" s="264">
        <v>1172.8344999999999</v>
      </c>
      <c r="H76" s="264">
        <v>-881.27253299999995</v>
      </c>
      <c r="I76" s="264">
        <v>-104.276904</v>
      </c>
      <c r="J76" s="264">
        <v>-475.18632500000001</v>
      </c>
      <c r="K76" s="264">
        <v>-4686.2399299999997</v>
      </c>
      <c r="L76" s="264">
        <v>-2241.54603</v>
      </c>
      <c r="M76" s="264">
        <v>-188.052831</v>
      </c>
      <c r="N76" s="264">
        <v>-1104.10367</v>
      </c>
      <c r="O76" s="264">
        <v>457.15184799999997</v>
      </c>
      <c r="P76" s="264">
        <v>-1944.3245400000001</v>
      </c>
      <c r="Q76" s="264">
        <v>-172.103341</v>
      </c>
      <c r="R76" s="264">
        <v>-216.53622300000001</v>
      </c>
      <c r="S76" s="264">
        <v>0.44612179899999999</v>
      </c>
      <c r="T76" s="264">
        <v>0.220662627</v>
      </c>
      <c r="U76" s="264">
        <v>0.218197321</v>
      </c>
      <c r="V76" s="264">
        <v>0.114491073</v>
      </c>
      <c r="W76" s="264">
        <v>5.2717755900000003E-4</v>
      </c>
      <c r="X76" s="264">
        <v>2500.01154</v>
      </c>
      <c r="Y76" s="264">
        <v>155.923205</v>
      </c>
      <c r="AB76" s="264">
        <f>F76</f>
        <v>1626.66354</v>
      </c>
      <c r="AC76" s="264">
        <f>G76</f>
        <v>1172.8344999999999</v>
      </c>
      <c r="AD76" s="264">
        <f>H76</f>
        <v>-881.27253299999995</v>
      </c>
      <c r="AE76" s="264">
        <f>I76</f>
        <v>-104.276904</v>
      </c>
      <c r="AF76" s="264">
        <f>J76</f>
        <v>-475.18632500000001</v>
      </c>
      <c r="AH76" s="264">
        <f>X76</f>
        <v>2500.01154</v>
      </c>
      <c r="AI76" s="264">
        <v>1000</v>
      </c>
      <c r="AJ76" s="264">
        <v>1500</v>
      </c>
      <c r="AK76" s="264">
        <f>AB76+AC76</f>
        <v>2799.4980399999999</v>
      </c>
      <c r="AL76" s="264">
        <f>ABS(AF76)/(4.18*15)*3600*0.03</f>
        <v>818.50276076555031</v>
      </c>
      <c r="AM76" s="264">
        <f>ABS(AD76)</f>
        <v>881.27253299999995</v>
      </c>
      <c r="AN76" s="264">
        <f>ABS(AE76)</f>
        <v>104.276904</v>
      </c>
      <c r="AP76" s="264">
        <f>Y76</f>
        <v>155.923205</v>
      </c>
      <c r="AQ76" s="266">
        <f>S76</f>
        <v>0.44612179899999999</v>
      </c>
      <c r="AR76" s="266">
        <f t="shared" ref="AR76:AU95" si="25">T76</f>
        <v>0.220662627</v>
      </c>
      <c r="AS76" s="266">
        <f t="shared" si="25"/>
        <v>0.218197321</v>
      </c>
      <c r="AT76" s="266">
        <f t="shared" si="25"/>
        <v>0.114491073</v>
      </c>
      <c r="AU76" s="266">
        <f t="shared" si="25"/>
        <v>5.2717755900000003E-4</v>
      </c>
    </row>
    <row r="77" spans="1:49" x14ac:dyDescent="0.25">
      <c r="B77" s="264">
        <v>2</v>
      </c>
      <c r="C77" s="264" t="s">
        <v>1123</v>
      </c>
      <c r="E77" s="264">
        <v>810.52631599999995</v>
      </c>
      <c r="F77" s="264">
        <v>1647.28971</v>
      </c>
      <c r="G77" s="264">
        <v>1172.73029</v>
      </c>
      <c r="H77" s="264">
        <v>-897.54948000000002</v>
      </c>
      <c r="I77" s="264">
        <v>-104.24434100000001</v>
      </c>
      <c r="J77" s="264">
        <v>-478.86583899999999</v>
      </c>
      <c r="K77" s="264">
        <v>-4693.63195</v>
      </c>
      <c r="L77" s="264">
        <v>-2239.0239700000002</v>
      </c>
      <c r="M77" s="264">
        <v>-187.84283099999999</v>
      </c>
      <c r="N77" s="264">
        <v>-1100.1460500000001</v>
      </c>
      <c r="O77" s="264">
        <v>457.15184799999997</v>
      </c>
      <c r="P77" s="264">
        <v>-1944.3245400000001</v>
      </c>
      <c r="Q77" s="264">
        <v>-172.103341</v>
      </c>
      <c r="R77" s="264">
        <v>-216.53622300000001</v>
      </c>
      <c r="S77" s="264">
        <v>0.44449682200000001</v>
      </c>
      <c r="T77" s="264">
        <v>0.222366961</v>
      </c>
      <c r="U77" s="264">
        <v>0.220140383</v>
      </c>
      <c r="V77" s="264">
        <v>0.112587851</v>
      </c>
      <c r="W77" s="264">
        <v>4.07982172E-4</v>
      </c>
      <c r="X77" s="264">
        <v>2500.0115000000001</v>
      </c>
      <c r="Y77" s="264">
        <v>155.96034499999999</v>
      </c>
      <c r="AB77" s="264">
        <f t="shared" ref="AB77:AF95" si="26">F77</f>
        <v>1647.28971</v>
      </c>
      <c r="AC77" s="264">
        <f t="shared" si="26"/>
        <v>1172.73029</v>
      </c>
      <c r="AD77" s="264">
        <f t="shared" si="26"/>
        <v>-897.54948000000002</v>
      </c>
      <c r="AE77" s="264">
        <f t="shared" si="26"/>
        <v>-104.24434100000001</v>
      </c>
      <c r="AF77" s="264">
        <f t="shared" si="26"/>
        <v>-478.86583899999999</v>
      </c>
      <c r="AH77" s="264">
        <f t="shared" ref="AH77:AH95" si="27">X77</f>
        <v>2500.0115000000001</v>
      </c>
      <c r="AI77" s="264">
        <v>1000</v>
      </c>
      <c r="AJ77" s="264">
        <v>1500</v>
      </c>
      <c r="AK77" s="264">
        <f t="shared" ref="AK77:AK95" si="28">AB77+AC77</f>
        <v>2820.02</v>
      </c>
      <c r="AL77" s="264">
        <f t="shared" ref="AL77:AL95" si="29">ABS(AF77)/(4.18*15)*3600*0.03</f>
        <v>824.84067961722496</v>
      </c>
      <c r="AM77" s="264">
        <f t="shared" ref="AM77:AN95" si="30">ABS(AD77)</f>
        <v>897.54948000000002</v>
      </c>
      <c r="AN77" s="264">
        <f t="shared" si="30"/>
        <v>104.24434100000001</v>
      </c>
      <c r="AP77" s="264">
        <f t="shared" ref="AP77:AP95" si="31">Y77</f>
        <v>155.96034499999999</v>
      </c>
      <c r="AQ77" s="266">
        <f t="shared" ref="AQ77:AQ95" si="32">S77</f>
        <v>0.44449682200000001</v>
      </c>
      <c r="AR77" s="267">
        <f t="shared" si="25"/>
        <v>0.222366961</v>
      </c>
      <c r="AS77" s="266">
        <f t="shared" si="25"/>
        <v>0.220140383</v>
      </c>
      <c r="AT77" s="266">
        <f t="shared" si="25"/>
        <v>0.112587851</v>
      </c>
      <c r="AU77" s="266">
        <f t="shared" si="25"/>
        <v>4.07982172E-4</v>
      </c>
    </row>
    <row r="78" spans="1:49" x14ac:dyDescent="0.25">
      <c r="B78" s="264">
        <v>3</v>
      </c>
      <c r="C78" s="264" t="s">
        <v>1123</v>
      </c>
      <c r="E78" s="264">
        <v>821.05263200000002</v>
      </c>
      <c r="F78" s="264">
        <v>1667.5710799999999</v>
      </c>
      <c r="G78" s="264">
        <v>1172.6276</v>
      </c>
      <c r="H78" s="264">
        <v>-913.84234100000003</v>
      </c>
      <c r="I78" s="264">
        <v>-104.20963500000001</v>
      </c>
      <c r="J78" s="264">
        <v>-482.48721399999999</v>
      </c>
      <c r="K78" s="264">
        <v>-4700.62536</v>
      </c>
      <c r="L78" s="264">
        <v>-2236.53892</v>
      </c>
      <c r="M78" s="264">
        <v>-187.63591299999999</v>
      </c>
      <c r="N78" s="264">
        <v>-1096.2465099999999</v>
      </c>
      <c r="O78" s="264">
        <v>457.15184799999997</v>
      </c>
      <c r="P78" s="264">
        <v>-1944.3245400000001</v>
      </c>
      <c r="Q78" s="264">
        <v>-172.103341</v>
      </c>
      <c r="R78" s="264">
        <v>-216.53622300000001</v>
      </c>
      <c r="S78" s="264">
        <v>0.44286996099999998</v>
      </c>
      <c r="T78" s="264">
        <v>0.224054325</v>
      </c>
      <c r="U78" s="264">
        <v>0.222009756</v>
      </c>
      <c r="V78" s="264">
        <v>0.110748851</v>
      </c>
      <c r="W78" s="264">
        <v>3.17106202E-4</v>
      </c>
      <c r="X78" s="264">
        <v>2500.01145</v>
      </c>
      <c r="Y78" s="264">
        <v>155.98867200000001</v>
      </c>
      <c r="AB78" s="264">
        <f t="shared" si="26"/>
        <v>1667.5710799999999</v>
      </c>
      <c r="AC78" s="264">
        <f t="shared" si="26"/>
        <v>1172.6276</v>
      </c>
      <c r="AD78" s="264">
        <f t="shared" si="26"/>
        <v>-913.84234100000003</v>
      </c>
      <c r="AE78" s="264">
        <f t="shared" si="26"/>
        <v>-104.20963500000001</v>
      </c>
      <c r="AF78" s="264">
        <f t="shared" si="26"/>
        <v>-482.48721399999999</v>
      </c>
      <c r="AH78" s="264">
        <f t="shared" si="27"/>
        <v>2500.01145</v>
      </c>
      <c r="AI78" s="264">
        <v>1000</v>
      </c>
      <c r="AJ78" s="264">
        <v>1500</v>
      </c>
      <c r="AK78" s="264">
        <f t="shared" si="28"/>
        <v>2840.19868</v>
      </c>
      <c r="AL78" s="264">
        <f t="shared" si="29"/>
        <v>831.0784547368421</v>
      </c>
      <c r="AM78" s="264">
        <f t="shared" si="30"/>
        <v>913.84234100000003</v>
      </c>
      <c r="AN78" s="264">
        <f t="shared" si="30"/>
        <v>104.20963500000001</v>
      </c>
      <c r="AP78" s="264">
        <f t="shared" si="31"/>
        <v>155.98867200000001</v>
      </c>
      <c r="AQ78" s="266">
        <f t="shared" si="32"/>
        <v>0.44286996099999998</v>
      </c>
      <c r="AR78" s="266">
        <f t="shared" si="25"/>
        <v>0.224054325</v>
      </c>
      <c r="AS78" s="266">
        <f t="shared" si="25"/>
        <v>0.222009756</v>
      </c>
      <c r="AT78" s="266">
        <f t="shared" si="25"/>
        <v>0.110748851</v>
      </c>
      <c r="AU78" s="266">
        <f t="shared" si="25"/>
        <v>3.17106202E-4</v>
      </c>
    </row>
    <row r="79" spans="1:49" x14ac:dyDescent="0.25">
      <c r="B79" s="264">
        <v>4</v>
      </c>
      <c r="C79" s="264" t="s">
        <v>1123</v>
      </c>
      <c r="E79" s="264">
        <v>831.57894699999997</v>
      </c>
      <c r="F79" s="264">
        <v>1687.5817999999999</v>
      </c>
      <c r="G79" s="264">
        <v>1172.5266999999999</v>
      </c>
      <c r="H79" s="264">
        <v>-930.15445099999999</v>
      </c>
      <c r="I79" s="264">
        <v>-104.17358299999999</v>
      </c>
      <c r="J79" s="264">
        <v>-486.04268300000001</v>
      </c>
      <c r="K79" s="264">
        <v>-4707.2817599999998</v>
      </c>
      <c r="L79" s="264">
        <v>-2234.09699</v>
      </c>
      <c r="M79" s="264">
        <v>-187.43258700000001</v>
      </c>
      <c r="N79" s="264">
        <v>-1092.41462</v>
      </c>
      <c r="O79" s="264">
        <v>457.15184799999997</v>
      </c>
      <c r="P79" s="264">
        <v>-1944.3245400000001</v>
      </c>
      <c r="Q79" s="264">
        <v>-172.103341</v>
      </c>
      <c r="R79" s="264">
        <v>-216.53622300000001</v>
      </c>
      <c r="S79" s="264">
        <v>0.44125214800000001</v>
      </c>
      <c r="T79" s="264">
        <v>0.22571845200000001</v>
      </c>
      <c r="U79" s="264">
        <v>0.22381320299999999</v>
      </c>
      <c r="V79" s="264">
        <v>0.108968652</v>
      </c>
      <c r="W79" s="264">
        <v>2.4754488900000001E-4</v>
      </c>
      <c r="X79" s="264">
        <v>2500.0114100000001</v>
      </c>
      <c r="Y79" s="264">
        <v>156.01036199999999</v>
      </c>
      <c r="AB79" s="264">
        <f t="shared" si="26"/>
        <v>1687.5817999999999</v>
      </c>
      <c r="AC79" s="264">
        <f t="shared" si="26"/>
        <v>1172.5266999999999</v>
      </c>
      <c r="AD79" s="264">
        <f t="shared" si="26"/>
        <v>-930.15445099999999</v>
      </c>
      <c r="AE79" s="264">
        <f t="shared" si="26"/>
        <v>-104.17358299999999</v>
      </c>
      <c r="AF79" s="264">
        <f t="shared" si="26"/>
        <v>-486.04268300000001</v>
      </c>
      <c r="AH79" s="264">
        <f t="shared" si="27"/>
        <v>2500.0114100000001</v>
      </c>
      <c r="AI79" s="264">
        <v>1000</v>
      </c>
      <c r="AJ79" s="264">
        <v>1500</v>
      </c>
      <c r="AK79" s="264">
        <f t="shared" si="28"/>
        <v>2860.1084999999998</v>
      </c>
      <c r="AL79" s="264">
        <f t="shared" si="29"/>
        <v>837.20270755980857</v>
      </c>
      <c r="AM79" s="264">
        <f t="shared" si="30"/>
        <v>930.15445099999999</v>
      </c>
      <c r="AN79" s="264">
        <f t="shared" si="30"/>
        <v>104.17358299999999</v>
      </c>
      <c r="AP79" s="264">
        <f t="shared" si="31"/>
        <v>156.01036199999999</v>
      </c>
      <c r="AQ79" s="266">
        <f t="shared" si="32"/>
        <v>0.44125214800000001</v>
      </c>
      <c r="AR79" s="266">
        <f t="shared" si="25"/>
        <v>0.22571845200000001</v>
      </c>
      <c r="AS79" s="266">
        <f t="shared" si="25"/>
        <v>0.22381320299999999</v>
      </c>
      <c r="AT79" s="266">
        <f t="shared" si="25"/>
        <v>0.108968652</v>
      </c>
      <c r="AU79" s="266">
        <f t="shared" si="25"/>
        <v>2.4754488900000001E-4</v>
      </c>
    </row>
    <row r="80" spans="1:49" x14ac:dyDescent="0.25">
      <c r="B80" s="264">
        <v>5</v>
      </c>
      <c r="C80" s="264" t="s">
        <v>1123</v>
      </c>
      <c r="E80" s="264">
        <v>842.10526300000004</v>
      </c>
      <c r="F80" s="264">
        <v>1707.3777600000001</v>
      </c>
      <c r="G80" s="264">
        <v>1172.4277400000001</v>
      </c>
      <c r="H80" s="264">
        <v>-946.48836400000005</v>
      </c>
      <c r="I80" s="264">
        <v>-104.13677</v>
      </c>
      <c r="J80" s="264">
        <v>-489.52710300000001</v>
      </c>
      <c r="K80" s="264">
        <v>-4713.64815</v>
      </c>
      <c r="L80" s="264">
        <v>-2231.70228</v>
      </c>
      <c r="M80" s="264">
        <v>-187.23319100000001</v>
      </c>
      <c r="N80" s="264">
        <v>-1088.6568199999999</v>
      </c>
      <c r="O80" s="264">
        <v>457.15184799999997</v>
      </c>
      <c r="P80" s="264">
        <v>-1944.3245400000001</v>
      </c>
      <c r="Q80" s="264">
        <v>-172.103341</v>
      </c>
      <c r="R80" s="264">
        <v>-216.53622300000001</v>
      </c>
      <c r="S80" s="264">
        <v>0.439651234</v>
      </c>
      <c r="T80" s="264">
        <v>0.22735496199999999</v>
      </c>
      <c r="U80" s="264">
        <v>0.225556795</v>
      </c>
      <c r="V80" s="264">
        <v>0.107242928</v>
      </c>
      <c r="W80" s="264">
        <v>1.9407999099999999E-4</v>
      </c>
      <c r="X80" s="264">
        <v>2500.01136</v>
      </c>
      <c r="Y80" s="264">
        <v>156.02703600000001</v>
      </c>
      <c r="AB80" s="264">
        <f t="shared" si="26"/>
        <v>1707.3777600000001</v>
      </c>
      <c r="AC80" s="264">
        <f t="shared" si="26"/>
        <v>1172.4277400000001</v>
      </c>
      <c r="AD80" s="264">
        <f t="shared" si="26"/>
        <v>-946.48836400000005</v>
      </c>
      <c r="AE80" s="264">
        <f t="shared" si="26"/>
        <v>-104.13677</v>
      </c>
      <c r="AF80" s="264">
        <f t="shared" si="26"/>
        <v>-489.52710300000001</v>
      </c>
      <c r="AH80" s="264">
        <f t="shared" si="27"/>
        <v>2500.01136</v>
      </c>
      <c r="AI80" s="264">
        <v>1000</v>
      </c>
      <c r="AJ80" s="264">
        <v>1500</v>
      </c>
      <c r="AK80" s="264">
        <f t="shared" si="28"/>
        <v>2879.8055000000004</v>
      </c>
      <c r="AL80" s="264">
        <f t="shared" si="29"/>
        <v>843.20457933014359</v>
      </c>
      <c r="AM80" s="264">
        <f t="shared" si="30"/>
        <v>946.48836400000005</v>
      </c>
      <c r="AN80" s="264">
        <f t="shared" si="30"/>
        <v>104.13677</v>
      </c>
      <c r="AP80" s="264">
        <f t="shared" si="31"/>
        <v>156.02703600000001</v>
      </c>
      <c r="AQ80" s="266">
        <f t="shared" si="32"/>
        <v>0.439651234</v>
      </c>
      <c r="AR80" s="266">
        <f t="shared" si="25"/>
        <v>0.22735496199999999</v>
      </c>
      <c r="AS80" s="266">
        <f t="shared" si="25"/>
        <v>0.225556795</v>
      </c>
      <c r="AT80" s="266">
        <f t="shared" si="25"/>
        <v>0.107242928</v>
      </c>
      <c r="AU80" s="266">
        <f t="shared" si="25"/>
        <v>1.9407999099999999E-4</v>
      </c>
    </row>
    <row r="81" spans="2:47" x14ac:dyDescent="0.25">
      <c r="B81" s="264">
        <v>6</v>
      </c>
      <c r="C81" s="264" t="s">
        <v>1123</v>
      </c>
      <c r="E81" s="264">
        <v>852.63157899999999</v>
      </c>
      <c r="F81" s="264">
        <v>1727.00134</v>
      </c>
      <c r="G81" s="264">
        <v>1172.3308500000001</v>
      </c>
      <c r="H81" s="264">
        <v>-962.84605799999997</v>
      </c>
      <c r="I81" s="264">
        <v>-104.09962899999999</v>
      </c>
      <c r="J81" s="264">
        <v>-492.93726700000002</v>
      </c>
      <c r="K81" s="264">
        <v>-4719.7607799999996</v>
      </c>
      <c r="L81" s="264">
        <v>-2229.3574100000001</v>
      </c>
      <c r="M81" s="264">
        <v>-187.037948</v>
      </c>
      <c r="N81" s="264">
        <v>-1084.97723</v>
      </c>
      <c r="O81" s="264">
        <v>457.15184799999997</v>
      </c>
      <c r="P81" s="264">
        <v>-1944.3245400000001</v>
      </c>
      <c r="Q81" s="264">
        <v>-172.103341</v>
      </c>
      <c r="R81" s="264">
        <v>-216.53622300000001</v>
      </c>
      <c r="S81" s="264">
        <v>0.43807279999999998</v>
      </c>
      <c r="T81" s="264">
        <v>0.22896087200000001</v>
      </c>
      <c r="U81" s="264">
        <v>0.22724535000000001</v>
      </c>
      <c r="V81" s="264">
        <v>0.10556816099999999</v>
      </c>
      <c r="W81" s="264">
        <v>1.5281527400000001E-4</v>
      </c>
      <c r="X81" s="264">
        <v>2500.0113200000001</v>
      </c>
      <c r="Y81" s="264">
        <v>156.03990899999999</v>
      </c>
      <c r="AB81" s="264">
        <f t="shared" si="26"/>
        <v>1727.00134</v>
      </c>
      <c r="AC81" s="264">
        <f t="shared" si="26"/>
        <v>1172.3308500000001</v>
      </c>
      <c r="AD81" s="264">
        <f t="shared" si="26"/>
        <v>-962.84605799999997</v>
      </c>
      <c r="AE81" s="264">
        <f t="shared" si="26"/>
        <v>-104.09962899999999</v>
      </c>
      <c r="AF81" s="264">
        <f t="shared" si="26"/>
        <v>-492.93726700000002</v>
      </c>
      <c r="AH81" s="264">
        <f t="shared" si="27"/>
        <v>2500.0113200000001</v>
      </c>
      <c r="AI81" s="264">
        <v>1000</v>
      </c>
      <c r="AJ81" s="264">
        <v>1500</v>
      </c>
      <c r="AK81" s="264">
        <f t="shared" si="28"/>
        <v>2899.3321900000001</v>
      </c>
      <c r="AL81" s="264">
        <f t="shared" si="29"/>
        <v>849.07854602870816</v>
      </c>
      <c r="AM81" s="264">
        <f t="shared" si="30"/>
        <v>962.84605799999997</v>
      </c>
      <c r="AN81" s="264">
        <f t="shared" si="30"/>
        <v>104.09962899999999</v>
      </c>
      <c r="AP81" s="264">
        <f t="shared" si="31"/>
        <v>156.03990899999999</v>
      </c>
      <c r="AQ81" s="266">
        <f t="shared" si="32"/>
        <v>0.43807279999999998</v>
      </c>
      <c r="AR81" s="266">
        <f t="shared" si="25"/>
        <v>0.22896087200000001</v>
      </c>
      <c r="AS81" s="266">
        <f t="shared" si="25"/>
        <v>0.22724535000000001</v>
      </c>
      <c r="AT81" s="266">
        <f t="shared" si="25"/>
        <v>0.10556816099999999</v>
      </c>
      <c r="AU81" s="266">
        <f t="shared" si="25"/>
        <v>1.5281527400000001E-4</v>
      </c>
    </row>
    <row r="82" spans="2:47" x14ac:dyDescent="0.25">
      <c r="B82" s="264">
        <v>7</v>
      </c>
      <c r="C82" s="264" t="s">
        <v>1123</v>
      </c>
      <c r="E82" s="264">
        <v>863.15789500000005</v>
      </c>
      <c r="F82" s="264">
        <v>1746.4848199999999</v>
      </c>
      <c r="G82" s="264">
        <v>1172.2360799999999</v>
      </c>
      <c r="H82" s="264">
        <v>-979.22905000000003</v>
      </c>
      <c r="I82" s="264">
        <v>-104.06247399999999</v>
      </c>
      <c r="J82" s="264">
        <v>-496.271368</v>
      </c>
      <c r="K82" s="264">
        <v>-4725.6477400000003</v>
      </c>
      <c r="L82" s="264">
        <v>-2227.0639500000002</v>
      </c>
      <c r="M82" s="264">
        <v>-186.84698399999999</v>
      </c>
      <c r="N82" s="264">
        <v>-1081.3783000000001</v>
      </c>
      <c r="O82" s="264">
        <v>457.15184799999997</v>
      </c>
      <c r="P82" s="264">
        <v>-1944.3245400000001</v>
      </c>
      <c r="Q82" s="264">
        <v>-172.103341</v>
      </c>
      <c r="R82" s="264">
        <v>-216.53622300000001</v>
      </c>
      <c r="S82" s="264">
        <v>0.43652074499999999</v>
      </c>
      <c r="T82" s="264">
        <v>0.23053422400000001</v>
      </c>
      <c r="U82" s="264">
        <v>0.22888275699999999</v>
      </c>
      <c r="V82" s="264">
        <v>0.103941441</v>
      </c>
      <c r="W82" s="264">
        <v>1.2083325E-4</v>
      </c>
      <c r="X82" s="264">
        <v>2500.01127</v>
      </c>
      <c r="Y82" s="264">
        <v>156.04988599999999</v>
      </c>
      <c r="AB82" s="264">
        <f t="shared" si="26"/>
        <v>1746.4848199999999</v>
      </c>
      <c r="AC82" s="264">
        <f t="shared" si="26"/>
        <v>1172.2360799999999</v>
      </c>
      <c r="AD82" s="264">
        <f t="shared" si="26"/>
        <v>-979.22905000000003</v>
      </c>
      <c r="AE82" s="264">
        <f t="shared" si="26"/>
        <v>-104.06247399999999</v>
      </c>
      <c r="AF82" s="264">
        <f t="shared" si="26"/>
        <v>-496.271368</v>
      </c>
      <c r="AH82" s="264">
        <f t="shared" si="27"/>
        <v>2500.01127</v>
      </c>
      <c r="AI82" s="264">
        <v>1000</v>
      </c>
      <c r="AJ82" s="264">
        <v>1500</v>
      </c>
      <c r="AK82" s="264">
        <f t="shared" si="28"/>
        <v>2918.7208999999998</v>
      </c>
      <c r="AL82" s="264">
        <f t="shared" si="29"/>
        <v>854.82149511961723</v>
      </c>
      <c r="AM82" s="264">
        <f t="shared" si="30"/>
        <v>979.22905000000003</v>
      </c>
      <c r="AN82" s="264">
        <f t="shared" si="30"/>
        <v>104.06247399999999</v>
      </c>
      <c r="AP82" s="264">
        <f t="shared" si="31"/>
        <v>156.04988599999999</v>
      </c>
      <c r="AQ82" s="266">
        <f t="shared" si="32"/>
        <v>0.43652074499999999</v>
      </c>
      <c r="AR82" s="266">
        <f t="shared" si="25"/>
        <v>0.23053422400000001</v>
      </c>
      <c r="AS82" s="266">
        <f t="shared" si="25"/>
        <v>0.22888275699999999</v>
      </c>
      <c r="AT82" s="266">
        <f t="shared" si="25"/>
        <v>0.103941441</v>
      </c>
      <c r="AU82" s="266">
        <f t="shared" si="25"/>
        <v>1.2083325E-4</v>
      </c>
    </row>
    <row r="83" spans="2:47" x14ac:dyDescent="0.25">
      <c r="B83" s="264">
        <v>8</v>
      </c>
      <c r="C83" s="264" t="s">
        <v>1123</v>
      </c>
      <c r="E83" s="264">
        <v>873.684211</v>
      </c>
      <c r="F83" s="264">
        <v>1765.8529900000001</v>
      </c>
      <c r="G83" s="264">
        <v>1172.14347</v>
      </c>
      <c r="H83" s="264">
        <v>-995.63852599999996</v>
      </c>
      <c r="I83" s="264">
        <v>-104.025536</v>
      </c>
      <c r="J83" s="264">
        <v>-499.52864099999999</v>
      </c>
      <c r="K83" s="264">
        <v>-4731.3311599999997</v>
      </c>
      <c r="L83" s="264">
        <v>-2224.8226500000001</v>
      </c>
      <c r="M83" s="264">
        <v>-186.66036399999999</v>
      </c>
      <c r="N83" s="264">
        <v>-1077.86122</v>
      </c>
      <c r="O83" s="264">
        <v>457.15184799999997</v>
      </c>
      <c r="P83" s="264">
        <v>-1944.3245400000001</v>
      </c>
      <c r="Q83" s="264">
        <v>-172.103341</v>
      </c>
      <c r="R83" s="264">
        <v>-216.53622300000001</v>
      </c>
      <c r="S83" s="264">
        <v>0.43499772599999997</v>
      </c>
      <c r="T83" s="264">
        <v>0.23207381799999999</v>
      </c>
      <c r="U83" s="264">
        <v>0.23047220400000001</v>
      </c>
      <c r="V83" s="264">
        <v>0.102360309</v>
      </c>
      <c r="W83" s="265">
        <v>9.5942146499999995E-5</v>
      </c>
      <c r="X83" s="264">
        <v>2500.0112199999999</v>
      </c>
      <c r="Y83" s="264">
        <v>156.05765199999999</v>
      </c>
      <c r="AB83" s="264">
        <f t="shared" si="26"/>
        <v>1765.8529900000001</v>
      </c>
      <c r="AC83" s="264">
        <f t="shared" si="26"/>
        <v>1172.14347</v>
      </c>
      <c r="AD83" s="264">
        <f t="shared" si="26"/>
        <v>-995.63852599999996</v>
      </c>
      <c r="AE83" s="264">
        <f t="shared" si="26"/>
        <v>-104.025536</v>
      </c>
      <c r="AF83" s="264">
        <f t="shared" si="26"/>
        <v>-499.52864099999999</v>
      </c>
      <c r="AH83" s="264">
        <f t="shared" si="27"/>
        <v>2500.0112199999999</v>
      </c>
      <c r="AI83" s="264">
        <v>1000</v>
      </c>
      <c r="AJ83" s="264">
        <v>1500</v>
      </c>
      <c r="AK83" s="264">
        <f t="shared" si="28"/>
        <v>2937.9964600000003</v>
      </c>
      <c r="AL83" s="264">
        <f t="shared" si="29"/>
        <v>860.43210889952161</v>
      </c>
      <c r="AM83" s="264">
        <f t="shared" si="30"/>
        <v>995.63852599999996</v>
      </c>
      <c r="AN83" s="264">
        <f t="shared" si="30"/>
        <v>104.025536</v>
      </c>
      <c r="AP83" s="264">
        <f t="shared" si="31"/>
        <v>156.05765199999999</v>
      </c>
      <c r="AQ83" s="266">
        <f t="shared" si="32"/>
        <v>0.43499772599999997</v>
      </c>
      <c r="AR83" s="266">
        <f t="shared" si="25"/>
        <v>0.23207381799999999</v>
      </c>
      <c r="AS83" s="266">
        <f t="shared" si="25"/>
        <v>0.23047220400000001</v>
      </c>
      <c r="AT83" s="266">
        <f t="shared" si="25"/>
        <v>0.102360309</v>
      </c>
      <c r="AU83" s="266">
        <f t="shared" si="25"/>
        <v>9.5942146499999995E-5</v>
      </c>
    </row>
    <row r="84" spans="2:47" x14ac:dyDescent="0.25">
      <c r="B84" s="264">
        <v>9</v>
      </c>
      <c r="C84" s="264" t="s">
        <v>1123</v>
      </c>
      <c r="E84" s="264">
        <v>884.21052599999996</v>
      </c>
      <c r="F84" s="264">
        <v>1785.1250600000001</v>
      </c>
      <c r="G84" s="264">
        <v>1172.0530200000001</v>
      </c>
      <c r="H84" s="264">
        <v>-1012.07541</v>
      </c>
      <c r="I84" s="264">
        <v>-103.98898</v>
      </c>
      <c r="J84" s="264">
        <v>-502.709068</v>
      </c>
      <c r="K84" s="264">
        <v>-4736.8286600000001</v>
      </c>
      <c r="L84" s="264">
        <v>-2222.6336999999999</v>
      </c>
      <c r="M84" s="264">
        <v>-186.478104</v>
      </c>
      <c r="N84" s="264">
        <v>-1074.4262900000001</v>
      </c>
      <c r="O84" s="264">
        <v>457.15184799999997</v>
      </c>
      <c r="P84" s="264">
        <v>-1944.3245400000001</v>
      </c>
      <c r="Q84" s="264">
        <v>-172.103341</v>
      </c>
      <c r="R84" s="264">
        <v>-216.53622300000001</v>
      </c>
      <c r="S84" s="264">
        <v>0.43350548500000002</v>
      </c>
      <c r="T84" s="264">
        <v>0.233579014</v>
      </c>
      <c r="U84" s="264">
        <v>0.232016361</v>
      </c>
      <c r="V84" s="264">
        <v>0.10082265</v>
      </c>
      <c r="W84" s="265">
        <v>7.6489539200000003E-5</v>
      </c>
      <c r="X84" s="264">
        <v>2500.0111700000002</v>
      </c>
      <c r="Y84" s="264">
        <v>156.06372200000001</v>
      </c>
      <c r="AB84" s="264">
        <f t="shared" si="26"/>
        <v>1785.1250600000001</v>
      </c>
      <c r="AC84" s="264">
        <f t="shared" si="26"/>
        <v>1172.0530200000001</v>
      </c>
      <c r="AD84" s="264">
        <f t="shared" si="26"/>
        <v>-1012.07541</v>
      </c>
      <c r="AE84" s="264">
        <f t="shared" si="26"/>
        <v>-103.98898</v>
      </c>
      <c r="AF84" s="264">
        <f t="shared" si="26"/>
        <v>-502.709068</v>
      </c>
      <c r="AH84" s="264">
        <f t="shared" si="27"/>
        <v>2500.0111700000002</v>
      </c>
      <c r="AI84" s="264">
        <v>1000</v>
      </c>
      <c r="AJ84" s="264">
        <v>1500</v>
      </c>
      <c r="AK84" s="264">
        <f t="shared" si="28"/>
        <v>2957.1780800000001</v>
      </c>
      <c r="AL84" s="264">
        <f t="shared" si="29"/>
        <v>865.91035636363631</v>
      </c>
      <c r="AM84" s="264">
        <f t="shared" si="30"/>
        <v>1012.07541</v>
      </c>
      <c r="AN84" s="264">
        <f t="shared" si="30"/>
        <v>103.98898</v>
      </c>
      <c r="AP84" s="264">
        <f t="shared" si="31"/>
        <v>156.06372200000001</v>
      </c>
      <c r="AQ84" s="266">
        <f t="shared" si="32"/>
        <v>0.43350548500000002</v>
      </c>
      <c r="AR84" s="266">
        <f t="shared" si="25"/>
        <v>0.233579014</v>
      </c>
      <c r="AS84" s="266">
        <f t="shared" si="25"/>
        <v>0.232016361</v>
      </c>
      <c r="AT84" s="266">
        <f t="shared" si="25"/>
        <v>0.10082265</v>
      </c>
      <c r="AU84" s="266">
        <f t="shared" si="25"/>
        <v>7.6489539200000003E-5</v>
      </c>
    </row>
    <row r="85" spans="2:47" x14ac:dyDescent="0.25">
      <c r="B85" s="264">
        <v>10</v>
      </c>
      <c r="C85" s="264" t="s">
        <v>1123</v>
      </c>
      <c r="E85" s="264">
        <v>894.73684200000002</v>
      </c>
      <c r="F85" s="264">
        <v>1804.31601</v>
      </c>
      <c r="G85" s="264">
        <v>1171.9647199999999</v>
      </c>
      <c r="H85" s="264">
        <v>-1028.54043</v>
      </c>
      <c r="I85" s="264">
        <v>-103.952927</v>
      </c>
      <c r="J85" s="264">
        <v>-505.81317999999999</v>
      </c>
      <c r="K85" s="264">
        <v>-4742.1544700000004</v>
      </c>
      <c r="L85" s="264">
        <v>-2220.4968800000001</v>
      </c>
      <c r="M85" s="264">
        <v>-186.300184</v>
      </c>
      <c r="N85" s="264">
        <v>-1071.0731499999999</v>
      </c>
      <c r="O85" s="264">
        <v>457.15184799999997</v>
      </c>
      <c r="P85" s="264">
        <v>-1944.3245400000001</v>
      </c>
      <c r="Q85" s="264">
        <v>-172.103341</v>
      </c>
      <c r="R85" s="264">
        <v>-216.53622300000001</v>
      </c>
      <c r="S85" s="264">
        <v>0.43204508600000002</v>
      </c>
      <c r="T85" s="264">
        <v>0.23504958000000001</v>
      </c>
      <c r="U85" s="264">
        <v>0.23351749799999999</v>
      </c>
      <c r="V85" s="264">
        <v>9.9326610100000004E-2</v>
      </c>
      <c r="W85" s="265">
        <v>6.1224973400000003E-5</v>
      </c>
      <c r="X85" s="264">
        <v>2500.0111200000001</v>
      </c>
      <c r="Y85" s="264">
        <v>156.06848500000001</v>
      </c>
      <c r="AB85" s="264">
        <f t="shared" si="26"/>
        <v>1804.31601</v>
      </c>
      <c r="AC85" s="264">
        <f t="shared" si="26"/>
        <v>1171.9647199999999</v>
      </c>
      <c r="AD85" s="264">
        <f t="shared" si="26"/>
        <v>-1028.54043</v>
      </c>
      <c r="AE85" s="264">
        <f t="shared" si="26"/>
        <v>-103.952927</v>
      </c>
      <c r="AF85" s="264">
        <f t="shared" si="26"/>
        <v>-505.81317999999999</v>
      </c>
      <c r="AH85" s="264">
        <f t="shared" si="27"/>
        <v>2500.0111200000001</v>
      </c>
      <c r="AI85" s="264">
        <v>1000</v>
      </c>
      <c r="AJ85" s="264">
        <v>1500</v>
      </c>
      <c r="AK85" s="264">
        <f t="shared" si="28"/>
        <v>2976.2807299999999</v>
      </c>
      <c r="AL85" s="264">
        <f t="shared" si="29"/>
        <v>871.25715215311016</v>
      </c>
      <c r="AM85" s="264">
        <f t="shared" si="30"/>
        <v>1028.54043</v>
      </c>
      <c r="AN85" s="264">
        <f t="shared" si="30"/>
        <v>103.952927</v>
      </c>
      <c r="AP85" s="264">
        <f t="shared" si="31"/>
        <v>156.06848500000001</v>
      </c>
      <c r="AQ85" s="266">
        <f t="shared" si="32"/>
        <v>0.43204508600000002</v>
      </c>
      <c r="AR85" s="266">
        <f t="shared" si="25"/>
        <v>0.23504958000000001</v>
      </c>
      <c r="AS85" s="266">
        <f t="shared" si="25"/>
        <v>0.23351749799999999</v>
      </c>
      <c r="AT85" s="266">
        <f t="shared" si="25"/>
        <v>9.9326610100000004E-2</v>
      </c>
      <c r="AU85" s="266">
        <f t="shared" si="25"/>
        <v>6.1224973400000003E-5</v>
      </c>
    </row>
    <row r="86" spans="2:47" x14ac:dyDescent="0.25">
      <c r="B86" s="264">
        <v>11</v>
      </c>
      <c r="C86" s="264" t="s">
        <v>1123</v>
      </c>
      <c r="E86" s="264">
        <v>905.26315799999998</v>
      </c>
      <c r="F86" s="264">
        <v>1823.43768</v>
      </c>
      <c r="G86" s="264">
        <v>1171.8785499999999</v>
      </c>
      <c r="H86" s="264">
        <v>-1045.03414</v>
      </c>
      <c r="I86" s="264">
        <v>-103.917462</v>
      </c>
      <c r="J86" s="264">
        <v>-508.84189800000001</v>
      </c>
      <c r="K86" s="264">
        <v>-4747.3202799999999</v>
      </c>
      <c r="L86" s="264">
        <v>-2218.41165</v>
      </c>
      <c r="M86" s="264">
        <v>-186.12656000000001</v>
      </c>
      <c r="N86" s="264">
        <v>-1067.80096</v>
      </c>
      <c r="O86" s="264">
        <v>457.15184799999997</v>
      </c>
      <c r="P86" s="264">
        <v>-1944.3245400000001</v>
      </c>
      <c r="Q86" s="264">
        <v>-172.103341</v>
      </c>
      <c r="R86" s="264">
        <v>-216.53622300000001</v>
      </c>
      <c r="S86" s="264">
        <v>0.43061709500000001</v>
      </c>
      <c r="T86" s="264">
        <v>0.236485583</v>
      </c>
      <c r="U86" s="264">
        <v>0.23497758899999999</v>
      </c>
      <c r="V86" s="264">
        <v>9.78705349E-2</v>
      </c>
      <c r="W86" s="265">
        <v>4.9198542999999998E-5</v>
      </c>
      <c r="X86" s="264">
        <v>2500.01107</v>
      </c>
      <c r="Y86" s="264">
        <v>156.072237</v>
      </c>
      <c r="AB86" s="264">
        <f t="shared" si="26"/>
        <v>1823.43768</v>
      </c>
      <c r="AC86" s="264">
        <f t="shared" si="26"/>
        <v>1171.8785499999999</v>
      </c>
      <c r="AD86" s="264">
        <f t="shared" si="26"/>
        <v>-1045.03414</v>
      </c>
      <c r="AE86" s="264">
        <f t="shared" si="26"/>
        <v>-103.917462</v>
      </c>
      <c r="AF86" s="264">
        <f t="shared" si="26"/>
        <v>-508.84189800000001</v>
      </c>
      <c r="AH86" s="264">
        <f t="shared" si="27"/>
        <v>2500.01107</v>
      </c>
      <c r="AI86" s="264">
        <v>1000</v>
      </c>
      <c r="AJ86" s="264">
        <v>1500</v>
      </c>
      <c r="AK86" s="264">
        <f t="shared" si="28"/>
        <v>2995.3162299999999</v>
      </c>
      <c r="AL86" s="264">
        <f t="shared" si="29"/>
        <v>876.47408267942581</v>
      </c>
      <c r="AM86" s="264">
        <f t="shared" si="30"/>
        <v>1045.03414</v>
      </c>
      <c r="AN86" s="264">
        <f t="shared" si="30"/>
        <v>103.917462</v>
      </c>
      <c r="AP86" s="264">
        <f t="shared" si="31"/>
        <v>156.072237</v>
      </c>
      <c r="AQ86" s="266">
        <f t="shared" si="32"/>
        <v>0.43061709500000001</v>
      </c>
      <c r="AR86" s="266">
        <f t="shared" si="25"/>
        <v>0.236485583</v>
      </c>
      <c r="AS86" s="266">
        <f t="shared" si="25"/>
        <v>0.23497758899999999</v>
      </c>
      <c r="AT86" s="266">
        <f t="shared" si="25"/>
        <v>9.78705349E-2</v>
      </c>
      <c r="AU86" s="266">
        <f t="shared" si="25"/>
        <v>4.9198542999999998E-5</v>
      </c>
    </row>
    <row r="87" spans="2:47" x14ac:dyDescent="0.25">
      <c r="B87" s="264">
        <v>12</v>
      </c>
      <c r="C87" s="264" t="s">
        <v>1123</v>
      </c>
      <c r="E87" s="264">
        <v>915.78947400000004</v>
      </c>
      <c r="F87" s="264">
        <v>1842.49955</v>
      </c>
      <c r="G87" s="264">
        <v>1171.79449</v>
      </c>
      <c r="H87" s="264">
        <v>-1061.55699</v>
      </c>
      <c r="I87" s="264">
        <v>-103.882642</v>
      </c>
      <c r="J87" s="264">
        <v>-511.796426</v>
      </c>
      <c r="K87" s="264">
        <v>-4752.33583</v>
      </c>
      <c r="L87" s="264">
        <v>-2216.3772600000002</v>
      </c>
      <c r="M87" s="264">
        <v>-185.95716999999999</v>
      </c>
      <c r="N87" s="264">
        <v>-1064.6085499999999</v>
      </c>
      <c r="O87" s="264">
        <v>457.15184799999997</v>
      </c>
      <c r="P87" s="264">
        <v>-1944.3245400000001</v>
      </c>
      <c r="Q87" s="264">
        <v>-172.103341</v>
      </c>
      <c r="R87" s="264">
        <v>-216.53622300000001</v>
      </c>
      <c r="S87" s="264">
        <v>0.42922170399999998</v>
      </c>
      <c r="T87" s="264">
        <v>0.23788731099999999</v>
      </c>
      <c r="U87" s="264">
        <v>0.23639837</v>
      </c>
      <c r="V87" s="264">
        <v>9.6452928499999993E-2</v>
      </c>
      <c r="W87" s="265">
        <v>3.9685835300000003E-5</v>
      </c>
      <c r="X87" s="264">
        <v>2500.0110199999999</v>
      </c>
      <c r="Y87" s="264">
        <v>156.07520500000001</v>
      </c>
      <c r="AB87" s="264">
        <f t="shared" si="26"/>
        <v>1842.49955</v>
      </c>
      <c r="AC87" s="264">
        <f t="shared" si="26"/>
        <v>1171.79449</v>
      </c>
      <c r="AD87" s="264">
        <f t="shared" si="26"/>
        <v>-1061.55699</v>
      </c>
      <c r="AE87" s="264">
        <f t="shared" si="26"/>
        <v>-103.882642</v>
      </c>
      <c r="AF87" s="264">
        <f t="shared" si="26"/>
        <v>-511.796426</v>
      </c>
      <c r="AH87" s="264">
        <f t="shared" si="27"/>
        <v>2500.0110199999999</v>
      </c>
      <c r="AI87" s="264">
        <v>1000</v>
      </c>
      <c r="AJ87" s="264">
        <v>1500</v>
      </c>
      <c r="AK87" s="264">
        <f t="shared" si="28"/>
        <v>3014.2940399999998</v>
      </c>
      <c r="AL87" s="264">
        <f t="shared" si="29"/>
        <v>881.56322181818189</v>
      </c>
      <c r="AM87" s="264">
        <f t="shared" si="30"/>
        <v>1061.55699</v>
      </c>
      <c r="AN87" s="264">
        <f t="shared" si="30"/>
        <v>103.882642</v>
      </c>
      <c r="AP87" s="264">
        <f t="shared" si="31"/>
        <v>156.07520500000001</v>
      </c>
      <c r="AQ87" s="266">
        <f t="shared" si="32"/>
        <v>0.42922170399999998</v>
      </c>
      <c r="AR87" s="266">
        <f t="shared" si="25"/>
        <v>0.23788731099999999</v>
      </c>
      <c r="AS87" s="266">
        <f t="shared" si="25"/>
        <v>0.23639837</v>
      </c>
      <c r="AT87" s="266">
        <f t="shared" si="25"/>
        <v>9.6452928499999993E-2</v>
      </c>
      <c r="AU87" s="266">
        <f t="shared" si="25"/>
        <v>3.9685835300000003E-5</v>
      </c>
    </row>
    <row r="88" spans="2:47" x14ac:dyDescent="0.25">
      <c r="B88" s="264">
        <v>13</v>
      </c>
      <c r="C88" s="264" t="s">
        <v>1123</v>
      </c>
      <c r="E88" s="264">
        <v>926.315789</v>
      </c>
      <c r="F88" s="264">
        <v>1861.5092400000001</v>
      </c>
      <c r="G88" s="264">
        <v>1171.7124899999999</v>
      </c>
      <c r="H88" s="264">
        <v>-1078.10934</v>
      </c>
      <c r="I88" s="264">
        <v>-103.848506</v>
      </c>
      <c r="J88" s="264">
        <v>-514.67816400000004</v>
      </c>
      <c r="K88" s="264">
        <v>-4757.2093800000002</v>
      </c>
      <c r="L88" s="264">
        <v>-2214.3928000000001</v>
      </c>
      <c r="M88" s="264">
        <v>-185.79193699999999</v>
      </c>
      <c r="N88" s="264">
        <v>-1061.49449</v>
      </c>
      <c r="O88" s="264">
        <v>457.15184799999997</v>
      </c>
      <c r="P88" s="264">
        <v>-1944.3245400000001</v>
      </c>
      <c r="Q88" s="264">
        <v>-172.103341</v>
      </c>
      <c r="R88" s="264">
        <v>-216.53622300000001</v>
      </c>
      <c r="S88" s="264">
        <v>0.42785883800000002</v>
      </c>
      <c r="T88" s="264">
        <v>0.23925521199999999</v>
      </c>
      <c r="U88" s="264">
        <v>0.237781399</v>
      </c>
      <c r="V88" s="264">
        <v>9.5072419300000002E-2</v>
      </c>
      <c r="W88" s="265">
        <v>3.21322342E-5</v>
      </c>
      <c r="X88" s="264">
        <v>2500.0109600000001</v>
      </c>
      <c r="Y88" s="264">
        <v>156.077562</v>
      </c>
      <c r="AB88" s="264">
        <f t="shared" si="26"/>
        <v>1861.5092400000001</v>
      </c>
      <c r="AC88" s="264">
        <f t="shared" si="26"/>
        <v>1171.7124899999999</v>
      </c>
      <c r="AD88" s="264">
        <f t="shared" si="26"/>
        <v>-1078.10934</v>
      </c>
      <c r="AE88" s="264">
        <f t="shared" si="26"/>
        <v>-103.848506</v>
      </c>
      <c r="AF88" s="264">
        <f t="shared" si="26"/>
        <v>-514.67816400000004</v>
      </c>
      <c r="AH88" s="264">
        <f t="shared" si="27"/>
        <v>2500.0109600000001</v>
      </c>
      <c r="AI88" s="264">
        <v>1000</v>
      </c>
      <c r="AJ88" s="264">
        <v>1500</v>
      </c>
      <c r="AK88" s="264">
        <f t="shared" si="28"/>
        <v>3033.2217300000002</v>
      </c>
      <c r="AL88" s="264">
        <f t="shared" si="29"/>
        <v>886.52698105263175</v>
      </c>
      <c r="AM88" s="264">
        <f t="shared" si="30"/>
        <v>1078.10934</v>
      </c>
      <c r="AN88" s="264">
        <f t="shared" si="30"/>
        <v>103.848506</v>
      </c>
      <c r="AP88" s="264">
        <f t="shared" si="31"/>
        <v>156.077562</v>
      </c>
      <c r="AQ88" s="266">
        <f t="shared" si="32"/>
        <v>0.42785883800000002</v>
      </c>
      <c r="AR88" s="266">
        <f t="shared" si="25"/>
        <v>0.23925521199999999</v>
      </c>
      <c r="AS88" s="266">
        <f t="shared" si="25"/>
        <v>0.237781399</v>
      </c>
      <c r="AT88" s="266">
        <f t="shared" si="25"/>
        <v>9.5072419300000002E-2</v>
      </c>
      <c r="AU88" s="266">
        <f t="shared" si="25"/>
        <v>3.21322342E-5</v>
      </c>
    </row>
    <row r="89" spans="2:47" x14ac:dyDescent="0.25">
      <c r="B89" s="264">
        <v>14</v>
      </c>
      <c r="C89" s="264" t="s">
        <v>1123</v>
      </c>
      <c r="E89" s="264">
        <v>936.84210499999995</v>
      </c>
      <c r="F89" s="264">
        <v>1880.4730099999999</v>
      </c>
      <c r="G89" s="264">
        <v>1171.6325099999999</v>
      </c>
      <c r="H89" s="264">
        <v>-1094.6914400000001</v>
      </c>
      <c r="I89" s="264">
        <v>-103.815079</v>
      </c>
      <c r="J89" s="264">
        <v>-517.48864800000001</v>
      </c>
      <c r="K89" s="264">
        <v>-4761.9480299999996</v>
      </c>
      <c r="L89" s="264">
        <v>-2212.4572699999999</v>
      </c>
      <c r="M89" s="264">
        <v>-185.63077899999999</v>
      </c>
      <c r="N89" s="264">
        <v>-1058.4572000000001</v>
      </c>
      <c r="O89" s="264">
        <v>457.15184799999997</v>
      </c>
      <c r="P89" s="264">
        <v>-1944.3245400000001</v>
      </c>
      <c r="Q89" s="264">
        <v>-172.103341</v>
      </c>
      <c r="R89" s="264">
        <v>-216.53622300000001</v>
      </c>
      <c r="S89" s="264">
        <v>0.42652821899999999</v>
      </c>
      <c r="T89" s="264">
        <v>0.240589844</v>
      </c>
      <c r="U89" s="264">
        <v>0.23912808999999999</v>
      </c>
      <c r="V89" s="264">
        <v>9.3727735500000006E-2</v>
      </c>
      <c r="W89" s="265">
        <v>2.6111457800000001E-5</v>
      </c>
      <c r="X89" s="264">
        <v>2500.01091</v>
      </c>
      <c r="Y89" s="264">
        <v>156.07944000000001</v>
      </c>
      <c r="AB89" s="264">
        <f t="shared" si="26"/>
        <v>1880.4730099999999</v>
      </c>
      <c r="AC89" s="264">
        <f t="shared" si="26"/>
        <v>1171.6325099999999</v>
      </c>
      <c r="AD89" s="264">
        <f t="shared" si="26"/>
        <v>-1094.6914400000001</v>
      </c>
      <c r="AE89" s="264">
        <f t="shared" si="26"/>
        <v>-103.815079</v>
      </c>
      <c r="AF89" s="264">
        <f t="shared" si="26"/>
        <v>-517.48864800000001</v>
      </c>
      <c r="AH89" s="264">
        <f t="shared" si="27"/>
        <v>2500.01091</v>
      </c>
      <c r="AI89" s="264">
        <v>1000</v>
      </c>
      <c r="AJ89" s="264">
        <v>1500</v>
      </c>
      <c r="AK89" s="264">
        <f t="shared" si="28"/>
        <v>3052.1055200000001</v>
      </c>
      <c r="AL89" s="264">
        <f t="shared" si="29"/>
        <v>891.36800612440186</v>
      </c>
      <c r="AM89" s="264">
        <f t="shared" si="30"/>
        <v>1094.6914400000001</v>
      </c>
      <c r="AN89" s="264">
        <f t="shared" si="30"/>
        <v>103.815079</v>
      </c>
      <c r="AP89" s="264">
        <f t="shared" si="31"/>
        <v>156.07944000000001</v>
      </c>
      <c r="AQ89" s="266">
        <f t="shared" si="32"/>
        <v>0.42652821899999999</v>
      </c>
      <c r="AR89" s="266">
        <f t="shared" si="25"/>
        <v>0.240589844</v>
      </c>
      <c r="AS89" s="266">
        <f t="shared" si="25"/>
        <v>0.23912808999999999</v>
      </c>
      <c r="AT89" s="266">
        <f t="shared" si="25"/>
        <v>9.3727735500000006E-2</v>
      </c>
      <c r="AU89" s="266">
        <f t="shared" si="25"/>
        <v>2.6111457800000001E-5</v>
      </c>
    </row>
    <row r="90" spans="2:47" x14ac:dyDescent="0.25">
      <c r="B90" s="264">
        <v>15</v>
      </c>
      <c r="C90" s="264" t="s">
        <v>1123</v>
      </c>
      <c r="E90" s="264">
        <v>947.36842100000001</v>
      </c>
      <c r="F90" s="264">
        <v>1899.39606</v>
      </c>
      <c r="G90" s="264">
        <v>1171.5545099999999</v>
      </c>
      <c r="H90" s="264">
        <v>-1111.3035</v>
      </c>
      <c r="I90" s="264">
        <v>-103.782375</v>
      </c>
      <c r="J90" s="264">
        <v>-520.22950200000002</v>
      </c>
      <c r="K90" s="264">
        <v>-4766.5580099999997</v>
      </c>
      <c r="L90" s="264">
        <v>-2210.5695700000001</v>
      </c>
      <c r="M90" s="264">
        <v>-185.473603</v>
      </c>
      <c r="N90" s="264">
        <v>-1055.49497</v>
      </c>
      <c r="O90" s="264">
        <v>457.15184799999997</v>
      </c>
      <c r="P90" s="264">
        <v>-1944.3245400000001</v>
      </c>
      <c r="Q90" s="264">
        <v>-172.103341</v>
      </c>
      <c r="R90" s="264">
        <v>-216.53622300000001</v>
      </c>
      <c r="S90" s="264">
        <v>0.42522942699999999</v>
      </c>
      <c r="T90" s="264">
        <v>0.24189184899999999</v>
      </c>
      <c r="U90" s="264">
        <v>0.24043974200000001</v>
      </c>
      <c r="V90" s="264">
        <v>9.2417687900000003E-2</v>
      </c>
      <c r="W90" s="265">
        <v>2.1294587799999998E-5</v>
      </c>
      <c r="X90" s="264">
        <v>2500.0108500000001</v>
      </c>
      <c r="Y90" s="264">
        <v>156.08094199999999</v>
      </c>
      <c r="AB90" s="264">
        <f t="shared" si="26"/>
        <v>1899.39606</v>
      </c>
      <c r="AC90" s="264">
        <f t="shared" si="26"/>
        <v>1171.5545099999999</v>
      </c>
      <c r="AD90" s="264">
        <f t="shared" si="26"/>
        <v>-1111.3035</v>
      </c>
      <c r="AE90" s="264">
        <f t="shared" si="26"/>
        <v>-103.782375</v>
      </c>
      <c r="AF90" s="264">
        <f t="shared" si="26"/>
        <v>-520.22950200000002</v>
      </c>
      <c r="AH90" s="264">
        <f t="shared" si="27"/>
        <v>2500.0108500000001</v>
      </c>
      <c r="AI90" s="264">
        <v>1000</v>
      </c>
      <c r="AJ90" s="264">
        <v>1500</v>
      </c>
      <c r="AK90" s="264">
        <f t="shared" si="28"/>
        <v>3070.95057</v>
      </c>
      <c r="AL90" s="264">
        <f t="shared" si="29"/>
        <v>896.08909435406702</v>
      </c>
      <c r="AM90" s="264">
        <f t="shared" si="30"/>
        <v>1111.3035</v>
      </c>
      <c r="AN90" s="264">
        <f t="shared" si="30"/>
        <v>103.782375</v>
      </c>
      <c r="AP90" s="264">
        <f t="shared" si="31"/>
        <v>156.08094199999999</v>
      </c>
      <c r="AQ90" s="266">
        <f t="shared" si="32"/>
        <v>0.42522942699999999</v>
      </c>
      <c r="AR90" s="266">
        <f t="shared" si="25"/>
        <v>0.24189184899999999</v>
      </c>
      <c r="AS90" s="266">
        <f t="shared" si="25"/>
        <v>0.24043974200000001</v>
      </c>
      <c r="AT90" s="266">
        <f t="shared" si="25"/>
        <v>9.2417687900000003E-2</v>
      </c>
      <c r="AU90" s="266">
        <f t="shared" si="25"/>
        <v>2.1294587799999998E-5</v>
      </c>
    </row>
    <row r="91" spans="2:47" x14ac:dyDescent="0.25">
      <c r="B91" s="264">
        <v>16</v>
      </c>
      <c r="C91" s="264" t="s">
        <v>1123</v>
      </c>
      <c r="E91" s="264">
        <v>957.89473699999996</v>
      </c>
      <c r="F91" s="264">
        <v>1918.2827299999999</v>
      </c>
      <c r="G91" s="264">
        <v>1171.4784299999999</v>
      </c>
      <c r="H91" s="264">
        <v>-1127.94569</v>
      </c>
      <c r="I91" s="264">
        <v>-103.750398</v>
      </c>
      <c r="J91" s="264">
        <v>-522.90240600000004</v>
      </c>
      <c r="K91" s="264">
        <v>-4771.0448299999998</v>
      </c>
      <c r="L91" s="264">
        <v>-2208.72858</v>
      </c>
      <c r="M91" s="264">
        <v>-185.32031799999999</v>
      </c>
      <c r="N91" s="264">
        <v>-1052.6060399999999</v>
      </c>
      <c r="O91" s="264">
        <v>457.15184799999997</v>
      </c>
      <c r="P91" s="264">
        <v>-1944.3245400000001</v>
      </c>
      <c r="Q91" s="264">
        <v>-172.103341</v>
      </c>
      <c r="R91" s="264">
        <v>-216.53622300000001</v>
      </c>
      <c r="S91" s="264">
        <v>0.42396193399999998</v>
      </c>
      <c r="T91" s="264">
        <v>0.243161922</v>
      </c>
      <c r="U91" s="264">
        <v>0.241717561</v>
      </c>
      <c r="V91" s="264">
        <v>9.1141155700000004E-2</v>
      </c>
      <c r="W91" s="265">
        <v>1.7426854800000001E-5</v>
      </c>
      <c r="X91" s="264">
        <v>2500.0108</v>
      </c>
      <c r="Y91" s="264">
        <v>156.08214799999999</v>
      </c>
      <c r="AB91" s="264">
        <f t="shared" si="26"/>
        <v>1918.2827299999999</v>
      </c>
      <c r="AC91" s="264">
        <f t="shared" si="26"/>
        <v>1171.4784299999999</v>
      </c>
      <c r="AD91" s="264">
        <f t="shared" si="26"/>
        <v>-1127.94569</v>
      </c>
      <c r="AE91" s="264">
        <f t="shared" si="26"/>
        <v>-103.750398</v>
      </c>
      <c r="AF91" s="264">
        <f t="shared" si="26"/>
        <v>-522.90240600000004</v>
      </c>
      <c r="AH91" s="264">
        <f t="shared" si="27"/>
        <v>2500.0108</v>
      </c>
      <c r="AI91" s="264">
        <v>1000</v>
      </c>
      <c r="AJ91" s="264">
        <v>1500</v>
      </c>
      <c r="AK91" s="264">
        <f t="shared" si="28"/>
        <v>3089.76116</v>
      </c>
      <c r="AL91" s="264">
        <f t="shared" si="29"/>
        <v>900.69313952153118</v>
      </c>
      <c r="AM91" s="264">
        <f t="shared" si="30"/>
        <v>1127.94569</v>
      </c>
      <c r="AN91" s="264">
        <f t="shared" si="30"/>
        <v>103.750398</v>
      </c>
      <c r="AP91" s="264">
        <f t="shared" si="31"/>
        <v>156.08214799999999</v>
      </c>
      <c r="AQ91" s="266">
        <f t="shared" si="32"/>
        <v>0.42396193399999998</v>
      </c>
      <c r="AR91" s="266">
        <f t="shared" si="25"/>
        <v>0.243161922</v>
      </c>
      <c r="AS91" s="266">
        <f t="shared" si="25"/>
        <v>0.241717561</v>
      </c>
      <c r="AT91" s="266">
        <f t="shared" si="25"/>
        <v>9.1141155700000004E-2</v>
      </c>
      <c r="AU91" s="266">
        <f t="shared" si="25"/>
        <v>1.7426854800000001E-5</v>
      </c>
    </row>
    <row r="92" spans="2:47" x14ac:dyDescent="0.25">
      <c r="B92" s="264">
        <v>17</v>
      </c>
      <c r="C92" s="264" t="s">
        <v>1123</v>
      </c>
      <c r="E92" s="264">
        <v>968.42105300000003</v>
      </c>
      <c r="F92" s="264">
        <v>1937.1367499999999</v>
      </c>
      <c r="G92" s="264">
        <v>1171.4042400000001</v>
      </c>
      <c r="H92" s="264">
        <v>-1144.6180999999999</v>
      </c>
      <c r="I92" s="264">
        <v>-103.719149</v>
      </c>
      <c r="J92" s="264">
        <v>-525.50906799999996</v>
      </c>
      <c r="K92" s="264">
        <v>-4775.41345</v>
      </c>
      <c r="L92" s="264">
        <v>-2206.9331499999998</v>
      </c>
      <c r="M92" s="264">
        <v>-185.17082500000001</v>
      </c>
      <c r="N92" s="264">
        <v>-1049.7885799999999</v>
      </c>
      <c r="O92" s="264">
        <v>457.15184799999997</v>
      </c>
      <c r="P92" s="264">
        <v>-1944.3245400000001</v>
      </c>
      <c r="Q92" s="264">
        <v>-172.103341</v>
      </c>
      <c r="R92" s="264">
        <v>-216.53622300000001</v>
      </c>
      <c r="S92" s="264">
        <v>0.422725142</v>
      </c>
      <c r="T92" s="264">
        <v>0.244400795</v>
      </c>
      <c r="U92" s="264">
        <v>0.24296267699999999</v>
      </c>
      <c r="V92" s="264">
        <v>8.9897076399999998E-2</v>
      </c>
      <c r="W92" s="265">
        <v>1.43101731E-5</v>
      </c>
      <c r="X92" s="264">
        <v>2500.0107400000002</v>
      </c>
      <c r="Y92" s="264">
        <v>156.08312000000001</v>
      </c>
      <c r="AB92" s="264">
        <f t="shared" si="26"/>
        <v>1937.1367499999999</v>
      </c>
      <c r="AC92" s="264">
        <f t="shared" si="26"/>
        <v>1171.4042400000001</v>
      </c>
      <c r="AD92" s="264">
        <f t="shared" si="26"/>
        <v>-1144.6180999999999</v>
      </c>
      <c r="AE92" s="264">
        <f t="shared" si="26"/>
        <v>-103.719149</v>
      </c>
      <c r="AF92" s="264">
        <f t="shared" si="26"/>
        <v>-525.50906799999996</v>
      </c>
      <c r="AH92" s="264">
        <f t="shared" si="27"/>
        <v>2500.0107400000002</v>
      </c>
      <c r="AI92" s="264">
        <v>1000</v>
      </c>
      <c r="AJ92" s="264">
        <v>1500</v>
      </c>
      <c r="AK92" s="264">
        <f t="shared" si="28"/>
        <v>3108.54099</v>
      </c>
      <c r="AL92" s="264">
        <f t="shared" si="29"/>
        <v>905.18308363636356</v>
      </c>
      <c r="AM92" s="264">
        <f t="shared" si="30"/>
        <v>1144.6180999999999</v>
      </c>
      <c r="AN92" s="264">
        <f t="shared" si="30"/>
        <v>103.719149</v>
      </c>
      <c r="AP92" s="264">
        <f t="shared" si="31"/>
        <v>156.08312000000001</v>
      </c>
      <c r="AQ92" s="266">
        <f t="shared" si="32"/>
        <v>0.422725142</v>
      </c>
      <c r="AR92" s="266">
        <f t="shared" si="25"/>
        <v>0.244400795</v>
      </c>
      <c r="AS92" s="266">
        <f t="shared" si="25"/>
        <v>0.24296267699999999</v>
      </c>
      <c r="AT92" s="266">
        <f t="shared" si="25"/>
        <v>8.9897076399999998E-2</v>
      </c>
      <c r="AU92" s="266">
        <f t="shared" si="25"/>
        <v>1.43101731E-5</v>
      </c>
    </row>
    <row r="93" spans="2:47" x14ac:dyDescent="0.25">
      <c r="B93" s="264">
        <v>18</v>
      </c>
      <c r="C93" s="264" t="s">
        <v>1123</v>
      </c>
      <c r="E93" s="264">
        <v>978.94736799999998</v>
      </c>
      <c r="F93" s="264">
        <v>1955.9613199999999</v>
      </c>
      <c r="G93" s="264">
        <v>1171.3318899999999</v>
      </c>
      <c r="H93" s="264">
        <v>-1161.3208099999999</v>
      </c>
      <c r="I93" s="264">
        <v>-103.68862</v>
      </c>
      <c r="J93" s="264">
        <v>-528.05120599999998</v>
      </c>
      <c r="K93" s="264">
        <v>-4779.6683899999998</v>
      </c>
      <c r="L93" s="264">
        <v>-2205.1821</v>
      </c>
      <c r="M93" s="264">
        <v>-185.02502799999999</v>
      </c>
      <c r="N93" s="264">
        <v>-1047.04078</v>
      </c>
      <c r="O93" s="264">
        <v>457.15184799999997</v>
      </c>
      <c r="P93" s="264">
        <v>-1944.3245400000001</v>
      </c>
      <c r="Q93" s="264">
        <v>-172.103341</v>
      </c>
      <c r="R93" s="264">
        <v>-216.53622300000001</v>
      </c>
      <c r="S93" s="264">
        <v>0.42151839800000002</v>
      </c>
      <c r="T93" s="264">
        <v>0.24560922199999999</v>
      </c>
      <c r="U93" s="264">
        <v>0.24417615200000001</v>
      </c>
      <c r="V93" s="264">
        <v>8.8684438000000004E-2</v>
      </c>
      <c r="W93" s="265">
        <v>1.17899535E-5</v>
      </c>
      <c r="X93" s="264">
        <v>2500.0106799999999</v>
      </c>
      <c r="Y93" s="264">
        <v>156.08390499999999</v>
      </c>
      <c r="AB93" s="264">
        <f t="shared" si="26"/>
        <v>1955.9613199999999</v>
      </c>
      <c r="AC93" s="264">
        <f t="shared" si="26"/>
        <v>1171.3318899999999</v>
      </c>
      <c r="AD93" s="264">
        <f t="shared" si="26"/>
        <v>-1161.3208099999999</v>
      </c>
      <c r="AE93" s="264">
        <f t="shared" si="26"/>
        <v>-103.68862</v>
      </c>
      <c r="AF93" s="264">
        <f t="shared" si="26"/>
        <v>-528.05120599999998</v>
      </c>
      <c r="AH93" s="264">
        <f t="shared" si="27"/>
        <v>2500.0106799999999</v>
      </c>
      <c r="AI93" s="264">
        <v>1000</v>
      </c>
      <c r="AJ93" s="264">
        <v>1500</v>
      </c>
      <c r="AK93" s="264">
        <f t="shared" si="28"/>
        <v>3127.2932099999998</v>
      </c>
      <c r="AL93" s="264">
        <f t="shared" si="29"/>
        <v>909.56188593301431</v>
      </c>
      <c r="AM93" s="264">
        <f t="shared" si="30"/>
        <v>1161.3208099999999</v>
      </c>
      <c r="AN93" s="264">
        <f t="shared" si="30"/>
        <v>103.68862</v>
      </c>
      <c r="AP93" s="264">
        <f t="shared" si="31"/>
        <v>156.08390499999999</v>
      </c>
      <c r="AQ93" s="266">
        <f t="shared" si="32"/>
        <v>0.42151839800000002</v>
      </c>
      <c r="AR93" s="266">
        <f t="shared" si="25"/>
        <v>0.24560922199999999</v>
      </c>
      <c r="AS93" s="266">
        <f t="shared" si="25"/>
        <v>0.24417615200000001</v>
      </c>
      <c r="AT93" s="266">
        <f t="shared" si="25"/>
        <v>8.8684438000000004E-2</v>
      </c>
      <c r="AU93" s="266">
        <f t="shared" si="25"/>
        <v>1.17899535E-5</v>
      </c>
    </row>
    <row r="94" spans="2:47" x14ac:dyDescent="0.25">
      <c r="B94" s="264">
        <v>19</v>
      </c>
      <c r="C94" s="264" t="s">
        <v>1123</v>
      </c>
      <c r="E94" s="264">
        <v>989.47368400000005</v>
      </c>
      <c r="F94" s="264">
        <v>1974.7592299999999</v>
      </c>
      <c r="G94" s="264">
        <v>1171.2613200000001</v>
      </c>
      <c r="H94" s="264">
        <v>-1178.05387</v>
      </c>
      <c r="I94" s="264">
        <v>-103.658805</v>
      </c>
      <c r="J94" s="264">
        <v>-530.53053499999999</v>
      </c>
      <c r="K94" s="264">
        <v>-4783.8137800000004</v>
      </c>
      <c r="L94" s="264">
        <v>-2203.4742700000002</v>
      </c>
      <c r="M94" s="264">
        <v>-184.88283000000001</v>
      </c>
      <c r="N94" s="264">
        <v>-1044.36079</v>
      </c>
      <c r="O94" s="264">
        <v>457.15184799999997</v>
      </c>
      <c r="P94" s="264">
        <v>-1944.3245400000001</v>
      </c>
      <c r="Q94" s="264">
        <v>-172.103341</v>
      </c>
      <c r="R94" s="264">
        <v>-216.53622300000001</v>
      </c>
      <c r="S94" s="264">
        <v>0.42034101800000001</v>
      </c>
      <c r="T94" s="264">
        <v>0.246787969</v>
      </c>
      <c r="U94" s="264">
        <v>0.245358995</v>
      </c>
      <c r="V94" s="264">
        <v>8.7502273300000002E-2</v>
      </c>
      <c r="W94" s="265">
        <v>9.7451087300000002E-6</v>
      </c>
      <c r="X94" s="264">
        <v>2500.01062</v>
      </c>
      <c r="Y94" s="264">
        <v>156.084542</v>
      </c>
      <c r="AB94" s="264">
        <f t="shared" si="26"/>
        <v>1974.7592299999999</v>
      </c>
      <c r="AC94" s="264">
        <f t="shared" si="26"/>
        <v>1171.2613200000001</v>
      </c>
      <c r="AD94" s="264">
        <f t="shared" si="26"/>
        <v>-1178.05387</v>
      </c>
      <c r="AE94" s="264">
        <f t="shared" si="26"/>
        <v>-103.658805</v>
      </c>
      <c r="AF94" s="264">
        <f t="shared" si="26"/>
        <v>-530.53053499999999</v>
      </c>
      <c r="AH94" s="264">
        <f t="shared" si="27"/>
        <v>2500.01062</v>
      </c>
      <c r="AI94" s="264">
        <v>1000</v>
      </c>
      <c r="AJ94" s="264">
        <v>1500</v>
      </c>
      <c r="AK94" s="264">
        <f t="shared" si="28"/>
        <v>3146.0205500000002</v>
      </c>
      <c r="AL94" s="264">
        <f t="shared" si="29"/>
        <v>913.832500478469</v>
      </c>
      <c r="AM94" s="264">
        <f t="shared" si="30"/>
        <v>1178.05387</v>
      </c>
      <c r="AN94" s="264">
        <f t="shared" si="30"/>
        <v>103.658805</v>
      </c>
      <c r="AP94" s="264">
        <f t="shared" si="31"/>
        <v>156.084542</v>
      </c>
      <c r="AQ94" s="266">
        <f t="shared" si="32"/>
        <v>0.42034101800000001</v>
      </c>
      <c r="AR94" s="266">
        <f t="shared" si="25"/>
        <v>0.246787969</v>
      </c>
      <c r="AS94" s="266">
        <f t="shared" si="25"/>
        <v>0.245358995</v>
      </c>
      <c r="AT94" s="266">
        <f t="shared" si="25"/>
        <v>8.7502273300000002E-2</v>
      </c>
      <c r="AU94" s="266">
        <f t="shared" si="25"/>
        <v>9.7451087300000002E-6</v>
      </c>
    </row>
    <row r="95" spans="2:47" x14ac:dyDescent="0.25">
      <c r="B95" s="264">
        <v>20</v>
      </c>
      <c r="C95" s="264" t="s">
        <v>1123</v>
      </c>
      <c r="E95" s="264">
        <v>1000</v>
      </c>
      <c r="F95" s="264">
        <v>1993.53295</v>
      </c>
      <c r="G95" s="264">
        <v>1171.1924799999999</v>
      </c>
      <c r="H95" s="264">
        <v>-1194.8172999999999</v>
      </c>
      <c r="I95" s="264">
        <v>-103.62969200000001</v>
      </c>
      <c r="J95" s="264">
        <v>-532.94875400000001</v>
      </c>
      <c r="K95" s="264">
        <v>-4787.85347</v>
      </c>
      <c r="L95" s="264">
        <v>-2201.8085000000001</v>
      </c>
      <c r="M95" s="264">
        <v>-184.744134</v>
      </c>
      <c r="N95" s="264">
        <v>-1041.7467999999999</v>
      </c>
      <c r="O95" s="264">
        <v>457.15184799999997</v>
      </c>
      <c r="P95" s="264">
        <v>-1944.3245400000001</v>
      </c>
      <c r="Q95" s="264">
        <v>-172.103341</v>
      </c>
      <c r="R95" s="264">
        <v>-216.53622300000001</v>
      </c>
      <c r="S95" s="264">
        <v>0.41919229699999999</v>
      </c>
      <c r="T95" s="264">
        <v>0.24793780400000001</v>
      </c>
      <c r="U95" s="264">
        <v>0.24651216400000001</v>
      </c>
      <c r="V95" s="264">
        <v>8.6349654499999998E-2</v>
      </c>
      <c r="W95" s="265">
        <v>8.0804509899999994E-6</v>
      </c>
      <c r="X95" s="264">
        <v>2500.0105600000002</v>
      </c>
      <c r="Y95" s="264">
        <v>156.085061</v>
      </c>
      <c r="AB95" s="264">
        <f t="shared" si="26"/>
        <v>1993.53295</v>
      </c>
      <c r="AC95" s="264">
        <f t="shared" si="26"/>
        <v>1171.1924799999999</v>
      </c>
      <c r="AD95" s="264">
        <f t="shared" si="26"/>
        <v>-1194.8172999999999</v>
      </c>
      <c r="AE95" s="264">
        <f t="shared" si="26"/>
        <v>-103.62969200000001</v>
      </c>
      <c r="AF95" s="264">
        <f t="shared" si="26"/>
        <v>-532.94875400000001</v>
      </c>
      <c r="AH95" s="264">
        <f t="shared" si="27"/>
        <v>2500.0105600000002</v>
      </c>
      <c r="AI95" s="264">
        <v>1000</v>
      </c>
      <c r="AJ95" s="264">
        <v>1500</v>
      </c>
      <c r="AK95" s="264">
        <f t="shared" si="28"/>
        <v>3164.72543</v>
      </c>
      <c r="AL95" s="264">
        <f t="shared" si="29"/>
        <v>917.99785377990429</v>
      </c>
      <c r="AM95" s="264">
        <f t="shared" si="30"/>
        <v>1194.8172999999999</v>
      </c>
      <c r="AN95" s="264">
        <f t="shared" si="30"/>
        <v>103.62969200000001</v>
      </c>
      <c r="AP95" s="264">
        <f t="shared" si="31"/>
        <v>156.085061</v>
      </c>
      <c r="AQ95" s="266">
        <f t="shared" si="32"/>
        <v>0.41919229699999999</v>
      </c>
      <c r="AR95" s="266">
        <f t="shared" si="25"/>
        <v>0.24793780400000001</v>
      </c>
      <c r="AS95" s="266">
        <f t="shared" si="25"/>
        <v>0.24651216400000001</v>
      </c>
      <c r="AT95" s="266">
        <f t="shared" si="25"/>
        <v>8.6349654499999998E-2</v>
      </c>
      <c r="AU95" s="266">
        <f t="shared" si="25"/>
        <v>8.0804509899999994E-6</v>
      </c>
    </row>
  </sheetData>
  <conditionalFormatting sqref="AQ4:AU23">
    <cfRule type="colorScale" priority="4">
      <colorScale>
        <cfvo type="min"/>
        <cfvo type="max"/>
        <color rgb="FFFCFCFF"/>
        <color rgb="FF63BE7B"/>
      </colorScale>
    </cfRule>
  </conditionalFormatting>
  <conditionalFormatting sqref="AQ28:AU47">
    <cfRule type="colorScale" priority="3">
      <colorScale>
        <cfvo type="min"/>
        <cfvo type="max"/>
        <color rgb="FFFCFCFF"/>
        <color rgb="FF63BE7B"/>
      </colorScale>
    </cfRule>
  </conditionalFormatting>
  <conditionalFormatting sqref="AQ52:AU71">
    <cfRule type="colorScale" priority="2">
      <colorScale>
        <cfvo type="min"/>
        <cfvo type="max"/>
        <color rgb="FFFCFCFF"/>
        <color rgb="FF63BE7B"/>
      </colorScale>
    </cfRule>
  </conditionalFormatting>
  <conditionalFormatting sqref="AQ76:AU95">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5EF8D-0843-4A2A-BAB6-A27734DD01B4}">
  <sheetPr>
    <tabColor rgb="FF663300"/>
  </sheetPr>
  <dimension ref="B1:BN87"/>
  <sheetViews>
    <sheetView zoomScale="70" zoomScaleNormal="70" workbookViewId="0">
      <selection activeCell="AZ12" sqref="AZ12"/>
    </sheetView>
  </sheetViews>
  <sheetFormatPr defaultRowHeight="15" x14ac:dyDescent="0.25"/>
  <cols>
    <col min="1" max="1" width="7.42578125" customWidth="1"/>
    <col min="3" max="3" width="9.42578125" bestFit="1" customWidth="1"/>
    <col min="9" max="21" width="9" customWidth="1"/>
    <col min="34" max="45" width="9" customWidth="1"/>
  </cols>
  <sheetData>
    <row r="1" spans="2:66" ht="15.75" thickBot="1" x14ac:dyDescent="0.3"/>
    <row r="2" spans="2:66" x14ac:dyDescent="0.25">
      <c r="B2" t="s">
        <v>1125</v>
      </c>
      <c r="C2" t="s">
        <v>1152</v>
      </c>
      <c r="D2" s="134"/>
      <c r="E2" s="134"/>
      <c r="F2" s="134"/>
      <c r="G2" s="134"/>
      <c r="H2" s="134"/>
      <c r="I2" s="134"/>
      <c r="J2" s="1311" t="s">
        <v>1147</v>
      </c>
      <c r="K2" s="1312"/>
      <c r="L2" s="1312"/>
      <c r="M2" s="1312"/>
      <c r="N2" s="1312"/>
      <c r="O2" s="1312"/>
      <c r="P2" s="1312"/>
      <c r="Q2" s="1312"/>
      <c r="R2" s="1312"/>
      <c r="S2" s="1312"/>
      <c r="T2" s="1312"/>
      <c r="U2" s="1312"/>
      <c r="V2" s="1312"/>
      <c r="W2" s="1312"/>
      <c r="X2" s="1312"/>
      <c r="Y2" s="1312"/>
      <c r="Z2" s="1312"/>
      <c r="AA2" s="1312"/>
      <c r="AB2" s="1312"/>
      <c r="AC2" s="1312"/>
      <c r="AD2" s="1312"/>
      <c r="AE2" s="1312"/>
      <c r="AF2" s="1312"/>
      <c r="AG2" s="1313"/>
      <c r="AH2" s="1311" t="s">
        <v>1148</v>
      </c>
      <c r="AI2" s="1312"/>
      <c r="AJ2" s="1312"/>
      <c r="AK2" s="1312"/>
      <c r="AL2" s="1312"/>
      <c r="AM2" s="1312"/>
      <c r="AN2" s="1312"/>
      <c r="AO2" s="1312"/>
      <c r="AP2" s="1312"/>
      <c r="AQ2" s="1312"/>
      <c r="AR2" s="1312"/>
      <c r="AS2" s="1312"/>
      <c r="AT2" s="1312"/>
      <c r="AU2" s="1312"/>
      <c r="AV2" s="1312"/>
      <c r="AW2" s="1312"/>
      <c r="AX2" s="1312"/>
      <c r="AY2" s="1312"/>
      <c r="AZ2" s="1312"/>
      <c r="BA2" s="1312"/>
      <c r="BB2" s="1312"/>
      <c r="BC2" s="1312"/>
      <c r="BD2" s="1312"/>
      <c r="BE2" s="1313"/>
      <c r="BF2" s="279"/>
      <c r="BG2" s="279"/>
    </row>
    <row r="3" spans="2:66" x14ac:dyDescent="0.25">
      <c r="B3" t="s">
        <v>1151</v>
      </c>
      <c r="C3" t="s">
        <v>1126</v>
      </c>
      <c r="J3" s="1325" t="s">
        <v>1972</v>
      </c>
      <c r="K3" s="1326"/>
      <c r="L3" s="1326"/>
      <c r="M3" s="1326"/>
      <c r="N3" s="1326"/>
      <c r="O3" s="1326"/>
      <c r="P3" s="1326"/>
      <c r="Q3" s="1326"/>
      <c r="R3" s="1326"/>
      <c r="S3" s="1326"/>
      <c r="T3" s="1326"/>
      <c r="U3" s="1327"/>
      <c r="V3" s="1322" t="s">
        <v>1975</v>
      </c>
      <c r="W3" s="1323"/>
      <c r="X3" s="1323"/>
      <c r="Y3" s="1323"/>
      <c r="Z3" s="1323"/>
      <c r="AA3" s="1323"/>
      <c r="AB3" s="1323"/>
      <c r="AC3" s="1323"/>
      <c r="AD3" s="1323"/>
      <c r="AE3" s="1323"/>
      <c r="AF3" s="1323"/>
      <c r="AG3" s="1324"/>
      <c r="AH3" s="1325" t="s">
        <v>1972</v>
      </c>
      <c r="AI3" s="1326"/>
      <c r="AJ3" s="1326"/>
      <c r="AK3" s="1326"/>
      <c r="AL3" s="1326"/>
      <c r="AM3" s="1326"/>
      <c r="AN3" s="1326"/>
      <c r="AO3" s="1326"/>
      <c r="AP3" s="1326"/>
      <c r="AQ3" s="1326"/>
      <c r="AR3" s="1326"/>
      <c r="AS3" s="1327"/>
      <c r="AT3" s="1322" t="s">
        <v>1975</v>
      </c>
      <c r="AU3" s="1323"/>
      <c r="AV3" s="1323"/>
      <c r="AW3" s="1323"/>
      <c r="AX3" s="1323"/>
      <c r="AY3" s="1323"/>
      <c r="AZ3" s="1323"/>
      <c r="BA3" s="1323"/>
      <c r="BB3" s="1323"/>
      <c r="BC3" s="1323"/>
      <c r="BD3" s="1323"/>
      <c r="BE3" s="1324"/>
      <c r="BH3" s="276"/>
      <c r="BI3" s="276"/>
      <c r="BJ3" s="276"/>
      <c r="BK3" s="276"/>
      <c r="BL3" s="276"/>
      <c r="BM3" s="276"/>
      <c r="BN3" s="276"/>
    </row>
    <row r="4" spans="2:66" ht="29.25" customHeight="1" x14ac:dyDescent="0.25">
      <c r="J4" s="1314" t="s">
        <v>1973</v>
      </c>
      <c r="K4" s="1315"/>
      <c r="L4" s="1315"/>
      <c r="M4" s="1315"/>
      <c r="N4" s="1315"/>
      <c r="O4" s="1316"/>
      <c r="P4" s="1317" t="s">
        <v>1974</v>
      </c>
      <c r="Q4" s="1318"/>
      <c r="R4" s="1318"/>
      <c r="S4" s="1318"/>
      <c r="T4" s="1318"/>
      <c r="U4" s="1319"/>
      <c r="V4" s="1315" t="s">
        <v>1973</v>
      </c>
      <c r="W4" s="1315"/>
      <c r="X4" s="1315"/>
      <c r="Y4" s="1315"/>
      <c r="Z4" s="1315"/>
      <c r="AA4" s="1316"/>
      <c r="AB4" s="1317" t="s">
        <v>1974</v>
      </c>
      <c r="AC4" s="1318"/>
      <c r="AD4" s="1318"/>
      <c r="AE4" s="1318"/>
      <c r="AF4" s="1318"/>
      <c r="AG4" s="1319"/>
      <c r="AH4" s="1314" t="s">
        <v>1973</v>
      </c>
      <c r="AI4" s="1315"/>
      <c r="AJ4" s="1315"/>
      <c r="AK4" s="1315"/>
      <c r="AL4" s="1315"/>
      <c r="AM4" s="1316"/>
      <c r="AN4" s="1317" t="s">
        <v>1974</v>
      </c>
      <c r="AO4" s="1318"/>
      <c r="AP4" s="1318"/>
      <c r="AQ4" s="1318"/>
      <c r="AR4" s="1318"/>
      <c r="AS4" s="1319"/>
      <c r="AT4" s="1315" t="s">
        <v>1973</v>
      </c>
      <c r="AU4" s="1315"/>
      <c r="AV4" s="1315"/>
      <c r="AW4" s="1315"/>
      <c r="AX4" s="1315"/>
      <c r="AY4" s="1316"/>
      <c r="AZ4" s="1317" t="s">
        <v>1974</v>
      </c>
      <c r="BA4" s="1318"/>
      <c r="BB4" s="1318"/>
      <c r="BC4" s="1318"/>
      <c r="BD4" s="1318"/>
      <c r="BE4" s="1321"/>
    </row>
    <row r="5" spans="2:66" ht="15.75" thickBot="1" x14ac:dyDescent="0.3">
      <c r="J5" s="1309" t="s">
        <v>1136</v>
      </c>
      <c r="K5" s="1307"/>
      <c r="L5" s="1307" t="s">
        <v>1137</v>
      </c>
      <c r="M5" s="1307"/>
      <c r="N5" s="1307" t="s">
        <v>1138</v>
      </c>
      <c r="O5" s="1308"/>
      <c r="P5" s="1310" t="s">
        <v>1136</v>
      </c>
      <c r="Q5" s="1307"/>
      <c r="R5" s="1307" t="s">
        <v>1137</v>
      </c>
      <c r="S5" s="1307"/>
      <c r="T5" s="1307" t="s">
        <v>1138</v>
      </c>
      <c r="U5" s="1308"/>
      <c r="V5" s="1310" t="s">
        <v>1136</v>
      </c>
      <c r="W5" s="1307"/>
      <c r="X5" s="1307" t="s">
        <v>1137</v>
      </c>
      <c r="Y5" s="1307"/>
      <c r="Z5" s="1307" t="s">
        <v>1138</v>
      </c>
      <c r="AA5" s="1308"/>
      <c r="AB5" s="1307" t="s">
        <v>1136</v>
      </c>
      <c r="AC5" s="1307"/>
      <c r="AD5" s="1307" t="s">
        <v>1137</v>
      </c>
      <c r="AE5" s="1307"/>
      <c r="AF5" s="1307" t="s">
        <v>1138</v>
      </c>
      <c r="AG5" s="1320"/>
      <c r="AH5" s="1309" t="s">
        <v>1136</v>
      </c>
      <c r="AI5" s="1307"/>
      <c r="AJ5" s="1307" t="s">
        <v>1137</v>
      </c>
      <c r="AK5" s="1307"/>
      <c r="AL5" s="1307" t="s">
        <v>1138</v>
      </c>
      <c r="AM5" s="1308"/>
      <c r="AN5" s="1310" t="s">
        <v>1136</v>
      </c>
      <c r="AO5" s="1307"/>
      <c r="AP5" s="1307" t="s">
        <v>1137</v>
      </c>
      <c r="AQ5" s="1307"/>
      <c r="AR5" s="1307" t="s">
        <v>1138</v>
      </c>
      <c r="AS5" s="1308"/>
      <c r="AT5" s="1307" t="s">
        <v>1136</v>
      </c>
      <c r="AU5" s="1307"/>
      <c r="AV5" s="1307" t="s">
        <v>1137</v>
      </c>
      <c r="AW5" s="1307"/>
      <c r="AX5" s="1307" t="s">
        <v>1138</v>
      </c>
      <c r="AY5" s="1308"/>
      <c r="AZ5" s="1310" t="s">
        <v>1136</v>
      </c>
      <c r="BA5" s="1307"/>
      <c r="BB5" s="1307" t="s">
        <v>1137</v>
      </c>
      <c r="BC5" s="1307"/>
      <c r="BD5" s="1307" t="s">
        <v>1138</v>
      </c>
      <c r="BE5" s="1320"/>
    </row>
    <row r="6" spans="2:66" x14ac:dyDescent="0.25">
      <c r="B6" s="335" t="s">
        <v>1076</v>
      </c>
      <c r="C6" s="328" t="s">
        <v>1964</v>
      </c>
      <c r="D6" s="325" t="s">
        <v>1127</v>
      </c>
      <c r="E6" s="326" t="s">
        <v>1965</v>
      </c>
      <c r="F6" s="327" t="s">
        <v>1966</v>
      </c>
      <c r="G6" s="328" t="s">
        <v>1967</v>
      </c>
      <c r="H6" s="335" t="s">
        <v>1968</v>
      </c>
      <c r="I6" s="328" t="s">
        <v>1969</v>
      </c>
      <c r="J6" s="314" t="s">
        <v>1134</v>
      </c>
      <c r="K6" s="274" t="s">
        <v>1135</v>
      </c>
      <c r="L6" s="278" t="s">
        <v>1134</v>
      </c>
      <c r="M6" s="274" t="s">
        <v>1135</v>
      </c>
      <c r="N6" s="278" t="s">
        <v>1134</v>
      </c>
      <c r="O6" s="274" t="s">
        <v>1135</v>
      </c>
      <c r="P6" s="273" t="s">
        <v>1134</v>
      </c>
      <c r="Q6" s="274" t="s">
        <v>1135</v>
      </c>
      <c r="R6" s="278" t="s">
        <v>1134</v>
      </c>
      <c r="S6" s="274" t="s">
        <v>1135</v>
      </c>
      <c r="T6" s="278" t="s">
        <v>1134</v>
      </c>
      <c r="U6" s="274" t="s">
        <v>1135</v>
      </c>
      <c r="V6" s="280" t="s">
        <v>1134</v>
      </c>
      <c r="W6" s="281" t="s">
        <v>1135</v>
      </c>
      <c r="X6" s="282" t="s">
        <v>1134</v>
      </c>
      <c r="Y6" s="281" t="s">
        <v>1135</v>
      </c>
      <c r="Z6" s="282" t="s">
        <v>1134</v>
      </c>
      <c r="AA6" s="281" t="s">
        <v>1135</v>
      </c>
      <c r="AB6" s="282" t="s">
        <v>1134</v>
      </c>
      <c r="AC6" s="281" t="s">
        <v>1135</v>
      </c>
      <c r="AD6" s="282" t="s">
        <v>1134</v>
      </c>
      <c r="AE6" s="281" t="s">
        <v>1135</v>
      </c>
      <c r="AF6" s="282" t="s">
        <v>1134</v>
      </c>
      <c r="AG6" s="315" t="s">
        <v>1135</v>
      </c>
      <c r="AH6" s="314" t="s">
        <v>1134</v>
      </c>
      <c r="AI6" s="274" t="s">
        <v>1135</v>
      </c>
      <c r="AJ6" s="278" t="s">
        <v>1134</v>
      </c>
      <c r="AK6" s="274" t="s">
        <v>1135</v>
      </c>
      <c r="AL6" s="278" t="s">
        <v>1134</v>
      </c>
      <c r="AM6" s="274" t="s">
        <v>1135</v>
      </c>
      <c r="AN6" s="273" t="s">
        <v>1134</v>
      </c>
      <c r="AO6" s="274" t="s">
        <v>1135</v>
      </c>
      <c r="AP6" s="278" t="s">
        <v>1134</v>
      </c>
      <c r="AQ6" s="274" t="s">
        <v>1135</v>
      </c>
      <c r="AR6" s="278" t="s">
        <v>1134</v>
      </c>
      <c r="AS6" s="274" t="s">
        <v>1135</v>
      </c>
      <c r="AT6" s="282" t="s">
        <v>1134</v>
      </c>
      <c r="AU6" s="281" t="s">
        <v>1135</v>
      </c>
      <c r="AV6" s="282" t="s">
        <v>1134</v>
      </c>
      <c r="AW6" s="281" t="s">
        <v>1135</v>
      </c>
      <c r="AX6" s="282" t="s">
        <v>1134</v>
      </c>
      <c r="AY6" s="281" t="s">
        <v>1135</v>
      </c>
      <c r="AZ6" s="280" t="s">
        <v>1134</v>
      </c>
      <c r="BA6" s="281" t="s">
        <v>1135</v>
      </c>
      <c r="BB6" s="282" t="s">
        <v>1134</v>
      </c>
      <c r="BC6" s="281" t="s">
        <v>1135</v>
      </c>
      <c r="BD6" s="282" t="s">
        <v>1134</v>
      </c>
      <c r="BE6" s="315" t="s">
        <v>1135</v>
      </c>
      <c r="BF6" s="272" t="s">
        <v>3</v>
      </c>
    </row>
    <row r="7" spans="2:66" x14ac:dyDescent="0.25">
      <c r="B7" s="126" t="s">
        <v>1078</v>
      </c>
      <c r="C7" s="340">
        <v>800</v>
      </c>
      <c r="D7" s="329">
        <f>'S2.1.2 Gas_sim'!AK4</f>
        <v>5422.2660500000002</v>
      </c>
      <c r="E7" s="270">
        <f>'S2.1.2 Gas_sim'!AL4</f>
        <v>298.79781760765547</v>
      </c>
      <c r="F7" s="95">
        <f>'S2.1.2 Gas_sim'!AM4</f>
        <v>1139.9762000000001</v>
      </c>
      <c r="G7" s="330">
        <f>'S2.1.2 Gas_sim'!AM4+'S2.1.2 Gas_sim'!AN4</f>
        <v>1278.30943</v>
      </c>
      <c r="H7" s="336">
        <f t="shared" ref="H7:H18" si="0">$D7-F7</f>
        <v>4282.2898500000001</v>
      </c>
      <c r="I7" s="337">
        <f t="shared" ref="I7:I18" si="1">$D7-G7</f>
        <v>4143.9566199999999</v>
      </c>
      <c r="J7" s="316">
        <f>$H7*'S2.5 energy supply scenarios'!$B$11/'S2.1.3 Gas_imp'!$C$22</f>
        <v>4282.2898500000001</v>
      </c>
      <c r="K7" s="96">
        <f>$I7*'S2.5 energy supply scenarios'!$B$11/'S2.1.3 Gas_imp'!$C$22</f>
        <v>4143.9566199999999</v>
      </c>
      <c r="L7" s="96">
        <f>$H7*'S2.5 energy supply scenarios'!$B$11/'S2.1.3 Gas_imp'!$D$22</f>
        <v>4746.4769940458109</v>
      </c>
      <c r="M7" s="96">
        <f>$I7*'S2.5 energy supply scenarios'!$B$11/'S2.1.3 Gas_imp'!$D$22</f>
        <v>4593.1488643053526</v>
      </c>
      <c r="N7" s="96">
        <f>$H7*'S2.5 energy supply scenarios'!$B$11/'S2.1.3 Gas_imp'!$E$22</f>
        <v>5323.5315601027623</v>
      </c>
      <c r="O7" s="97">
        <f>$I7*'S2.5 energy supply scenarios'!$B$11/'S2.1.3 Gas_imp'!$E$22</f>
        <v>5151.5625104794744</v>
      </c>
      <c r="P7" s="95">
        <f>J7*(1-'S2.1.3 Gas_imp'!$C$23)</f>
        <v>4068.1753574999998</v>
      </c>
      <c r="Q7" s="96">
        <f>K7*(1-'S2.1.3 Gas_imp'!$C$23)</f>
        <v>3936.7587889999995</v>
      </c>
      <c r="R7" s="96">
        <f>L7*(1-'S2.1.3 Gas_imp'!$C$23)</f>
        <v>4509.1531443435206</v>
      </c>
      <c r="S7" s="96">
        <f>M7*(1-'S2.1.3 Gas_imp'!$C$23)</f>
        <v>4363.4914210900852</v>
      </c>
      <c r="T7" s="96">
        <f>N7*(1-'S2.1.3 Gas_imp'!$C$23)</f>
        <v>5057.3549820976241</v>
      </c>
      <c r="U7" s="97">
        <f>O7*(1-'S2.1.3 Gas_imp'!$C$23)</f>
        <v>4893.9843849555009</v>
      </c>
      <c r="V7" s="275">
        <f>J7/1000*'S2.5 energy supply scenarios'!$B$6</f>
        <v>1.1632839247000482</v>
      </c>
      <c r="W7" s="277">
        <f>K7/1000*'S2.5 energy supply scenarios'!$B$6</f>
        <v>1.1257057064225453</v>
      </c>
      <c r="X7" s="277">
        <f>L7/1000*'S2.5 energy supply scenarios'!$B$6</f>
        <v>1.2893803501255519</v>
      </c>
      <c r="Y7" s="277">
        <f>M7/1000*'S2.5 energy supply scenarios'!$B$6</f>
        <v>1.2477287677294193</v>
      </c>
      <c r="Z7" s="277">
        <f>N7/1000*'S2.5 energy supply scenarios'!$B$6</f>
        <v>1.4461372077606824</v>
      </c>
      <c r="AA7" s="734">
        <f>O7/1000*'S2.5 energy supply scenarios'!$B$6</f>
        <v>1.3994218199704991</v>
      </c>
      <c r="AB7" s="277">
        <f>P7/1000*'S2.5 energy supply scenarios'!$B$6+$C$25</f>
        <v>1.2570623064650457</v>
      </c>
      <c r="AC7" s="277">
        <f>Q7/1000*'S2.5 energy supply scenarios'!$B$6+$C$25</f>
        <v>1.2213629991014181</v>
      </c>
      <c r="AD7" s="277">
        <f>R7/1000*'S2.5 energy supply scenarios'!$B$6+$C$25</f>
        <v>1.3768539106192748</v>
      </c>
      <c r="AE7" s="277">
        <f>S7/1000*'S2.5 energy supply scenarios'!$B$6+$C$25</f>
        <v>1.3372849073429485</v>
      </c>
      <c r="AF7" s="277">
        <f>T7/1000*'S2.5 energy supply scenarios'!$B$6+$C$25</f>
        <v>1.5257729253726482</v>
      </c>
      <c r="AG7" s="317">
        <f>U7/1000*'S2.5 energy supply scenarios'!$B$6+$C$25</f>
        <v>1.4813933069719745</v>
      </c>
      <c r="AH7" s="316">
        <f>$H7/'S2.1.3 Gas_imp'!$F$22</f>
        <v>4758.0998333333337</v>
      </c>
      <c r="AI7" s="96">
        <f>$I7/'S2.1.3 Gas_imp'!$F$22</f>
        <v>4604.3962444444442</v>
      </c>
      <c r="AJ7" s="96">
        <f>$H7/'S2.1.3 Gas_imp'!$G$22</f>
        <v>6117.5569285714291</v>
      </c>
      <c r="AK7" s="96">
        <f>$I7/'S2.1.3 Gas_imp'!$G$22</f>
        <v>5919.9380285714287</v>
      </c>
      <c r="AL7" s="96">
        <f>$H7/'S2.1.3 Gas_imp'!$H$22</f>
        <v>8564.5797000000002</v>
      </c>
      <c r="AM7" s="96">
        <f>$I7/'S2.1.3 Gas_imp'!$H$22</f>
        <v>8287.9132399999999</v>
      </c>
      <c r="AN7" s="95">
        <f>AH7*(1-'S2.1.3 Gas_imp'!$C$23)</f>
        <v>4520.1948416666664</v>
      </c>
      <c r="AO7" s="96">
        <f>AI7*(1-'S2.1.3 Gas_imp'!$C$23)</f>
        <v>4374.1764322222216</v>
      </c>
      <c r="AP7" s="96">
        <f>AJ7*(1-'S2.1.3 Gas_imp'!$C$23)</f>
        <v>5811.6790821428576</v>
      </c>
      <c r="AQ7" s="96">
        <f>AK7*(1-'S2.1.3 Gas_imp'!$C$23)</f>
        <v>5623.9411271428571</v>
      </c>
      <c r="AR7" s="96">
        <f>AL7*(1-'S2.1.3 Gas_imp'!$C$23)</f>
        <v>8136.3507149999996</v>
      </c>
      <c r="AS7" s="97">
        <f>AM7*(1-'S2.1.3 Gas_imp'!$C$23)</f>
        <v>7873.517577999999</v>
      </c>
      <c r="AT7" s="277">
        <f>AH7/1000*'S2.5 energy supply scenarios'!$B$36</f>
        <v>0.29008250519915246</v>
      </c>
      <c r="AU7" s="277">
        <f>AI7/1000*'S2.5 energy supply scenarios'!$B$36</f>
        <v>0.28071180603671936</v>
      </c>
      <c r="AV7" s="277">
        <f>AJ7/1000*'S2.5 energy supply scenarios'!$B$36</f>
        <v>0.3729632209703389</v>
      </c>
      <c r="AW7" s="277">
        <f>AK7/1000*'S2.5 energy supply scenarios'!$B$36</f>
        <v>0.36091517919006783</v>
      </c>
      <c r="AX7" s="277">
        <f>AL7/1000*'S2.5 energy supply scenarios'!$B$36</f>
        <v>0.52214850935847434</v>
      </c>
      <c r="AY7" s="733">
        <f>AM7/1000*'S2.5 energy supply scenarios'!$B$36</f>
        <v>0.50528125086609488</v>
      </c>
      <c r="AZ7" s="277">
        <f>AN7/1000*'S2.5 energy supply scenarios'!$B$36+$F$25</f>
        <v>0.42752095793919487</v>
      </c>
      <c r="BA7" s="277">
        <f>AO7/1000*'S2.5 energy supply scenarios'!$B$36+$F$25</f>
        <v>0.41861879373488342</v>
      </c>
      <c r="BB7" s="277">
        <f>AP7/1000*'S2.5 energy supply scenarios'!$B$36+$F$25</f>
        <v>0.50625763792182199</v>
      </c>
      <c r="BC7" s="277">
        <f>AQ7/1000*'S2.5 energy supply scenarios'!$B$36+$F$25</f>
        <v>0.49481199823056443</v>
      </c>
      <c r="BD7" s="277">
        <f>AR7/1000*'S2.5 energy supply scenarios'!$B$36+$F$25</f>
        <v>0.64798366189055068</v>
      </c>
      <c r="BE7" s="317">
        <f>AS7/1000*'S2.5 energy supply scenarios'!$B$36+$F$25</f>
        <v>0.63195976632279016</v>
      </c>
    </row>
    <row r="8" spans="2:66" x14ac:dyDescent="0.25">
      <c r="B8" s="126" t="s">
        <v>1078</v>
      </c>
      <c r="C8" s="340">
        <v>900</v>
      </c>
      <c r="D8" s="331">
        <f>'S2.1.2 Gas_sim'!AK14</f>
        <v>5776.05537</v>
      </c>
      <c r="E8" s="271">
        <f>'S2.1.2 Gas_sim'!AL14</f>
        <v>302.42286430622011</v>
      </c>
      <c r="F8" s="95">
        <f>'S2.1.2 Gas_sim'!AM14</f>
        <v>1358.89177</v>
      </c>
      <c r="G8" s="330">
        <f>'S2.1.2 Gas_sim'!AM14+'S2.1.2 Gas_sim'!AN14</f>
        <v>1498.6215379999999</v>
      </c>
      <c r="H8" s="336">
        <f t="shared" si="0"/>
        <v>4417.1635999999999</v>
      </c>
      <c r="I8" s="337">
        <f t="shared" si="1"/>
        <v>4277.4338320000006</v>
      </c>
      <c r="J8" s="316">
        <f>$H8*'S2.5 energy supply scenarios'!$B$11/'S2.1.3 Gas_imp'!$C$22</f>
        <v>4417.1635999999999</v>
      </c>
      <c r="K8" s="96">
        <f>$I8*'S2.5 energy supply scenarios'!$B$11/'S2.1.3 Gas_imp'!$C$22</f>
        <v>4277.4338320000006</v>
      </c>
      <c r="L8" s="96">
        <f>$H8*'S2.5 energy supply scenarios'!$B$11/'S2.1.3 Gas_imp'!$D$22</f>
        <v>4895.9706467175665</v>
      </c>
      <c r="M8" s="96">
        <f>$I8*'S2.5 energy supply scenarios'!$B$11/'S2.1.3 Gas_imp'!$D$22</f>
        <v>4741.094598522147</v>
      </c>
      <c r="N8" s="96">
        <f>$H8*'S2.5 energy supply scenarios'!$B$11/'S2.1.3 Gas_imp'!$E$22</f>
        <v>5491.1999547945443</v>
      </c>
      <c r="O8" s="97">
        <f>$I8*'S2.5 energy supply scenarios'!$B$11/'S2.1.3 Gas_imp'!$E$22</f>
        <v>5317.4947980000234</v>
      </c>
      <c r="P8" s="95">
        <f>J8*(1-'S2.1.3 Gas_imp'!$C$23)</f>
        <v>4196.3054199999997</v>
      </c>
      <c r="Q8" s="96">
        <f>K8*(1-'S2.1.3 Gas_imp'!$C$23)</f>
        <v>4063.5621404000003</v>
      </c>
      <c r="R8" s="96">
        <f>L8*(1-'S2.1.3 Gas_imp'!$C$23)</f>
        <v>4651.1721143816876</v>
      </c>
      <c r="S8" s="96">
        <f>M8*(1-'S2.1.3 Gas_imp'!$C$23)</f>
        <v>4504.039868596039</v>
      </c>
      <c r="T8" s="96">
        <f>N8*(1-'S2.1.3 Gas_imp'!$C$23)</f>
        <v>5216.6399570548165</v>
      </c>
      <c r="U8" s="97">
        <f>O8*(1-'S2.1.3 Gas_imp'!$C$23)</f>
        <v>5051.6200581000221</v>
      </c>
      <c r="V8" s="275">
        <f>J8/1000*'S2.5 energy supply scenarios'!$B$6</f>
        <v>1.1999223753268813</v>
      </c>
      <c r="W8" s="277">
        <f>K8/1000*'S2.5 energy supply scenarios'!$B$6</f>
        <v>1.1619647875385473</v>
      </c>
      <c r="X8" s="277">
        <f>L8/1000*'S2.5 energy supply scenarios'!$B$6</f>
        <v>1.3299902969272022</v>
      </c>
      <c r="Y8" s="277">
        <f>M8/1000*'S2.5 energy supply scenarios'!$B$6</f>
        <v>1.2879182225236441</v>
      </c>
      <c r="Z8" s="277">
        <f>N8/1000*'S2.5 energy supply scenarios'!$B$6</f>
        <v>1.4916843227522594</v>
      </c>
      <c r="AA8" s="734">
        <f>O8/1000*'S2.5 energy supply scenarios'!$B$6</f>
        <v>1.4444973214948438</v>
      </c>
      <c r="AB8" s="277">
        <f>P8/1000*'S2.5 energy supply scenarios'!$B$6+$C$25</f>
        <v>1.2918688345605371</v>
      </c>
      <c r="AC8" s="277">
        <f>Q8/1000*'S2.5 energy supply scenarios'!$B$6+$C$25</f>
        <v>1.2558091261616198</v>
      </c>
      <c r="AD8" s="277">
        <f>R8/1000*'S2.5 energy supply scenarios'!$B$6+$C$25</f>
        <v>1.415433360080842</v>
      </c>
      <c r="AE8" s="277">
        <f>S8/1000*'S2.5 energy supply scenarios'!$B$6+$C$25</f>
        <v>1.3754648893974617</v>
      </c>
      <c r="AF8" s="277">
        <f>T8/1000*'S2.5 energy supply scenarios'!$B$6+$C$25</f>
        <v>1.5690426846146464</v>
      </c>
      <c r="AG8" s="317">
        <f>U8/1000*'S2.5 energy supply scenarios'!$B$6+$C$25</f>
        <v>1.5242150334201019</v>
      </c>
      <c r="AH8" s="316">
        <f>$H8/'S2.1.3 Gas_imp'!$F$22</f>
        <v>4907.9595555555552</v>
      </c>
      <c r="AI8" s="96">
        <f>$I8/'S2.1.3 Gas_imp'!$F$22</f>
        <v>4752.7042577777784</v>
      </c>
      <c r="AJ8" s="96">
        <f>$H8/'S2.1.3 Gas_imp'!$G$22</f>
        <v>6310.2337142857141</v>
      </c>
      <c r="AK8" s="96">
        <f>$I8/'S2.1.3 Gas_imp'!$G$22</f>
        <v>6110.6197600000014</v>
      </c>
      <c r="AL8" s="96">
        <f>$H8/'S2.1.3 Gas_imp'!$H$22</f>
        <v>8834.3271999999997</v>
      </c>
      <c r="AM8" s="96">
        <f>$I8/'S2.1.3 Gas_imp'!$H$22</f>
        <v>8554.8676640000012</v>
      </c>
      <c r="AN8" s="95">
        <f>AH8*(1-'S2.1.3 Gas_imp'!$C$23)</f>
        <v>4662.5615777777775</v>
      </c>
      <c r="AO8" s="96">
        <f>AI8*(1-'S2.1.3 Gas_imp'!$C$23)</f>
        <v>4515.069044888889</v>
      </c>
      <c r="AP8" s="96">
        <f>AJ8*(1-'S2.1.3 Gas_imp'!$C$23)</f>
        <v>5994.7220285714284</v>
      </c>
      <c r="AQ8" s="96">
        <f>AK8*(1-'S2.1.3 Gas_imp'!$C$23)</f>
        <v>5805.088772000001</v>
      </c>
      <c r="AR8" s="96">
        <f>AL8*(1-'S2.1.3 Gas_imp'!$C$23)</f>
        <v>8392.6108399999994</v>
      </c>
      <c r="AS8" s="97">
        <f>AM8*(1-'S2.1.3 Gas_imp'!$C$23)</f>
        <v>8127.1242808000006</v>
      </c>
      <c r="AT8" s="277">
        <f>AH8/1000*'S2.5 energy supply scenarios'!$B$36</f>
        <v>0.29921885903227846</v>
      </c>
      <c r="AU8" s="277">
        <f>AI8/1000*'S2.5 energy supply scenarios'!$B$36</f>
        <v>0.28975355832351485</v>
      </c>
      <c r="AV8" s="277">
        <f>AJ8/1000*'S2.5 energy supply scenarios'!$B$36</f>
        <v>0.38470996161292947</v>
      </c>
      <c r="AW8" s="277">
        <f>AK8/1000*'S2.5 energy supply scenarios'!$B$36</f>
        <v>0.37254028927309057</v>
      </c>
      <c r="AX8" s="277">
        <f>AL8/1000*'S2.5 energy supply scenarios'!$B$36</f>
        <v>0.53859394625810131</v>
      </c>
      <c r="AY8" s="734">
        <f>AM8/1000*'S2.5 energy supply scenarios'!$B$36</f>
        <v>0.5215564049823268</v>
      </c>
      <c r="AZ8" s="277">
        <f>AN8/1000*'S2.5 energy supply scenarios'!$B$36+$F$25</f>
        <v>0.43620049408066452</v>
      </c>
      <c r="BA8" s="277">
        <f>AO8/1000*'S2.5 energy supply scenarios'!$B$36+$F$25</f>
        <v>0.42720845840733912</v>
      </c>
      <c r="BB8" s="277">
        <f>AP8/1000*'S2.5 energy supply scenarios'!$B$36+$F$25</f>
        <v>0.51741704153228296</v>
      </c>
      <c r="BC8" s="277">
        <f>AQ8/1000*'S2.5 energy supply scenarios'!$B$36+$F$25</f>
        <v>0.50585585280943612</v>
      </c>
      <c r="BD8" s="277">
        <f>AR8/1000*'S2.5 energy supply scenarios'!$B$36+$F$25</f>
        <v>0.66360682694519613</v>
      </c>
      <c r="BE8" s="317">
        <f>AS8/1000*'S2.5 energy supply scenarios'!$B$36+$F$25</f>
        <v>0.64742116273321038</v>
      </c>
    </row>
    <row r="9" spans="2:66" x14ac:dyDescent="0.25">
      <c r="B9" s="126" t="s">
        <v>1078</v>
      </c>
      <c r="C9" s="340">
        <v>1000</v>
      </c>
      <c r="D9" s="331">
        <f>'S2.1.2 Gas_sim'!AK23</f>
        <v>5991.5440200000003</v>
      </c>
      <c r="E9" s="271">
        <f>'S2.1.2 Gas_sim'!AL23</f>
        <v>302.73665511961724</v>
      </c>
      <c r="F9" s="95">
        <f>'S2.1.2 Gas_sim'!AM23</f>
        <v>1554.26406</v>
      </c>
      <c r="G9" s="330">
        <f>'S2.1.2 Gas_sim'!AM23+'S2.1.2 Gas_sim'!AN23</f>
        <v>1694.0875719999999</v>
      </c>
      <c r="H9" s="336">
        <f t="shared" si="0"/>
        <v>4437.2799599999998</v>
      </c>
      <c r="I9" s="337">
        <f t="shared" si="1"/>
        <v>4297.4564480000008</v>
      </c>
      <c r="J9" s="316">
        <f>$H9*'S2.5 energy supply scenarios'!$B$11/'S2.1.3 Gas_imp'!$C$22</f>
        <v>4437.2799599999998</v>
      </c>
      <c r="K9" s="96">
        <f>$I9*'S2.5 energy supply scenarios'!$B$11/'S2.1.3 Gas_imp'!$C$22</f>
        <v>4297.4564480000008</v>
      </c>
      <c r="L9" s="96">
        <f>$H9*'S2.5 energy supply scenarios'!$B$11/'S2.1.3 Gas_imp'!$D$22</f>
        <v>4918.2675587175663</v>
      </c>
      <c r="M9" s="96">
        <f>$I9*'S2.5 energy supply scenarios'!$B$11/'S2.1.3 Gas_imp'!$D$22</f>
        <v>4763.2876049587885</v>
      </c>
      <c r="N9" s="96">
        <f>$H9*'S2.5 energy supply scenarios'!$B$11/'S2.1.3 Gas_imp'!$E$22</f>
        <v>5516.2076215068728</v>
      </c>
      <c r="O9" s="97">
        <f>$I9*'S2.5 energy supply scenarios'!$B$11/'S2.1.3 Gas_imp'!$E$22</f>
        <v>5342.3859267945445</v>
      </c>
      <c r="P9" s="95">
        <f>J9*(1-'S2.1.3 Gas_imp'!$C$23)</f>
        <v>4215.415962</v>
      </c>
      <c r="Q9" s="96">
        <f>K9*(1-'S2.1.3 Gas_imp'!$C$23)</f>
        <v>4082.5836256000007</v>
      </c>
      <c r="R9" s="96">
        <f>L9*(1-'S2.1.3 Gas_imp'!$C$23)</f>
        <v>4672.3541807816882</v>
      </c>
      <c r="S9" s="96">
        <f>M9*(1-'S2.1.3 Gas_imp'!$C$23)</f>
        <v>4525.1232247108492</v>
      </c>
      <c r="T9" s="96">
        <f>N9*(1-'S2.1.3 Gas_imp'!$C$23)</f>
        <v>5240.3972404315291</v>
      </c>
      <c r="U9" s="97">
        <f>O9*(1-'S2.1.3 Gas_imp'!$C$23)</f>
        <v>5075.2666304548175</v>
      </c>
      <c r="V9" s="275">
        <f>J9/1000*'S2.5 energy supply scenarios'!$B$6</f>
        <v>1.205386983989809</v>
      </c>
      <c r="W9" s="277">
        <f>K9/1000*'S2.5 energy supply scenarios'!$B$6</f>
        <v>1.1674039306463502</v>
      </c>
      <c r="X9" s="277">
        <f>L9/1000*'S2.5 energy supply scenarios'!$B$6</f>
        <v>1.3360472524833635</v>
      </c>
      <c r="Y9" s="277">
        <f>M9/1000*'S2.5 energy supply scenarios'!$B$6</f>
        <v>1.2939469521362623</v>
      </c>
      <c r="Z9" s="277">
        <f>N9/1000*'S2.5 energy supply scenarios'!$B$6</f>
        <v>1.4984776547544612</v>
      </c>
      <c r="AA9" s="734">
        <f>O9/1000*'S2.5 energy supply scenarios'!$B$6</f>
        <v>1.4512589959747497</v>
      </c>
      <c r="AB9" s="277">
        <f>P9/1000*'S2.5 energy supply scenarios'!$B$6+$C$25</f>
        <v>1.2970602127903188</v>
      </c>
      <c r="AC9" s="277">
        <f>Q9/1000*'S2.5 energy supply scenarios'!$B$6+$C$25</f>
        <v>1.2609763121140327</v>
      </c>
      <c r="AD9" s="277">
        <f>R9/1000*'S2.5 energy supply scenarios'!$B$6+$C$25</f>
        <v>1.4211874678591956</v>
      </c>
      <c r="AE9" s="277">
        <f>S9/1000*'S2.5 energy supply scenarios'!$B$6+$C$25</f>
        <v>1.3811921825294493</v>
      </c>
      <c r="AF9" s="277">
        <f>T9/1000*'S2.5 energy supply scenarios'!$B$6+$C$25</f>
        <v>1.5754963500167378</v>
      </c>
      <c r="AG9" s="317">
        <f>U9/1000*'S2.5 energy supply scenarios'!$B$6+$C$25</f>
        <v>1.5306386241760124</v>
      </c>
      <c r="AH9" s="316">
        <f>$H9/'S2.1.3 Gas_imp'!$F$22</f>
        <v>4930.3110666666662</v>
      </c>
      <c r="AI9" s="96">
        <f>$I9/'S2.1.3 Gas_imp'!$F$22</f>
        <v>4774.9516088888895</v>
      </c>
      <c r="AJ9" s="96">
        <f>$H9/'S2.1.3 Gas_imp'!$G$22</f>
        <v>6338.9713714285717</v>
      </c>
      <c r="AK9" s="96">
        <f>$I9/'S2.1.3 Gas_imp'!$G$22</f>
        <v>6139.2234971428588</v>
      </c>
      <c r="AL9" s="96">
        <f>$H9/'S2.1.3 Gas_imp'!$H$22</f>
        <v>8874.5599199999997</v>
      </c>
      <c r="AM9" s="96">
        <f>$I9/'S2.1.3 Gas_imp'!$H$22</f>
        <v>8594.9128960000016</v>
      </c>
      <c r="AN9" s="95">
        <f>AH9*(1-'S2.1.3 Gas_imp'!$C$23)</f>
        <v>4683.7955133333326</v>
      </c>
      <c r="AO9" s="96">
        <f>AI9*(1-'S2.1.3 Gas_imp'!$C$23)</f>
        <v>4536.2040284444447</v>
      </c>
      <c r="AP9" s="96">
        <f>AJ9*(1-'S2.1.3 Gas_imp'!$C$23)</f>
        <v>6022.0228028571428</v>
      </c>
      <c r="AQ9" s="96">
        <f>AK9*(1-'S2.1.3 Gas_imp'!$C$23)</f>
        <v>5832.2623222857155</v>
      </c>
      <c r="AR9" s="96">
        <f>AL9*(1-'S2.1.3 Gas_imp'!$C$23)</f>
        <v>8430.8319240000001</v>
      </c>
      <c r="AS9" s="97">
        <f>AM9*(1-'S2.1.3 Gas_imp'!$C$23)</f>
        <v>8165.1672512000014</v>
      </c>
      <c r="AT9" s="277">
        <f>AH9/1000*'S2.5 energy supply scenarios'!$B$36</f>
        <v>0.30058154215478783</v>
      </c>
      <c r="AU9" s="277">
        <f>AI9/1000*'S2.5 energy supply scenarios'!$B$36</f>
        <v>0.29110989122328823</v>
      </c>
      <c r="AV9" s="277">
        <f>AJ9/1000*'S2.5 energy supply scenarios'!$B$36</f>
        <v>0.38646198277044147</v>
      </c>
      <c r="AW9" s="277">
        <f>AK9/1000*'S2.5 energy supply scenarios'!$B$36</f>
        <v>0.3742841458585135</v>
      </c>
      <c r="AX9" s="277">
        <f>AL9/1000*'S2.5 energy supply scenarios'!$B$36</f>
        <v>0.54104677587861805</v>
      </c>
      <c r="AY9" s="734">
        <f>AM9/1000*'S2.5 energy supply scenarios'!$B$36</f>
        <v>0.52399780420191888</v>
      </c>
      <c r="AZ9" s="277">
        <f>AN9/1000*'S2.5 energy supply scenarios'!$B$36+$F$25</f>
        <v>0.43749504304704834</v>
      </c>
      <c r="BA9" s="277">
        <f>AO9/1000*'S2.5 energy supply scenarios'!$B$36+$F$25</f>
        <v>0.42849697466212389</v>
      </c>
      <c r="BB9" s="277">
        <f>AP9/1000*'S2.5 energy supply scenarios'!$B$36+$F$25</f>
        <v>0.51908146163191948</v>
      </c>
      <c r="BC9" s="277">
        <f>AQ9/1000*'S2.5 energy supply scenarios'!$B$36+$F$25</f>
        <v>0.50751251656558782</v>
      </c>
      <c r="BD9" s="277">
        <f>AR9/1000*'S2.5 energy supply scenarios'!$B$36+$F$25</f>
        <v>0.66593701508468717</v>
      </c>
      <c r="BE9" s="317">
        <f>AS9/1000*'S2.5 energy supply scenarios'!$B$36+$F$25</f>
        <v>0.64974049199182293</v>
      </c>
    </row>
    <row r="10" spans="2:66" x14ac:dyDescent="0.25">
      <c r="B10" s="126" t="s">
        <v>20</v>
      </c>
      <c r="C10" s="340">
        <v>800</v>
      </c>
      <c r="D10" s="331">
        <f>'S2.1.2 Gas_sim'!AK76</f>
        <v>2799.4980399999999</v>
      </c>
      <c r="E10" s="271">
        <f>'S2.1.2 Gas_sim'!AL76</f>
        <v>818.50276076555031</v>
      </c>
      <c r="F10" s="95">
        <f>'S2.1.2 Gas_sim'!AM76</f>
        <v>881.27253299999995</v>
      </c>
      <c r="G10" s="330">
        <f>'S2.1.2 Gas_sim'!AM76+'S2.1.2 Gas_sim'!AN76</f>
        <v>985.5494369999999</v>
      </c>
      <c r="H10" s="336">
        <f t="shared" si="0"/>
        <v>1918.2255070000001</v>
      </c>
      <c r="I10" s="337">
        <f t="shared" si="1"/>
        <v>1813.948603</v>
      </c>
      <c r="J10" s="316">
        <f>$H10*'S2.5 energy supply scenarios'!$B$11/'S2.1.3 Gas_imp'!$C$22</f>
        <v>1918.2255070000001</v>
      </c>
      <c r="K10" s="96">
        <f>$I10*'S2.5 energy supply scenarios'!$B$11/'S2.1.3 Gas_imp'!$C$22</f>
        <v>1813.948603</v>
      </c>
      <c r="L10" s="96">
        <f>$H10*'S2.5 energy supply scenarios'!$B$11/'S2.1.3 Gas_imp'!$D$22</f>
        <v>2126.1552947816836</v>
      </c>
      <c r="M10" s="96">
        <f>$I10*'S2.5 energy supply scenarios'!$B$11/'S2.1.3 Gas_imp'!$D$22</f>
        <v>2010.5750927908437</v>
      </c>
      <c r="N10" s="96">
        <f>$H10*'S2.5 energy supply scenarios'!$B$11/'S2.1.3 Gas_imp'!$E$22</f>
        <v>2384.6433528801472</v>
      </c>
      <c r="O10" s="97">
        <f>$I10*'S2.5 energy supply scenarios'!$B$11/'S2.1.3 Gas_imp'!$E$22</f>
        <v>2255.0114482500098</v>
      </c>
      <c r="P10" s="95">
        <f>J10*(1-'S2.1.3 Gas_imp'!$C$23)</f>
        <v>1822.31423165</v>
      </c>
      <c r="Q10" s="96">
        <f>K10*(1-'S2.1.3 Gas_imp'!$C$23)</f>
        <v>1723.2511728499999</v>
      </c>
      <c r="R10" s="96">
        <f>L10*(1-'S2.1.3 Gas_imp'!$C$23)</f>
        <v>2019.8475300425994</v>
      </c>
      <c r="S10" s="96">
        <f>M10*(1-'S2.1.3 Gas_imp'!$C$23)</f>
        <v>1910.0463381513014</v>
      </c>
      <c r="T10" s="96">
        <f>N10*(1-'S2.1.3 Gas_imp'!$C$23)</f>
        <v>2265.4111852361398</v>
      </c>
      <c r="U10" s="97">
        <f>O10*(1-'S2.1.3 Gas_imp'!$C$23)</f>
        <v>2142.260875837509</v>
      </c>
      <c r="V10" s="275">
        <f>J10/1000*'S2.5 energy supply scenarios'!$B$6</f>
        <v>0.5210859083353967</v>
      </c>
      <c r="W10" s="277">
        <f>K10/1000*'S2.5 energy supply scenarios'!$B$6</f>
        <v>0.49275909011670699</v>
      </c>
      <c r="X10" s="277">
        <f>L10/1000*'S2.5 energy supply scenarios'!$B$6</f>
        <v>0.57757002969694471</v>
      </c>
      <c r="Y10" s="277">
        <f>M10/1000*'S2.5 energy supply scenarios'!$B$6</f>
        <v>0.54617267087745036</v>
      </c>
      <c r="Z10" s="277">
        <f>N10/1000*'S2.5 energy supply scenarios'!$B$6</f>
        <v>0.64778830385530761</v>
      </c>
      <c r="AA10" s="734">
        <f>O10/1000*'S2.5 energy supply scenarios'!$B$6</f>
        <v>0.61257380038481302</v>
      </c>
      <c r="AB10" s="277">
        <f>P10/1000*'S2.5 energy supply scenarios'!$B$6+$C$25</f>
        <v>0.64697419091862685</v>
      </c>
      <c r="AC10" s="277">
        <f>Q10/1000*'S2.5 energy supply scenarios'!$B$6+$C$25</f>
        <v>0.62006371361087165</v>
      </c>
      <c r="AD10" s="277">
        <f>R10/1000*'S2.5 energy supply scenarios'!$B$6+$C$25</f>
        <v>0.70063410621209743</v>
      </c>
      <c r="AE10" s="277">
        <f>S10/1000*'S2.5 energy supply scenarios'!$B$6+$C$25</f>
        <v>0.67080661533357777</v>
      </c>
      <c r="AF10" s="277">
        <f>T10/1000*'S2.5 energy supply scenarios'!$B$6+$C$25</f>
        <v>0.7673414666625421</v>
      </c>
      <c r="AG10" s="317">
        <f>U10/1000*'S2.5 energy supply scenarios'!$B$6+$C$25</f>
        <v>0.73388768836557228</v>
      </c>
      <c r="AH10" s="316">
        <f>$H10/'S2.1.3 Gas_imp'!$F$22</f>
        <v>2131.3616744444444</v>
      </c>
      <c r="AI10" s="96">
        <f>$I10/'S2.1.3 Gas_imp'!$F$22</f>
        <v>2015.4984477777778</v>
      </c>
      <c r="AJ10" s="96">
        <f>$H10/'S2.1.3 Gas_imp'!$G$22</f>
        <v>2740.322152857143</v>
      </c>
      <c r="AK10" s="96">
        <f>$I10/'S2.1.3 Gas_imp'!$G$22</f>
        <v>2591.3551471428573</v>
      </c>
      <c r="AL10" s="96">
        <f>$H10/'S2.1.3 Gas_imp'!$H$22</f>
        <v>3836.4510140000002</v>
      </c>
      <c r="AM10" s="96">
        <f>$I10/'S2.1.3 Gas_imp'!$H$22</f>
        <v>3627.8972060000001</v>
      </c>
      <c r="AN10" s="95">
        <f>AH10*(1-'S2.1.3 Gas_imp'!$C$23)</f>
        <v>2024.793590722222</v>
      </c>
      <c r="AO10" s="96">
        <f>AI10*(1-'S2.1.3 Gas_imp'!$C$23)</f>
        <v>1914.7235253888887</v>
      </c>
      <c r="AP10" s="96">
        <f>AJ10*(1-'S2.1.3 Gas_imp'!$C$23)</f>
        <v>2603.3060452142859</v>
      </c>
      <c r="AQ10" s="96">
        <f>AK10*(1-'S2.1.3 Gas_imp'!$C$23)</f>
        <v>2461.7873897857144</v>
      </c>
      <c r="AR10" s="96">
        <f>AL10*(1-'S2.1.3 Gas_imp'!$C$23)</f>
        <v>3644.6284633</v>
      </c>
      <c r="AS10" s="97">
        <f>AM10*(1-'S2.1.3 Gas_imp'!$C$23)</f>
        <v>3446.5023456999998</v>
      </c>
      <c r="AT10" s="277">
        <f>AH10/1000*'S2.5 energy supply scenarios'!$B$36</f>
        <v>0.12994068129402178</v>
      </c>
      <c r="AU10" s="277">
        <f>AI10/1000*'S2.5 energy supply scenarios'!$B$36</f>
        <v>0.12287695917191191</v>
      </c>
      <c r="AV10" s="277">
        <f>AJ10/1000*'S2.5 energy supply scenarios'!$B$36</f>
        <v>0.16706659023517087</v>
      </c>
      <c r="AW10" s="277">
        <f>AK10/1000*'S2.5 energy supply scenarios'!$B$36</f>
        <v>0.15798466179245818</v>
      </c>
      <c r="AX10" s="277">
        <f>AL10/1000*'S2.5 energy supply scenarios'!$B$36</f>
        <v>0.23389322632923923</v>
      </c>
      <c r="AY10" s="734">
        <f>AM10/1000*'S2.5 energy supply scenarios'!$B$36</f>
        <v>0.22117852650944148</v>
      </c>
      <c r="AZ10" s="277">
        <f>AN10/1000*'S2.5 energy supply scenarios'!$B$36+$F$25</f>
        <v>0.27538622522932071</v>
      </c>
      <c r="BA10" s="277">
        <f>AO10/1000*'S2.5 energy supply scenarios'!$B$36+$F$25</f>
        <v>0.2686756892133163</v>
      </c>
      <c r="BB10" s="277">
        <f>AP10/1000*'S2.5 energy supply scenarios'!$B$36+$F$25</f>
        <v>0.31065583872341235</v>
      </c>
      <c r="BC10" s="277">
        <f>AQ10/1000*'S2.5 energy supply scenarios'!$B$36+$F$25</f>
        <v>0.30202800670283531</v>
      </c>
      <c r="BD10" s="277">
        <f>AR10/1000*'S2.5 energy supply scenarios'!$B$36+$F$25</f>
        <v>0.37414114301277729</v>
      </c>
      <c r="BE10" s="317">
        <f>AS10/1000*'S2.5 energy supply scenarios'!$B$36+$F$25</f>
        <v>0.36206217818396941</v>
      </c>
    </row>
    <row r="11" spans="2:66" x14ac:dyDescent="0.25">
      <c r="B11" s="126" t="s">
        <v>20</v>
      </c>
      <c r="C11" s="340">
        <v>900</v>
      </c>
      <c r="D11" s="331">
        <f>'S2.1.2 Gas_sim'!AK86</f>
        <v>2995.3162299999999</v>
      </c>
      <c r="E11" s="271">
        <f>'S2.1.2 Gas_sim'!AL86</f>
        <v>876.47408267942581</v>
      </c>
      <c r="F11" s="95">
        <f>'S2.1.2 Gas_sim'!AM86</f>
        <v>1045.03414</v>
      </c>
      <c r="G11" s="330">
        <f>'S2.1.2 Gas_sim'!AM86+'S2.1.2 Gas_sim'!AN86</f>
        <v>1148.9516020000001</v>
      </c>
      <c r="H11" s="336">
        <f t="shared" si="0"/>
        <v>1950.2820899999999</v>
      </c>
      <c r="I11" s="337">
        <f t="shared" si="1"/>
        <v>1846.3646279999998</v>
      </c>
      <c r="J11" s="316">
        <f>$H11*'S2.5 energy supply scenarios'!$B$11/'S2.1.3 Gas_imp'!$C$22</f>
        <v>1950.2820899999999</v>
      </c>
      <c r="K11" s="96">
        <f>$I11*'S2.5 energy supply scenarios'!$B$11/'S2.1.3 Gas_imp'!$C$22</f>
        <v>1846.3646279999998</v>
      </c>
      <c r="L11" s="96">
        <f>$H11*'S2.5 energy supply scenarios'!$B$11/'S2.1.3 Gas_imp'!$D$22</f>
        <v>2161.6867134961876</v>
      </c>
      <c r="M11" s="96">
        <f>$I11*'S2.5 energy supply scenarios'!$B$11/'S2.1.3 Gas_imp'!$D$22</f>
        <v>2046.5049159206144</v>
      </c>
      <c r="N11" s="96">
        <f>$H11*'S2.5 energy supply scenarios'!$B$11/'S2.1.3 Gas_imp'!$E$22</f>
        <v>2424.4945159931608</v>
      </c>
      <c r="O11" s="97">
        <f>$I11*'S2.5 energy supply scenarios'!$B$11/'S2.1.3 Gas_imp'!$E$22</f>
        <v>2295.3094519315164</v>
      </c>
      <c r="P11" s="95">
        <f>J11*(1-'S2.1.3 Gas_imp'!$C$23)</f>
        <v>1852.7679854999999</v>
      </c>
      <c r="Q11" s="96">
        <f>K11*(1-'S2.1.3 Gas_imp'!$C$23)</f>
        <v>1754.0463965999998</v>
      </c>
      <c r="R11" s="96">
        <f>L11*(1-'S2.1.3 Gas_imp'!$C$23)</f>
        <v>2053.602377821378</v>
      </c>
      <c r="S11" s="96">
        <f>M11*(1-'S2.1.3 Gas_imp'!$C$23)</f>
        <v>1944.1796701245835</v>
      </c>
      <c r="T11" s="96">
        <f>N11*(1-'S2.1.3 Gas_imp'!$C$23)</f>
        <v>2303.2697901935026</v>
      </c>
      <c r="U11" s="97">
        <f>O11*(1-'S2.1.3 Gas_imp'!$C$23)</f>
        <v>2180.5439793349406</v>
      </c>
      <c r="V11" s="275">
        <f>J11/1000*'S2.5 energy supply scenarios'!$B$6</f>
        <v>0.52979407826105285</v>
      </c>
      <c r="W11" s="277">
        <f>K11/1000*'S2.5 energy supply scenarios'!$B$6</f>
        <v>0.50156490245217389</v>
      </c>
      <c r="X11" s="277">
        <f>L11/1000*'S2.5 energy supply scenarios'!$B$6</f>
        <v>0.58722213865271022</v>
      </c>
      <c r="Y11" s="277">
        <f>M11/1000*'S2.5 energy supply scenarios'!$B$6</f>
        <v>0.5559330063821053</v>
      </c>
      <c r="Z11" s="277">
        <f>N11/1000*'S2.5 energy supply scenarios'!$B$6</f>
        <v>0.65861387126288695</v>
      </c>
      <c r="AA11" s="734">
        <f>O11/1000*'S2.5 energy supply scenarios'!$B$6</f>
        <v>0.62352075202102697</v>
      </c>
      <c r="AB11" s="277">
        <f>P11/1000*'S2.5 energy supply scenarios'!$B$6+$C$25</f>
        <v>0.65524695234800023</v>
      </c>
      <c r="AC11" s="277">
        <f>Q11/1000*'S2.5 energy supply scenarios'!$B$6+$C$25</f>
        <v>0.62842923532956518</v>
      </c>
      <c r="AD11" s="277">
        <f>R11/1000*'S2.5 energy supply scenarios'!$B$6+$C$25</f>
        <v>0.70980360972007461</v>
      </c>
      <c r="AE11" s="277">
        <f>S11/1000*'S2.5 energy supply scenarios'!$B$6+$C$25</f>
        <v>0.68007893406299991</v>
      </c>
      <c r="AF11" s="277">
        <f>T11/1000*'S2.5 energy supply scenarios'!$B$6+$C$25</f>
        <v>0.77762575569974257</v>
      </c>
      <c r="AG11" s="317">
        <f>U11/1000*'S2.5 energy supply scenarios'!$B$6+$C$25</f>
        <v>0.7442872924199756</v>
      </c>
      <c r="AH11" s="316">
        <f>$H11/'S2.1.3 Gas_imp'!$F$22</f>
        <v>2166.9800999999998</v>
      </c>
      <c r="AI11" s="96">
        <f>$I11/'S2.1.3 Gas_imp'!$F$22</f>
        <v>2051.5162533333332</v>
      </c>
      <c r="AJ11" s="96">
        <f>$H11/'S2.1.3 Gas_imp'!$G$22</f>
        <v>2786.1172714285717</v>
      </c>
      <c r="AK11" s="96">
        <f>$I11/'S2.1.3 Gas_imp'!$G$22</f>
        <v>2637.6637542857143</v>
      </c>
      <c r="AL11" s="96">
        <f>$H11/'S2.1.3 Gas_imp'!$H$22</f>
        <v>3900.5641799999999</v>
      </c>
      <c r="AM11" s="96">
        <f>$I11/'S2.1.3 Gas_imp'!$H$22</f>
        <v>3692.7292559999996</v>
      </c>
      <c r="AN11" s="95">
        <f>AH11*(1-'S2.1.3 Gas_imp'!$C$23)</f>
        <v>2058.6310949999997</v>
      </c>
      <c r="AO11" s="96">
        <f>AI11*(1-'S2.1.3 Gas_imp'!$C$23)</f>
        <v>1948.9404406666665</v>
      </c>
      <c r="AP11" s="96">
        <f>AJ11*(1-'S2.1.3 Gas_imp'!$C$23)</f>
        <v>2646.811407857143</v>
      </c>
      <c r="AQ11" s="96">
        <f>AK11*(1-'S2.1.3 Gas_imp'!$C$23)</f>
        <v>2505.7805665714286</v>
      </c>
      <c r="AR11" s="96">
        <f>AL11*(1-'S2.1.3 Gas_imp'!$C$23)</f>
        <v>3705.5359709999998</v>
      </c>
      <c r="AS11" s="97">
        <f>AM11*(1-'S2.1.3 Gas_imp'!$C$23)</f>
        <v>3508.0927931999995</v>
      </c>
      <c r="AT11" s="277">
        <f>AH11/1000*'S2.5 energy supply scenarios'!$B$36</f>
        <v>0.13211219565444382</v>
      </c>
      <c r="AU11" s="277">
        <f>AI11/1000*'S2.5 energy supply scenarios'!$B$36</f>
        <v>0.12507282214942578</v>
      </c>
      <c r="AV11" s="277">
        <f>AJ11/1000*'S2.5 energy supply scenarios'!$B$36</f>
        <v>0.16985853726999922</v>
      </c>
      <c r="AW11" s="277">
        <f>AK11/1000*'S2.5 energy supply scenarios'!$B$36</f>
        <v>0.16080791419211884</v>
      </c>
      <c r="AX11" s="277">
        <f>AL11/1000*'S2.5 energy supply scenarios'!$B$36</f>
        <v>0.23780195217799888</v>
      </c>
      <c r="AY11" s="734">
        <f>AM11/1000*'S2.5 energy supply scenarios'!$B$36</f>
        <v>0.22513107986896638</v>
      </c>
      <c r="AZ11" s="277">
        <f>AN11/1000*'S2.5 energy supply scenarios'!$B$36+$F$25</f>
        <v>0.27744916387172164</v>
      </c>
      <c r="BA11" s="277">
        <f>AO11/1000*'S2.5 energy supply scenarios'!$B$36+$F$25</f>
        <v>0.27076175904195449</v>
      </c>
      <c r="BB11" s="277">
        <f>AP11/1000*'S2.5 energy supply scenarios'!$B$36+$F$25</f>
        <v>0.31330818840649927</v>
      </c>
      <c r="BC11" s="277">
        <f>AQ11/1000*'S2.5 energy supply scenarios'!$B$36+$F$25</f>
        <v>0.3047100964825129</v>
      </c>
      <c r="BD11" s="277">
        <f>AR11/1000*'S2.5 energy supply scenarios'!$B$36+$F$25</f>
        <v>0.37785443256909895</v>
      </c>
      <c r="BE11" s="317">
        <f>AS11/1000*'S2.5 energy supply scenarios'!$B$36+$F$25</f>
        <v>0.36581710387551802</v>
      </c>
    </row>
    <row r="12" spans="2:66" x14ac:dyDescent="0.25">
      <c r="B12" s="126" t="s">
        <v>20</v>
      </c>
      <c r="C12" s="340">
        <v>1000</v>
      </c>
      <c r="D12" s="331">
        <f>'S2.1.2 Gas_sim'!AK95</f>
        <v>3164.72543</v>
      </c>
      <c r="E12" s="271">
        <f>'S2.1.2 Gas_sim'!AL95</f>
        <v>917.99785377990429</v>
      </c>
      <c r="F12" s="95">
        <f>'S2.1.2 Gas_sim'!AM95</f>
        <v>1194.8172999999999</v>
      </c>
      <c r="G12" s="330">
        <f>'S2.1.2 Gas_sim'!AM95+'S2.1.2 Gas_sim'!AN95</f>
        <v>1298.4469919999999</v>
      </c>
      <c r="H12" s="336">
        <f t="shared" si="0"/>
        <v>1969.90813</v>
      </c>
      <c r="I12" s="337">
        <f t="shared" si="1"/>
        <v>1866.2784380000001</v>
      </c>
      <c r="J12" s="316">
        <f>$H12*'S2.5 energy supply scenarios'!$B$11/'S2.1.3 Gas_imp'!$C$22</f>
        <v>1969.90813</v>
      </c>
      <c r="K12" s="96">
        <f>$I12*'S2.5 energy supply scenarios'!$B$11/'S2.1.3 Gas_imp'!$C$22</f>
        <v>1866.2784380000001</v>
      </c>
      <c r="L12" s="96">
        <f>$H12*'S2.5 energy supply scenarios'!$B$11/'S2.1.3 Gas_imp'!$D$22</f>
        <v>2183.440156305348</v>
      </c>
      <c r="M12" s="96">
        <f>$I12*'S2.5 energy supply scenarios'!$B$11/'S2.1.3 Gas_imp'!$D$22</f>
        <v>2068.577322119088</v>
      </c>
      <c r="N12" s="96">
        <f>$H12*'S2.5 energy supply scenarios'!$B$11/'S2.1.3 Gas_imp'!$E$22</f>
        <v>2448.8926410616541</v>
      </c>
      <c r="O12" s="97">
        <f>$I12*'S2.5 energy supply scenarios'!$B$11/'S2.1.3 Gas_imp'!$E$22</f>
        <v>2320.0653184726125</v>
      </c>
      <c r="P12" s="95">
        <f>J12*(1-'S2.1.3 Gas_imp'!$C$23)</f>
        <v>1871.4127234999999</v>
      </c>
      <c r="Q12" s="96">
        <f>K12*(1-'S2.1.3 Gas_imp'!$C$23)</f>
        <v>1772.9645160999999</v>
      </c>
      <c r="R12" s="96">
        <f>L12*(1-'S2.1.3 Gas_imp'!$C$23)</f>
        <v>2074.2681484900804</v>
      </c>
      <c r="S12" s="96">
        <f>M12*(1-'S2.1.3 Gas_imp'!$C$23)</f>
        <v>1965.1484560131335</v>
      </c>
      <c r="T12" s="96">
        <f>N12*(1-'S2.1.3 Gas_imp'!$C$23)</f>
        <v>2326.4480090085713</v>
      </c>
      <c r="U12" s="97">
        <f>O12*(1-'S2.1.3 Gas_imp'!$C$23)</f>
        <v>2204.0620525489817</v>
      </c>
      <c r="V12" s="275">
        <f>J12/1000*'S2.5 energy supply scenarios'!$B$6</f>
        <v>0.53512549150892552</v>
      </c>
      <c r="W12" s="277">
        <f>K12/1000*'S2.5 energy supply scenarios'!$B$6</f>
        <v>0.50697448841294934</v>
      </c>
      <c r="X12" s="277">
        <f>L12/1000*'S2.5 energy supply scenarios'!$B$6</f>
        <v>0.59313146081752766</v>
      </c>
      <c r="Y12" s="277">
        <f>M12/1000*'S2.5 energy supply scenarios'!$B$6</f>
        <v>0.56192897494320904</v>
      </c>
      <c r="Z12" s="277">
        <f>N12/1000*'S2.5 energy supply scenarios'!$B$6</f>
        <v>0.66524162129363273</v>
      </c>
      <c r="AA12" s="734">
        <f>O12/1000*'S2.5 energy supply scenarios'!$B$6</f>
        <v>0.63024568251336077</v>
      </c>
      <c r="AB12" s="277">
        <f>P12/1000*'S2.5 energy supply scenarios'!$B$6+$C$25</f>
        <v>0.66031179493347913</v>
      </c>
      <c r="AC12" s="277">
        <f>Q12/1000*'S2.5 energy supply scenarios'!$B$6+$C$25</f>
        <v>0.63356834199230183</v>
      </c>
      <c r="AD12" s="277">
        <f>R12/1000*'S2.5 energy supply scenarios'!$B$6+$C$25</f>
        <v>0.71541746577665122</v>
      </c>
      <c r="AE12" s="277">
        <f>S12/1000*'S2.5 energy supply scenarios'!$B$6+$C$25</f>
        <v>0.68577510419604848</v>
      </c>
      <c r="AF12" s="277">
        <f>T12/1000*'S2.5 energy supply scenarios'!$B$6+$C$25</f>
        <v>0.78392211822895108</v>
      </c>
      <c r="AG12" s="317">
        <f>U12/1000*'S2.5 energy supply scenarios'!$B$6+$C$25</f>
        <v>0.75067597638769279</v>
      </c>
      <c r="AH12" s="316">
        <f>$H12/'S2.1.3 Gas_imp'!$F$22</f>
        <v>2188.7868111111111</v>
      </c>
      <c r="AI12" s="96">
        <f>$I12/'S2.1.3 Gas_imp'!$F$22</f>
        <v>2073.642708888889</v>
      </c>
      <c r="AJ12" s="96">
        <f>$H12/'S2.1.3 Gas_imp'!$G$22</f>
        <v>2814.1544714285715</v>
      </c>
      <c r="AK12" s="96">
        <f>$I12/'S2.1.3 Gas_imp'!$G$22</f>
        <v>2666.1120542857147</v>
      </c>
      <c r="AL12" s="96">
        <f>$H12/'S2.1.3 Gas_imp'!$H$22</f>
        <v>3939.8162600000001</v>
      </c>
      <c r="AM12" s="96">
        <f>$I12/'S2.1.3 Gas_imp'!$H$22</f>
        <v>3732.5568760000001</v>
      </c>
      <c r="AN12" s="95">
        <f>AH12*(1-'S2.1.3 Gas_imp'!$C$23)</f>
        <v>2079.3474705555554</v>
      </c>
      <c r="AO12" s="96">
        <f>AI12*(1-'S2.1.3 Gas_imp'!$C$23)</f>
        <v>1969.9605734444444</v>
      </c>
      <c r="AP12" s="96">
        <f>AJ12*(1-'S2.1.3 Gas_imp'!$C$23)</f>
        <v>2673.4467478571428</v>
      </c>
      <c r="AQ12" s="96">
        <f>AK12*(1-'S2.1.3 Gas_imp'!$C$23)</f>
        <v>2532.8064515714291</v>
      </c>
      <c r="AR12" s="96">
        <f>AL12*(1-'S2.1.3 Gas_imp'!$C$23)</f>
        <v>3742.8254469999997</v>
      </c>
      <c r="AS12" s="97">
        <f>AM12*(1-'S2.1.3 Gas_imp'!$C$23)</f>
        <v>3545.9290321999997</v>
      </c>
      <c r="AT12" s="277">
        <f>AH12/1000*'S2.5 energy supply scenarios'!$B$36</f>
        <v>0.13344166447831121</v>
      </c>
      <c r="AU12" s="277">
        <f>AI12/1000*'S2.5 energy supply scenarios'!$B$36</f>
        <v>0.12642178452591227</v>
      </c>
      <c r="AV12" s="277">
        <f>AJ12/1000*'S2.5 energy supply scenarios'!$B$36</f>
        <v>0.17156785432925728</v>
      </c>
      <c r="AW12" s="277">
        <f>AK12/1000*'S2.5 energy supply scenarios'!$B$36</f>
        <v>0.16254229439045864</v>
      </c>
      <c r="AX12" s="277">
        <f>AL12/1000*'S2.5 energy supply scenarios'!$B$36</f>
        <v>0.2401949960609602</v>
      </c>
      <c r="AY12" s="734">
        <f>AM12/1000*'S2.5 energy supply scenarios'!$B$36</f>
        <v>0.22755921214664207</v>
      </c>
      <c r="AZ12" s="277">
        <f>AN12/1000*'S2.5 energy supply scenarios'!$B$36+$F$25</f>
        <v>0.27871215925439563</v>
      </c>
      <c r="BA12" s="277">
        <f>AO12/1000*'S2.5 energy supply scenarios'!$B$36+$F$25</f>
        <v>0.27204327329961664</v>
      </c>
      <c r="BB12" s="277">
        <f>AP12/1000*'S2.5 energy supply scenarios'!$B$36+$F$25</f>
        <v>0.31493203961279442</v>
      </c>
      <c r="BC12" s="277">
        <f>AQ12/1000*'S2.5 energy supply scenarios'!$B$36+$F$25</f>
        <v>0.30635775767093576</v>
      </c>
      <c r="BD12" s="277">
        <f>AR12/1000*'S2.5 energy supply scenarios'!$B$36+$F$25</f>
        <v>0.38012782425791214</v>
      </c>
      <c r="BE12" s="317">
        <f>AS12/1000*'S2.5 energy supply scenarios'!$B$36+$F$25</f>
        <v>0.36812382953931</v>
      </c>
    </row>
    <row r="13" spans="2:66" x14ac:dyDescent="0.25">
      <c r="B13" s="126" t="s">
        <v>21</v>
      </c>
      <c r="C13" s="340">
        <v>800</v>
      </c>
      <c r="D13" s="331">
        <f>'S2.1.2 Gas_sim'!AK28</f>
        <v>5451.4931900000001</v>
      </c>
      <c r="E13" s="271">
        <f>'S2.1.2 Gas_sim'!AL28</f>
        <v>298.73848133971291</v>
      </c>
      <c r="F13" s="95">
        <f>'S2.1.2 Gas_sim'!AM28</f>
        <v>1139.7568699999999</v>
      </c>
      <c r="G13" s="330">
        <f>'S2.1.2 Gas_sim'!AM28+'S2.1.2 Gas_sim'!AN28</f>
        <v>1278.0627199999999</v>
      </c>
      <c r="H13" s="336">
        <f t="shared" si="0"/>
        <v>4311.73632</v>
      </c>
      <c r="I13" s="337">
        <f t="shared" si="1"/>
        <v>4173.4304700000002</v>
      </c>
      <c r="J13" s="316">
        <f>$H13*'S2.5 energy supply scenarios'!$B$11/'S2.1.3 Gas_imp'!$C$22</f>
        <v>4311.73632</v>
      </c>
      <c r="K13" s="96">
        <f>$I13*'S2.5 energy supply scenarios'!$B$11/'S2.1.3 Gas_imp'!$C$22</f>
        <v>4173.4304700000002</v>
      </c>
      <c r="L13" s="96">
        <f>$H13*'S2.5 energy supply scenarios'!$B$11/'S2.1.3 Gas_imp'!$D$22</f>
        <v>4779.1153714809252</v>
      </c>
      <c r="M13" s="96">
        <f>$I13*'S2.5 energy supply scenarios'!$B$11/'S2.1.3 Gas_imp'!$D$22</f>
        <v>4625.8175896488647</v>
      </c>
      <c r="N13" s="96">
        <f>$H13*'S2.5 energy supply scenarios'!$B$11/'S2.1.3 Gas_imp'!$E$22</f>
        <v>5360.1379594520777</v>
      </c>
      <c r="O13" s="97">
        <f>$I13*'S2.5 energy supply scenarios'!$B$11/'S2.1.3 Gas_imp'!$E$22</f>
        <v>5188.2029472945433</v>
      </c>
      <c r="P13" s="95">
        <f>J13*(1-'S2.1.3 Gas_imp'!$C$23)</f>
        <v>4096.149504</v>
      </c>
      <c r="Q13" s="96">
        <f>K13*(1-'S2.1.3 Gas_imp'!$C$23)</f>
        <v>3964.7589465000001</v>
      </c>
      <c r="R13" s="96">
        <f>L13*(1-'S2.1.3 Gas_imp'!$C$23)</f>
        <v>4540.1596029068787</v>
      </c>
      <c r="S13" s="96">
        <f>M13*(1-'S2.1.3 Gas_imp'!$C$23)</f>
        <v>4394.5267101664213</v>
      </c>
      <c r="T13" s="96">
        <f>N13*(1-'S2.1.3 Gas_imp'!$C$23)</f>
        <v>5092.1310614794738</v>
      </c>
      <c r="U13" s="97">
        <f>O13*(1-'S2.1.3 Gas_imp'!$C$23)</f>
        <v>4928.7927999298163</v>
      </c>
      <c r="V13" s="275">
        <f>J13/1000*'S2.5 energy supply scenarios'!$B$6</f>
        <v>1.1712830574981612</v>
      </c>
      <c r="W13" s="277">
        <f>K13/1000*'S2.5 energy supply scenarios'!$B$6</f>
        <v>1.1337122769969359</v>
      </c>
      <c r="X13" s="277">
        <f>L13/1000*'S2.5 energy supply scenarios'!$B$6</f>
        <v>1.2982465644941477</v>
      </c>
      <c r="Y13" s="277">
        <f>M13/1000*'S2.5 energy supply scenarios'!$B$6</f>
        <v>1.2566032261065299</v>
      </c>
      <c r="Z13" s="277">
        <f>N13/1000*'S2.5 energy supply scenarios'!$B$6</f>
        <v>1.456081335177515</v>
      </c>
      <c r="AA13" s="734">
        <f>O13/1000*'S2.5 energy supply scenarios'!$B$6</f>
        <v>1.4093751936640051</v>
      </c>
      <c r="AB13" s="277">
        <f>P13/1000*'S2.5 energy supply scenarios'!$B$6+$C$25</f>
        <v>1.2646614826232532</v>
      </c>
      <c r="AC13" s="277">
        <f>Q13/1000*'S2.5 energy supply scenarios'!$B$6+$C$25</f>
        <v>1.2289692411470892</v>
      </c>
      <c r="AD13" s="277">
        <f>R13/1000*'S2.5 energy supply scenarios'!$B$6+$C$25</f>
        <v>1.3852768142694405</v>
      </c>
      <c r="AE13" s="277">
        <f>S13/1000*'S2.5 energy supply scenarios'!$B$6+$C$25</f>
        <v>1.3457156428012036</v>
      </c>
      <c r="AF13" s="277">
        <f>T13/1000*'S2.5 energy supply scenarios'!$B$6+$C$25</f>
        <v>1.5352198464186395</v>
      </c>
      <c r="AG13" s="317">
        <f>U13/1000*'S2.5 energy supply scenarios'!$B$6+$C$25</f>
        <v>1.4908490119808049</v>
      </c>
      <c r="AH13" s="316">
        <f>$H13/'S2.1.3 Gas_imp'!$F$22</f>
        <v>4790.8181333333332</v>
      </c>
      <c r="AI13" s="96">
        <f>$I13/'S2.1.3 Gas_imp'!$F$22</f>
        <v>4637.1449666666667</v>
      </c>
      <c r="AJ13" s="96">
        <f>$H13/'S2.1.3 Gas_imp'!$G$22</f>
        <v>6159.6233142857145</v>
      </c>
      <c r="AK13" s="96">
        <f>$I13/'S2.1.3 Gas_imp'!$G$22</f>
        <v>5962.0435285714293</v>
      </c>
      <c r="AL13" s="96">
        <f>$H13/'S2.1.3 Gas_imp'!$H$22</f>
        <v>8623.47264</v>
      </c>
      <c r="AM13" s="96">
        <f>$I13/'S2.1.3 Gas_imp'!$H$22</f>
        <v>8346.8609400000005</v>
      </c>
      <c r="AN13" s="95">
        <f>AH13*(1-'S2.1.3 Gas_imp'!$C$23)</f>
        <v>4551.2772266666661</v>
      </c>
      <c r="AO13" s="96">
        <f>AI13*(1-'S2.1.3 Gas_imp'!$C$23)</f>
        <v>4405.287718333333</v>
      </c>
      <c r="AP13" s="96">
        <f>AJ13*(1-'S2.1.3 Gas_imp'!$C$23)</f>
        <v>5851.6421485714282</v>
      </c>
      <c r="AQ13" s="96">
        <f>AK13*(1-'S2.1.3 Gas_imp'!$C$23)</f>
        <v>5663.9413521428578</v>
      </c>
      <c r="AR13" s="96">
        <f>AL13*(1-'S2.1.3 Gas_imp'!$C$23)</f>
        <v>8192.299008</v>
      </c>
      <c r="AS13" s="97">
        <f>AM13*(1-'S2.1.3 Gas_imp'!$C$23)</f>
        <v>7929.5178930000002</v>
      </c>
      <c r="AT13" s="277">
        <f>AH13/1000*'S2.5 energy supply scenarios'!$B$36</f>
        <v>0.29207721038868362</v>
      </c>
      <c r="AU13" s="277">
        <f>AI13/1000*'S2.5 energy supply scenarios'!$B$36</f>
        <v>0.28270836594867027</v>
      </c>
      <c r="AV13" s="277">
        <f>AJ13/1000*'S2.5 energy supply scenarios'!$B$36</f>
        <v>0.37552784192830752</v>
      </c>
      <c r="AW13" s="277">
        <f>AK13/1000*'S2.5 energy supply scenarios'!$B$36</f>
        <v>0.36348218479114752</v>
      </c>
      <c r="AX13" s="277">
        <f>AL13/1000*'S2.5 energy supply scenarios'!$B$36</f>
        <v>0.52573897869963049</v>
      </c>
      <c r="AY13" s="734">
        <f>AM13/1000*'S2.5 energy supply scenarios'!$B$36</f>
        <v>0.50887505870760652</v>
      </c>
      <c r="AZ13" s="277">
        <f>AN13/1000*'S2.5 energy supply scenarios'!$B$36+$F$25</f>
        <v>0.42941592786924943</v>
      </c>
      <c r="BA13" s="277">
        <f>AO13/1000*'S2.5 energy supply scenarios'!$B$36+$F$25</f>
        <v>0.42051552565123673</v>
      </c>
      <c r="BB13" s="277">
        <f>AP13/1000*'S2.5 energy supply scenarios'!$B$36+$F$25</f>
        <v>0.5086940278318921</v>
      </c>
      <c r="BC13" s="277">
        <f>AQ13/1000*'S2.5 energy supply scenarios'!$B$36+$F$25</f>
        <v>0.49725065355159015</v>
      </c>
      <c r="BD13" s="277">
        <f>AR13/1000*'S2.5 energy supply scenarios'!$B$36+$F$25</f>
        <v>0.65139460776464897</v>
      </c>
      <c r="BE13" s="317">
        <f>AS13/1000*'S2.5 energy supply scenarios'!$B$36+$F$25</f>
        <v>0.63537388377222614</v>
      </c>
    </row>
    <row r="14" spans="2:66" x14ac:dyDescent="0.25">
      <c r="B14" s="126" t="s">
        <v>21</v>
      </c>
      <c r="C14" s="340">
        <v>900</v>
      </c>
      <c r="D14" s="331">
        <f>'S2.1.2 Gas_sim'!AK38</f>
        <v>5805.2739000000001</v>
      </c>
      <c r="E14" s="271">
        <f>'S2.1.2 Gas_sim'!AL38</f>
        <v>302.36453397129191</v>
      </c>
      <c r="F14" s="95">
        <f>'S2.1.2 Gas_sim'!AM38</f>
        <v>1358.6335899999999</v>
      </c>
      <c r="G14" s="330">
        <f>'S2.1.2 Gas_sim'!AM38+'S2.1.2 Gas_sim'!AN38</f>
        <v>1498.3363889999998</v>
      </c>
      <c r="H14" s="336">
        <f t="shared" si="0"/>
        <v>4446.6403100000007</v>
      </c>
      <c r="I14" s="337">
        <f t="shared" si="1"/>
        <v>4306.9375110000001</v>
      </c>
      <c r="J14" s="316">
        <f>$H14*'S2.5 energy supply scenarios'!$B$11/'S2.1.3 Gas_imp'!$C$22</f>
        <v>4446.6403100000007</v>
      </c>
      <c r="K14" s="96">
        <f>$I14*'S2.5 energy supply scenarios'!$B$11/'S2.1.3 Gas_imp'!$C$22</f>
        <v>4306.9375110000001</v>
      </c>
      <c r="L14" s="96">
        <f>$H14*'S2.5 energy supply scenarios'!$B$11/'S2.1.3 Gas_imp'!$D$22</f>
        <v>4928.6425420763462</v>
      </c>
      <c r="M14" s="96">
        <f>$I14*'S2.5 energy supply scenarios'!$B$11/'S2.1.3 Gas_imp'!$D$22</f>
        <v>4773.7963862381775</v>
      </c>
      <c r="N14" s="96">
        <f>$H14*'S2.5 energy supply scenarios'!$B$11/'S2.1.3 Gas_imp'!$E$22</f>
        <v>5527.8439470205722</v>
      </c>
      <c r="O14" s="97">
        <f>$I14*'S2.5 energy supply scenarios'!$B$11/'S2.1.3 Gas_imp'!$E$22</f>
        <v>5354.1723167568725</v>
      </c>
      <c r="P14" s="95">
        <f>J14*(1-'S2.1.3 Gas_imp'!$C$23)</f>
        <v>4224.3082945000006</v>
      </c>
      <c r="Q14" s="96">
        <f>K14*(1-'S2.1.3 Gas_imp'!$C$23)</f>
        <v>4091.5906354499998</v>
      </c>
      <c r="R14" s="96">
        <f>L14*(1-'S2.1.3 Gas_imp'!$C$23)</f>
        <v>4682.2104149725283</v>
      </c>
      <c r="S14" s="96">
        <f>M14*(1-'S2.1.3 Gas_imp'!$C$23)</f>
        <v>4535.1065669262689</v>
      </c>
      <c r="T14" s="96">
        <f>N14*(1-'S2.1.3 Gas_imp'!$C$23)</f>
        <v>5251.4517496695435</v>
      </c>
      <c r="U14" s="97">
        <f>O14*(1-'S2.1.3 Gas_imp'!$C$23)</f>
        <v>5086.4637009190283</v>
      </c>
      <c r="V14" s="275">
        <f>J14/1000*'S2.5 energy supply scenarios'!$B$6</f>
        <v>1.207929722820196</v>
      </c>
      <c r="W14" s="277">
        <f>K14/1000*'S2.5 energy supply scenarios'!$B$6</f>
        <v>1.1699794611599998</v>
      </c>
      <c r="X14" s="277">
        <f>L14/1000*'S2.5 energy supply scenarios'!$B$6</f>
        <v>1.3388656164388766</v>
      </c>
      <c r="Y14" s="277">
        <f>M14/1000*'S2.5 energy supply scenarios'!$B$6</f>
        <v>1.2968016622933765</v>
      </c>
      <c r="Z14" s="277">
        <f>N14/1000*'S2.5 energy supply scenarios'!$B$6</f>
        <v>1.5016386622730584</v>
      </c>
      <c r="AA14" s="734">
        <f>O14/1000*'S2.5 energy supply scenarios'!$B$6</f>
        <v>1.4544607684968553</v>
      </c>
      <c r="AB14" s="277">
        <f>P14/1000*'S2.5 energy supply scenarios'!$B$6+$C$25</f>
        <v>1.2994758146791863</v>
      </c>
      <c r="AC14" s="277">
        <f>Q14/1000*'S2.5 energy supply scenarios'!$B$6+$C$25</f>
        <v>1.2634230661020001</v>
      </c>
      <c r="AD14" s="277">
        <f>R14/1000*'S2.5 energy supply scenarios'!$B$6+$C$25</f>
        <v>1.4238649136169326</v>
      </c>
      <c r="AE14" s="277">
        <f>S14/1000*'S2.5 energy supply scenarios'!$B$6+$C$25</f>
        <v>1.3839041571787078</v>
      </c>
      <c r="AF14" s="277">
        <f>T14/1000*'S2.5 energy supply scenarios'!$B$6+$C$25</f>
        <v>1.5784993071594056</v>
      </c>
      <c r="AG14" s="317">
        <f>U14/1000*'S2.5 energy supply scenarios'!$B$6+$C$25</f>
        <v>1.5336803080720125</v>
      </c>
      <c r="AH14" s="316">
        <f>$H14/'S2.1.3 Gas_imp'!$F$22</f>
        <v>4940.7114555555563</v>
      </c>
      <c r="AI14" s="96">
        <f>$I14/'S2.1.3 Gas_imp'!$F$22</f>
        <v>4785.4861233333331</v>
      </c>
      <c r="AJ14" s="96">
        <f>$H14/'S2.1.3 Gas_imp'!$G$22</f>
        <v>6352.3433000000014</v>
      </c>
      <c r="AK14" s="96">
        <f>$I14/'S2.1.3 Gas_imp'!$G$22</f>
        <v>6152.7678728571436</v>
      </c>
      <c r="AL14" s="96">
        <f>$H14/'S2.1.3 Gas_imp'!$H$22</f>
        <v>8893.2806200000014</v>
      </c>
      <c r="AM14" s="96">
        <f>$I14/'S2.1.3 Gas_imp'!$H$22</f>
        <v>8613.8750220000002</v>
      </c>
      <c r="AN14" s="95">
        <f>AH14*(1-'S2.1.3 Gas_imp'!$C$23)</f>
        <v>4693.6758827777785</v>
      </c>
      <c r="AO14" s="96">
        <f>AI14*(1-'S2.1.3 Gas_imp'!$C$23)</f>
        <v>4546.2118171666662</v>
      </c>
      <c r="AP14" s="96">
        <f>AJ14*(1-'S2.1.3 Gas_imp'!$C$23)</f>
        <v>6034.7261350000008</v>
      </c>
      <c r="AQ14" s="96">
        <f>AK14*(1-'S2.1.3 Gas_imp'!$C$23)</f>
        <v>5845.1294792142862</v>
      </c>
      <c r="AR14" s="96">
        <f>AL14*(1-'S2.1.3 Gas_imp'!$C$23)</f>
        <v>8448.6165890000011</v>
      </c>
      <c r="AS14" s="97">
        <f>AM14*(1-'S2.1.3 Gas_imp'!$C$23)</f>
        <v>8183.1812708999996</v>
      </c>
      <c r="AT14" s="277">
        <f>AH14/1000*'S2.5 energy supply scenarios'!$B$36</f>
        <v>0.30121561268075681</v>
      </c>
      <c r="AU14" s="277">
        <f>AI14/1000*'S2.5 energy supply scenarios'!$B$36</f>
        <v>0.29175213885325446</v>
      </c>
      <c r="AV14" s="277">
        <f>AJ14/1000*'S2.5 energy supply scenarios'!$B$36</f>
        <v>0.38727721630383016</v>
      </c>
      <c r="AW14" s="277">
        <f>AK14/1000*'S2.5 energy supply scenarios'!$B$36</f>
        <v>0.37510989281132723</v>
      </c>
      <c r="AX14" s="277">
        <f>AL14/1000*'S2.5 energy supply scenarios'!$B$36</f>
        <v>0.54218810282536212</v>
      </c>
      <c r="AY14" s="734">
        <f>AM14/1000*'S2.5 energy supply scenarios'!$B$36</f>
        <v>0.52515384993585801</v>
      </c>
      <c r="AZ14" s="277">
        <f>AN14/1000*'S2.5 energy supply scenarios'!$B$36+$F$25</f>
        <v>0.43809741004671898</v>
      </c>
      <c r="BA14" s="277">
        <f>AO14/1000*'S2.5 energy supply scenarios'!$B$36+$F$25</f>
        <v>0.42910710991059176</v>
      </c>
      <c r="BB14" s="277">
        <f>AP14/1000*'S2.5 energy supply scenarios'!$B$36+$F$25</f>
        <v>0.51985593348863868</v>
      </c>
      <c r="BC14" s="277">
        <f>AQ14/1000*'S2.5 energy supply scenarios'!$B$36+$F$25</f>
        <v>0.50829697617076086</v>
      </c>
      <c r="BD14" s="277">
        <f>AR14/1000*'S2.5 energy supply scenarios'!$B$36+$F$25</f>
        <v>0.66702127568409408</v>
      </c>
      <c r="BE14" s="317">
        <f>AS14/1000*'S2.5 energy supply scenarios'!$B$36+$F$25</f>
        <v>0.65083873543906523</v>
      </c>
    </row>
    <row r="15" spans="2:66" x14ac:dyDescent="0.25">
      <c r="B15" s="126" t="s">
        <v>21</v>
      </c>
      <c r="C15" s="340">
        <v>1000</v>
      </c>
      <c r="D15" s="331">
        <f>'S2.1.2 Gas_sim'!AK47</f>
        <v>6020.7297699999999</v>
      </c>
      <c r="E15" s="271">
        <f>'S2.1.2 Gas_sim'!AL47</f>
        <v>302.6785642105263</v>
      </c>
      <c r="F15" s="95">
        <f>'S2.1.2 Gas_sim'!AM47</f>
        <v>1553.9695300000001</v>
      </c>
      <c r="G15" s="330">
        <f>'S2.1.2 Gas_sim'!AM47+'S2.1.2 Gas_sim'!AN47</f>
        <v>1693.766181</v>
      </c>
      <c r="H15" s="336">
        <f t="shared" si="0"/>
        <v>4466.7602399999996</v>
      </c>
      <c r="I15" s="337">
        <f t="shared" si="1"/>
        <v>4326.963589</v>
      </c>
      <c r="J15" s="316">
        <f>$H15*'S2.5 energy supply scenarios'!$B$11/'S2.1.3 Gas_imp'!$C$22</f>
        <v>4466.7602399999996</v>
      </c>
      <c r="K15" s="96">
        <f>$I15*'S2.5 energy supply scenarios'!$B$11/'S2.1.3 Gas_imp'!$C$22</f>
        <v>4326.963589</v>
      </c>
      <c r="L15" s="96">
        <f>$H15*'S2.5 energy supply scenarios'!$B$11/'S2.1.3 Gas_imp'!$D$22</f>
        <v>4950.9434110534439</v>
      </c>
      <c r="M15" s="96">
        <f>$I15*'S2.5 energy supply scenarios'!$B$11/'S2.1.3 Gas_imp'!$D$22</f>
        <v>4795.9932299450475</v>
      </c>
      <c r="N15" s="96">
        <f>$H15*'S2.5 energy supply scenarios'!$B$11/'S2.1.3 Gas_imp'!$E$22</f>
        <v>5552.8560517808446</v>
      </c>
      <c r="O15" s="97">
        <f>$I15*'S2.5 energy supply scenarios'!$B$11/'S2.1.3 Gas_imp'!$E$22</f>
        <v>5379.067749339064</v>
      </c>
      <c r="P15" s="95">
        <f>J15*(1-'S2.1.3 Gas_imp'!$C$23)</f>
        <v>4243.4222279999994</v>
      </c>
      <c r="Q15" s="96">
        <f>K15*(1-'S2.1.3 Gas_imp'!$C$23)</f>
        <v>4110.6154095499996</v>
      </c>
      <c r="R15" s="96">
        <f>L15*(1-'S2.1.3 Gas_imp'!$C$23)</f>
        <v>4703.3962405007715</v>
      </c>
      <c r="S15" s="96">
        <f>M15*(1-'S2.1.3 Gas_imp'!$C$23)</f>
        <v>4556.1935684477949</v>
      </c>
      <c r="T15" s="96">
        <f>N15*(1-'S2.1.3 Gas_imp'!$C$23)</f>
        <v>5275.2132491918019</v>
      </c>
      <c r="U15" s="97">
        <f>O15*(1-'S2.1.3 Gas_imp'!$C$23)</f>
        <v>5110.1143618721107</v>
      </c>
      <c r="V15" s="275">
        <f>J15/1000*'S2.5 energy supply scenarios'!$B$6</f>
        <v>1.2133953012735297</v>
      </c>
      <c r="W15" s="277">
        <f>K15/1000*'S2.5 energy supply scenarios'!$B$6</f>
        <v>1.1754195447200113</v>
      </c>
      <c r="X15" s="277">
        <f>L15/1000*'S2.5 energy supply scenarios'!$B$6</f>
        <v>1.3449236469077623</v>
      </c>
      <c r="Y15" s="277">
        <f>M15/1000*'S2.5 energy supply scenarios'!$B$6</f>
        <v>1.3028314343003511</v>
      </c>
      <c r="Z15" s="277">
        <f>N15/1000*'S2.5 energy supply scenarios'!$B$6</f>
        <v>1.5084331998708669</v>
      </c>
      <c r="AA15" s="734">
        <f>O15/1000*'S2.5 energy supply scenarios'!$B$6</f>
        <v>1.4612236121005684</v>
      </c>
      <c r="AB15" s="277">
        <f>P15/1000*'S2.5 energy supply scenarios'!$B$6+$C$25</f>
        <v>1.3046681142098533</v>
      </c>
      <c r="AC15" s="277">
        <f>Q15/1000*'S2.5 energy supply scenarios'!$B$6+$C$25</f>
        <v>1.2685911454840109</v>
      </c>
      <c r="AD15" s="277">
        <f>R15/1000*'S2.5 energy supply scenarios'!$B$6+$C$25</f>
        <v>1.4296200425623742</v>
      </c>
      <c r="AE15" s="277">
        <f>S15/1000*'S2.5 energy supply scenarios'!$B$6+$C$25</f>
        <v>1.3896324405853335</v>
      </c>
      <c r="AF15" s="277">
        <f>T15/1000*'S2.5 energy supply scenarios'!$B$6+$C$25</f>
        <v>1.5849541178773237</v>
      </c>
      <c r="AG15" s="317">
        <f>U15/1000*'S2.5 energy supply scenarios'!$B$6+$C$25</f>
        <v>1.54010500949554</v>
      </c>
      <c r="AH15" s="316">
        <f>$H15/'S2.1.3 Gas_imp'!$F$22</f>
        <v>4963.0669333333326</v>
      </c>
      <c r="AI15" s="96">
        <f>$I15/'S2.1.3 Gas_imp'!$F$22</f>
        <v>4807.7373211111108</v>
      </c>
      <c r="AJ15" s="96">
        <f>$H15/'S2.1.3 Gas_imp'!$G$22</f>
        <v>6381.0860571428566</v>
      </c>
      <c r="AK15" s="96">
        <f>$I15/'S2.1.3 Gas_imp'!$G$22</f>
        <v>6181.376555714286</v>
      </c>
      <c r="AL15" s="96">
        <f>$H15/'S2.1.3 Gas_imp'!$H$22</f>
        <v>8933.5204799999992</v>
      </c>
      <c r="AM15" s="96">
        <f>$I15/'S2.1.3 Gas_imp'!$H$22</f>
        <v>8653.9271779999999</v>
      </c>
      <c r="AN15" s="95">
        <f>AH15*(1-'S2.1.3 Gas_imp'!$C$23)</f>
        <v>4714.9135866666657</v>
      </c>
      <c r="AO15" s="96">
        <f>AI15*(1-'S2.1.3 Gas_imp'!$C$23)</f>
        <v>4567.3504550555554</v>
      </c>
      <c r="AP15" s="96">
        <f>AJ15*(1-'S2.1.3 Gas_imp'!$C$23)</f>
        <v>6062.0317542857138</v>
      </c>
      <c r="AQ15" s="96">
        <f>AK15*(1-'S2.1.3 Gas_imp'!$C$23)</f>
        <v>5872.3077279285717</v>
      </c>
      <c r="AR15" s="96">
        <f>AL15*(1-'S2.1.3 Gas_imp'!$C$23)</f>
        <v>8486.8444559999989</v>
      </c>
      <c r="AS15" s="97">
        <f>AM15*(1-'S2.1.3 Gas_imp'!$C$23)</f>
        <v>8221.2308190999993</v>
      </c>
      <c r="AT15" s="277">
        <f>AH15/1000*'S2.5 energy supply scenarios'!$B$36</f>
        <v>0.30257853763522508</v>
      </c>
      <c r="AU15" s="277">
        <f>AI15/1000*'S2.5 energy supply scenarios'!$B$36</f>
        <v>0.29310870626906205</v>
      </c>
      <c r="AV15" s="277">
        <f>AJ15/1000*'S2.5 energy supply scenarios'!$B$36</f>
        <v>0.38902954838814652</v>
      </c>
      <c r="AW15" s="277">
        <f>AK15/1000*'S2.5 energy supply scenarios'!$B$36</f>
        <v>0.37685405091736557</v>
      </c>
      <c r="AX15" s="277">
        <f>AL15/1000*'S2.5 energy supply scenarios'!$B$36</f>
        <v>0.5446413677434051</v>
      </c>
      <c r="AY15" s="734">
        <f>AM15/1000*'S2.5 energy supply scenarios'!$B$36</f>
        <v>0.52759567128431173</v>
      </c>
      <c r="AZ15" s="277">
        <f>AN15/1000*'S2.5 energy supply scenarios'!$B$36+$F$25</f>
        <v>0.43939218875346375</v>
      </c>
      <c r="BA15" s="277">
        <f>AO15/1000*'S2.5 energy supply scenarios'!$B$36+$F$25</f>
        <v>0.43039584895560901</v>
      </c>
      <c r="BB15" s="277">
        <f>AP15/1000*'S2.5 energy supply scenarios'!$B$36+$F$25</f>
        <v>0.52152064896873929</v>
      </c>
      <c r="BC15" s="277">
        <f>AQ15/1000*'S2.5 energy supply scenarios'!$B$36+$F$25</f>
        <v>0.50995392637149728</v>
      </c>
      <c r="BD15" s="277">
        <f>AR15/1000*'S2.5 energy supply scenarios'!$B$36+$F$25</f>
        <v>0.6693518773562348</v>
      </c>
      <c r="BE15" s="317">
        <f>AS15/1000*'S2.5 energy supply scenarios'!$B$36+$F$25</f>
        <v>0.65315846572009606</v>
      </c>
    </row>
    <row r="16" spans="2:66" x14ac:dyDescent="0.25">
      <c r="B16" s="126" t="s">
        <v>22</v>
      </c>
      <c r="C16" s="340">
        <v>800</v>
      </c>
      <c r="D16" s="331">
        <f>'S2.1.2 Gas_sim'!AK52</f>
        <v>4976.9427900000001</v>
      </c>
      <c r="E16" s="271">
        <f>'S2.1.2 Gas_sim'!AL52</f>
        <v>260.0860977990431</v>
      </c>
      <c r="F16" s="95">
        <f>'S2.1.2 Gas_sim'!AM52</f>
        <v>997.13894100000005</v>
      </c>
      <c r="G16" s="330">
        <f>'S2.1.2 Gas_sim'!AM52+'S2.1.2 Gas_sim'!AN52</f>
        <v>1117.6097950000001</v>
      </c>
      <c r="H16" s="336">
        <f t="shared" si="0"/>
        <v>3979.8038489999999</v>
      </c>
      <c r="I16" s="337">
        <f t="shared" si="1"/>
        <v>3859.3329949999998</v>
      </c>
      <c r="J16" s="316">
        <f>$H16*'S2.5 energy supply scenarios'!$B$11/'S2.1.3 Gas_imp'!$C$22</f>
        <v>3979.8038489999994</v>
      </c>
      <c r="K16" s="96">
        <f>$I16*'S2.5 energy supply scenarios'!$B$11/'S2.1.3 Gas_imp'!$C$22</f>
        <v>3859.3329949999998</v>
      </c>
      <c r="L16" s="96">
        <f>$H16*'S2.5 energy supply scenarios'!$B$11/'S2.1.3 Gas_imp'!$D$22</f>
        <v>4411.2024341587867</v>
      </c>
      <c r="M16" s="96">
        <f>$I16*'S2.5 energy supply scenarios'!$B$11/'S2.1.3 Gas_imp'!$D$22</f>
        <v>4277.6729074351224</v>
      </c>
      <c r="N16" s="96">
        <f>$H16*'S2.5 energy supply scenarios'!$B$11/'S2.1.3 Gas_imp'!$E$22</f>
        <v>4947.4958807774183</v>
      </c>
      <c r="O16" s="97">
        <f>$I16*'S2.5 energy supply scenarios'!$B$11/'S2.1.3 Gas_imp'!$E$22</f>
        <v>4797.7324561130335</v>
      </c>
      <c r="P16" s="95">
        <f>J16*(1-'S2.1.3 Gas_imp'!$C$23)</f>
        <v>3780.8136565499995</v>
      </c>
      <c r="Q16" s="96">
        <f>K16*(1-'S2.1.3 Gas_imp'!$C$23)</f>
        <v>3666.3663452499995</v>
      </c>
      <c r="R16" s="96">
        <f>L16*(1-'S2.1.3 Gas_imp'!$C$23)</f>
        <v>4190.6423124508474</v>
      </c>
      <c r="S16" s="96">
        <f>M16*(1-'S2.1.3 Gas_imp'!$C$23)</f>
        <v>4063.7892620633661</v>
      </c>
      <c r="T16" s="96">
        <f>N16*(1-'S2.1.3 Gas_imp'!$C$23)</f>
        <v>4700.1210867385471</v>
      </c>
      <c r="U16" s="97">
        <f>O16*(1-'S2.1.3 Gas_imp'!$C$23)</f>
        <v>4557.8458333073813</v>
      </c>
      <c r="V16" s="275">
        <f>J16/1000*'S2.5 energy supply scenarios'!$B$6</f>
        <v>1.0811136105140284</v>
      </c>
      <c r="W16" s="277">
        <f>K16/1000*'S2.5 energy supply scenarios'!$B$6</f>
        <v>1.048387706205359</v>
      </c>
      <c r="X16" s="277">
        <f>L16/1000*'S2.5 energy supply scenarios'!$B$6</f>
        <v>1.1983030247834903</v>
      </c>
      <c r="Y16" s="277">
        <f>M16/1000*'S2.5 energy supply scenarios'!$B$6</f>
        <v>1.1620297323741864</v>
      </c>
      <c r="Z16" s="277">
        <f>N16/1000*'S2.5 energy supply scenarios'!$B$6</f>
        <v>1.3439871253992945</v>
      </c>
      <c r="AA16" s="734">
        <f>O16/1000*'S2.5 energy supply scenarios'!$B$6</f>
        <v>1.303303895042969</v>
      </c>
      <c r="AB16" s="277">
        <f>P16/1000*'S2.5 energy supply scenarios'!$B$6+$C$25</f>
        <v>1.179000507988327</v>
      </c>
      <c r="AC16" s="277">
        <f>Q16/1000*'S2.5 energy supply scenarios'!$B$6+$C$25</f>
        <v>1.147910898895091</v>
      </c>
      <c r="AD16" s="277">
        <f>R16/1000*'S2.5 energy supply scenarios'!$B$6+$C$25</f>
        <v>1.2903304515443157</v>
      </c>
      <c r="AE16" s="277">
        <f>S16/1000*'S2.5 energy supply scenarios'!$B$6+$C$25</f>
        <v>1.2558708237554772</v>
      </c>
      <c r="AF16" s="277">
        <f>T16/1000*'S2.5 energy supply scenarios'!$B$6+$C$25</f>
        <v>1.42873034712933</v>
      </c>
      <c r="AG16" s="317">
        <f>U16/1000*'S2.5 energy supply scenarios'!$B$6+$C$25</f>
        <v>1.3900812782908205</v>
      </c>
      <c r="AH16" s="316">
        <f>$H16/'S2.1.3 Gas_imp'!$F$22</f>
        <v>4422.0042766666666</v>
      </c>
      <c r="AI16" s="96">
        <f>$I16/'S2.1.3 Gas_imp'!$F$22</f>
        <v>4288.1477722222216</v>
      </c>
      <c r="AJ16" s="96">
        <f>$H16/'S2.1.3 Gas_imp'!$G$22</f>
        <v>5685.4340700000002</v>
      </c>
      <c r="AK16" s="96">
        <f>$I16/'S2.1.3 Gas_imp'!$G$22</f>
        <v>5513.3328499999998</v>
      </c>
      <c r="AL16" s="96">
        <f>$H16/'S2.1.3 Gas_imp'!$H$22</f>
        <v>7959.6076979999998</v>
      </c>
      <c r="AM16" s="96">
        <f>$I16/'S2.1.3 Gas_imp'!$H$22</f>
        <v>7718.6659899999995</v>
      </c>
      <c r="AN16" s="95">
        <f>AH16*(1-'S2.1.3 Gas_imp'!$C$23)</f>
        <v>4200.9040628333332</v>
      </c>
      <c r="AO16" s="96">
        <f>AI16*(1-'S2.1.3 Gas_imp'!$C$23)</f>
        <v>4073.7403836111102</v>
      </c>
      <c r="AP16" s="96">
        <f>AJ16*(1-'S2.1.3 Gas_imp'!$C$23)</f>
        <v>5401.1623664999997</v>
      </c>
      <c r="AQ16" s="96">
        <f>AK16*(1-'S2.1.3 Gas_imp'!$C$23)</f>
        <v>5237.6662074999995</v>
      </c>
      <c r="AR16" s="96">
        <f>AL16*(1-'S2.1.3 Gas_imp'!$C$23)</f>
        <v>7561.6273130999998</v>
      </c>
      <c r="AS16" s="97">
        <f>AM16*(1-'S2.1.3 Gas_imp'!$C$23)</f>
        <v>7332.7326904999991</v>
      </c>
      <c r="AT16" s="277">
        <f>AH16/1000*'S2.5 energy supply scenarios'!$B$36</f>
        <v>0.26959209001678142</v>
      </c>
      <c r="AU16" s="277">
        <f>AI16/1000*'S2.5 energy supply scenarios'!$B$36</f>
        <v>0.26143138900029106</v>
      </c>
      <c r="AV16" s="277">
        <f>AJ16/1000*'S2.5 energy supply scenarios'!$B$36</f>
        <v>0.34661840145014755</v>
      </c>
      <c r="AW16" s="277">
        <f>AK16/1000*'S2.5 energy supply scenarios'!$B$36</f>
        <v>0.33612607157180274</v>
      </c>
      <c r="AX16" s="277">
        <f>AL16/1000*'S2.5 energy supply scenarios'!$B$36</f>
        <v>0.48526576203020655</v>
      </c>
      <c r="AY16" s="734">
        <f>AM16/1000*'S2.5 energy supply scenarios'!$B$36</f>
        <v>0.47057650020052394</v>
      </c>
      <c r="AZ16" s="277">
        <f>AN16/1000*'S2.5 energy supply scenarios'!$B$36+$F$25</f>
        <v>0.40805506351594245</v>
      </c>
      <c r="BA16" s="277">
        <f>AO16/1000*'S2.5 energy supply scenarios'!$B$36+$F$25</f>
        <v>0.40030239755027647</v>
      </c>
      <c r="BB16" s="277">
        <f>AP16/1000*'S2.5 energy supply scenarios'!$B$36+$F$25</f>
        <v>0.48123005937764018</v>
      </c>
      <c r="BC16" s="277">
        <f>AQ16/1000*'S2.5 energy supply scenarios'!$B$36+$F$25</f>
        <v>0.47126234599321259</v>
      </c>
      <c r="BD16" s="277">
        <f>AR16/1000*'S2.5 energy supply scenarios'!$B$36+$F$25</f>
        <v>0.61294505192869631</v>
      </c>
      <c r="BE16" s="317">
        <f>AS16/1000*'S2.5 energy supply scenarios'!$B$36+$F$25</f>
        <v>0.5989902531904977</v>
      </c>
    </row>
    <row r="17" spans="2:57" x14ac:dyDescent="0.25">
      <c r="B17" s="126" t="s">
        <v>22</v>
      </c>
      <c r="C17" s="340">
        <v>900</v>
      </c>
      <c r="D17" s="331">
        <f>'S2.1.2 Gas_sim'!AK62</f>
        <v>5328.7441799999997</v>
      </c>
      <c r="E17" s="271">
        <f>'S2.1.2 Gas_sim'!AL62</f>
        <v>264.4688135885167</v>
      </c>
      <c r="F17" s="95">
        <f>'S2.1.2 Gas_sim'!AM62</f>
        <v>1190.9598599999999</v>
      </c>
      <c r="G17" s="330">
        <f>'S2.1.2 Gas_sim'!AM62+'S2.1.2 Gas_sim'!AN62</f>
        <v>1313.1355289999999</v>
      </c>
      <c r="H17" s="336">
        <f t="shared" si="0"/>
        <v>4137.7843199999998</v>
      </c>
      <c r="I17" s="337">
        <f t="shared" si="1"/>
        <v>4015.6086509999996</v>
      </c>
      <c r="J17" s="316">
        <f>$H17*'S2.5 energy supply scenarios'!$B$11/'S2.1.3 Gas_imp'!$C$22</f>
        <v>4137.7843199999998</v>
      </c>
      <c r="K17" s="96">
        <f>$I17*'S2.5 energy supply scenarios'!$B$11/'S2.1.3 Gas_imp'!$C$22</f>
        <v>4015.6086509999996</v>
      </c>
      <c r="L17" s="96">
        <f>$H17*'S2.5 energy supply scenarios'!$B$11/'S2.1.3 Gas_imp'!$D$22</f>
        <v>4586.3075058320692</v>
      </c>
      <c r="M17" s="96">
        <f>$I17*'S2.5 energy supply scenarios'!$B$11/'S2.1.3 Gas_imp'!$D$22</f>
        <v>4450.8883673679475</v>
      </c>
      <c r="N17" s="96">
        <f>$H17*'S2.5 energy supply scenarios'!$B$11/'S2.1.3 Gas_imp'!$E$22</f>
        <v>5143.8894115068706</v>
      </c>
      <c r="O17" s="97">
        <f>$I17*'S2.5 energy supply scenarios'!$B$11/'S2.1.3 Gas_imp'!$E$22</f>
        <v>4992.0066449075557</v>
      </c>
      <c r="P17" s="95">
        <f>J17*(1-'S2.1.3 Gas_imp'!$C$23)</f>
        <v>3930.8951039999997</v>
      </c>
      <c r="Q17" s="96">
        <f>K17*(1-'S2.1.3 Gas_imp'!$C$23)</f>
        <v>3814.8282184499994</v>
      </c>
      <c r="R17" s="96">
        <f>L17*(1-'S2.1.3 Gas_imp'!$C$23)</f>
        <v>4356.992130540466</v>
      </c>
      <c r="S17" s="96">
        <f>M17*(1-'S2.1.3 Gas_imp'!$C$23)</f>
        <v>4228.3439489995499</v>
      </c>
      <c r="T17" s="96">
        <f>N17*(1-'S2.1.3 Gas_imp'!$C$23)</f>
        <v>4886.6949409315266</v>
      </c>
      <c r="U17" s="97">
        <f>O17*(1-'S2.1.3 Gas_imp'!$C$23)</f>
        <v>4742.4063126621777</v>
      </c>
      <c r="V17" s="275">
        <f>J17/1000*'S2.5 energy supply scenarios'!$B$6</f>
        <v>1.1240290012904941</v>
      </c>
      <c r="W17" s="277">
        <f>K17/1000*'S2.5 energy supply scenarios'!$B$6</f>
        <v>1.0908399840320817</v>
      </c>
      <c r="X17" s="277">
        <f>L17/1000*'S2.5 energy supply scenarios'!$B$6</f>
        <v>1.2458703128807636</v>
      </c>
      <c r="Y17" s="277">
        <f>M17/1000*'S2.5 energy supply scenarios'!$B$6</f>
        <v>1.2090837074920502</v>
      </c>
      <c r="Z17" s="277">
        <f>N17/1000*'S2.5 energy supply scenarios'!$B$6</f>
        <v>1.3973374228371613</v>
      </c>
      <c r="AA17" s="734">
        <f>O17/1000*'S2.5 energy supply scenarios'!$B$6</f>
        <v>1.3560784733001623</v>
      </c>
      <c r="AB17" s="277">
        <f>P17/1000*'S2.5 energy supply scenarios'!$B$6+$C$25</f>
        <v>1.2197701292259695</v>
      </c>
      <c r="AC17" s="277">
        <f>Q17/1000*'S2.5 energy supply scenarios'!$B$6+$C$25</f>
        <v>1.1882405628304775</v>
      </c>
      <c r="AD17" s="277">
        <f>R17/1000*'S2.5 energy supply scenarios'!$B$6+$C$25</f>
        <v>1.3355193752367256</v>
      </c>
      <c r="AE17" s="277">
        <f>S17/1000*'S2.5 energy supply scenarios'!$B$6+$C$25</f>
        <v>1.3005721001174477</v>
      </c>
      <c r="AF17" s="277">
        <f>T17/1000*'S2.5 energy supply scenarios'!$B$6+$C$25</f>
        <v>1.479413129695303</v>
      </c>
      <c r="AG17" s="317">
        <f>U17/1000*'S2.5 energy supply scenarios'!$B$6+$C$25</f>
        <v>1.4402171276351543</v>
      </c>
      <c r="AH17" s="316">
        <f>$H17/'S2.1.3 Gas_imp'!$F$22</f>
        <v>4597.5381333333326</v>
      </c>
      <c r="AI17" s="96">
        <f>$I17/'S2.1.3 Gas_imp'!$F$22</f>
        <v>4461.7873899999995</v>
      </c>
      <c r="AJ17" s="96">
        <f>$H17/'S2.1.3 Gas_imp'!$G$22</f>
        <v>5911.120457142857</v>
      </c>
      <c r="AK17" s="96">
        <f>$I17/'S2.1.3 Gas_imp'!$G$22</f>
        <v>5736.5837871428566</v>
      </c>
      <c r="AL17" s="96">
        <f>$H17/'S2.1.3 Gas_imp'!$H$22</f>
        <v>8275.5686399999995</v>
      </c>
      <c r="AM17" s="96">
        <f>$I17/'S2.1.3 Gas_imp'!$H$22</f>
        <v>8031.2173019999991</v>
      </c>
      <c r="AN17" s="95">
        <f>AH17*(1-'S2.1.3 Gas_imp'!$C$23)</f>
        <v>4367.6612266666662</v>
      </c>
      <c r="AO17" s="96">
        <f>AI17*(1-'S2.1.3 Gas_imp'!$C$23)</f>
        <v>4238.6980204999991</v>
      </c>
      <c r="AP17" s="96">
        <f>AJ17*(1-'S2.1.3 Gas_imp'!$C$23)</f>
        <v>5615.564434285714</v>
      </c>
      <c r="AQ17" s="96">
        <f>AK17*(1-'S2.1.3 Gas_imp'!$C$23)</f>
        <v>5449.7545977857135</v>
      </c>
      <c r="AR17" s="96">
        <f>AL17*(1-'S2.1.3 Gas_imp'!$C$23)</f>
        <v>7861.7902079999994</v>
      </c>
      <c r="AS17" s="97">
        <f>AM17*(1-'S2.1.3 Gas_imp'!$C$23)</f>
        <v>7629.6564368999989</v>
      </c>
      <c r="AT17" s="277">
        <f>AH17/1000*'S2.5 energy supply scenarios'!$B$36</f>
        <v>0.28029369415976629</v>
      </c>
      <c r="AU17" s="277">
        <f>AI17/1000*'S2.5 energy supply scenarios'!$B$36</f>
        <v>0.27201750889923271</v>
      </c>
      <c r="AV17" s="277">
        <f>AJ17/1000*'S2.5 energy supply scenarios'!$B$36</f>
        <v>0.36037760677684239</v>
      </c>
      <c r="AW17" s="277">
        <f>AK17/1000*'S2.5 energy supply scenarios'!$B$36</f>
        <v>0.34973679715615635</v>
      </c>
      <c r="AX17" s="277">
        <f>AL17/1000*'S2.5 energy supply scenarios'!$B$36</f>
        <v>0.50452864948757925</v>
      </c>
      <c r="AY17" s="734">
        <f>AM17/1000*'S2.5 energy supply scenarios'!$B$36</f>
        <v>0.48963151601861893</v>
      </c>
      <c r="AZ17" s="277">
        <f>AN17/1000*'S2.5 energy supply scenarios'!$B$36+$F$25</f>
        <v>0.41822158745177795</v>
      </c>
      <c r="BA17" s="277">
        <f>AO17/1000*'S2.5 energy supply scenarios'!$B$36+$F$25</f>
        <v>0.41035921145427112</v>
      </c>
      <c r="BB17" s="277">
        <f>AP17/1000*'S2.5 energy supply scenarios'!$B$36+$F$25</f>
        <v>0.49430130443800024</v>
      </c>
      <c r="BC17" s="277">
        <f>AQ17/1000*'S2.5 energy supply scenarios'!$B$36+$F$25</f>
        <v>0.4841925352983486</v>
      </c>
      <c r="BD17" s="277">
        <f>AR17/1000*'S2.5 energy supply scenarios'!$B$36+$F$25</f>
        <v>0.63124479501320041</v>
      </c>
      <c r="BE17" s="317">
        <f>AS17/1000*'S2.5 energy supply scenarios'!$B$36+$F$25</f>
        <v>0.61709251821768796</v>
      </c>
    </row>
    <row r="18" spans="2:57" ht="15.75" thickBot="1" x14ac:dyDescent="0.3">
      <c r="B18" s="341" t="s">
        <v>22</v>
      </c>
      <c r="C18" s="342">
        <v>1000</v>
      </c>
      <c r="D18" s="332">
        <f>'S2.1.2 Gas_sim'!AK71</f>
        <v>5525.1064299999998</v>
      </c>
      <c r="E18" s="333">
        <f>'S2.1.2 Gas_sim'!AL71</f>
        <v>265.01550373205737</v>
      </c>
      <c r="F18" s="321">
        <f>'S2.1.2 Gas_sim'!AM71</f>
        <v>1362.8847499999999</v>
      </c>
      <c r="G18" s="334">
        <f>'S2.1.2 Gas_sim'!AM71+'S2.1.2 Gas_sim'!AN71</f>
        <v>1485.2578509999998</v>
      </c>
      <c r="H18" s="338">
        <f t="shared" si="0"/>
        <v>4162.2216799999997</v>
      </c>
      <c r="I18" s="339">
        <f t="shared" si="1"/>
        <v>4039.848579</v>
      </c>
      <c r="J18" s="318">
        <f>$H18*'S2.5 energy supply scenarios'!$B$11/'S2.1.3 Gas_imp'!$C$22</f>
        <v>4162.2216799999997</v>
      </c>
      <c r="K18" s="319">
        <f>$I18*'S2.5 energy supply scenarios'!$B$11/'S2.1.3 Gas_imp'!$C$22</f>
        <v>4039.848579</v>
      </c>
      <c r="L18" s="319">
        <f>$H18*'S2.5 energy supply scenarios'!$B$11/'S2.1.3 Gas_imp'!$D$22</f>
        <v>4613.3938010381762</v>
      </c>
      <c r="M18" s="319">
        <f>$I18*'S2.5 energy supply scenarios'!$B$11/'S2.1.3 Gas_imp'!$D$22</f>
        <v>4477.7558295481003</v>
      </c>
      <c r="N18" s="319">
        <f>$H18*'S2.5 energy supply scenarios'!$B$11/'S2.1.3 Gas_imp'!$E$22</f>
        <v>5174.2687323287882</v>
      </c>
      <c r="O18" s="320">
        <f>$I18*'S2.5 energy supply scenarios'!$B$11/'S2.1.3 Gas_imp'!$E$22</f>
        <v>5022.140528003446</v>
      </c>
      <c r="P18" s="321">
        <f>J18*(1-'S2.1.3 Gas_imp'!$C$23)</f>
        <v>3954.1105959999995</v>
      </c>
      <c r="Q18" s="319">
        <f>K18*(1-'S2.1.3 Gas_imp'!$C$23)</f>
        <v>3837.85615005</v>
      </c>
      <c r="R18" s="319">
        <f>L18*(1-'S2.1.3 Gas_imp'!$C$23)</f>
        <v>4382.7241109862671</v>
      </c>
      <c r="S18" s="319">
        <f>M18*(1-'S2.1.3 Gas_imp'!$C$23)</f>
        <v>4253.8680380706955</v>
      </c>
      <c r="T18" s="319">
        <f>N18*(1-'S2.1.3 Gas_imp'!$C$23)</f>
        <v>4915.5552957123482</v>
      </c>
      <c r="U18" s="320">
        <f>O18*(1-'S2.1.3 Gas_imp'!$C$23)</f>
        <v>4771.0335016032732</v>
      </c>
      <c r="V18" s="322">
        <f>J18/1000*'S2.5 energy supply scenarios'!$B$6</f>
        <v>1.1306674094893479</v>
      </c>
      <c r="W18" s="323">
        <f>K18/1000*'S2.5 energy supply scenarios'!$B$6</f>
        <v>1.0974247598333478</v>
      </c>
      <c r="X18" s="323">
        <f>L18/1000*'S2.5 energy supply scenarios'!$B$6</f>
        <v>1.2532283042584245</v>
      </c>
      <c r="Y18" s="323">
        <f>M18/1000*'S2.5 energy supply scenarios'!$B$6</f>
        <v>1.2163822528839878</v>
      </c>
      <c r="Z18" s="323">
        <f>N18/1000*'S2.5 energy supply scenarios'!$B$6</f>
        <v>1.4055899645364209</v>
      </c>
      <c r="AA18" s="1080">
        <f>O18/1000*'S2.5 energy supply scenarios'!$B$6</f>
        <v>1.3642643418476263</v>
      </c>
      <c r="AB18" s="323">
        <f>P18/1000*'S2.5 energy supply scenarios'!$B$6+$C$25</f>
        <v>1.2260766170148805</v>
      </c>
      <c r="AC18" s="323">
        <f>Q18/1000*'S2.5 energy supply scenarios'!$B$6+$C$25</f>
        <v>1.1944960998416803</v>
      </c>
      <c r="AD18" s="323">
        <f>R18/1000*'S2.5 energy supply scenarios'!$B$6+$C$25</f>
        <v>1.3425094670455031</v>
      </c>
      <c r="AE18" s="323">
        <f>S18/1000*'S2.5 energy supply scenarios'!$B$6+$C$25</f>
        <v>1.3075057182397885</v>
      </c>
      <c r="AF18" s="323">
        <f>T18/1000*'S2.5 energy supply scenarios'!$B$6+$C$25</f>
        <v>1.4872530443095999</v>
      </c>
      <c r="AG18" s="324">
        <f>U18/1000*'S2.5 energy supply scenarios'!$B$6+$C$25</f>
        <v>1.447993702755245</v>
      </c>
      <c r="AH18" s="318">
        <f>$H18/'S2.1.3 Gas_imp'!$F$22</f>
        <v>4624.6907555555554</v>
      </c>
      <c r="AI18" s="319">
        <f>$I18/'S2.1.3 Gas_imp'!$F$22</f>
        <v>4488.7206433333331</v>
      </c>
      <c r="AJ18" s="319">
        <f>$H18/'S2.1.3 Gas_imp'!$G$22</f>
        <v>5946.0309714285713</v>
      </c>
      <c r="AK18" s="319">
        <f>$I18/'S2.1.3 Gas_imp'!$G$22</f>
        <v>5771.2122557142857</v>
      </c>
      <c r="AL18" s="319">
        <f>$H18/'S2.1.3 Gas_imp'!$H$22</f>
        <v>8324.4433599999993</v>
      </c>
      <c r="AM18" s="319">
        <f>$I18/'S2.1.3 Gas_imp'!$H$22</f>
        <v>8079.6971579999999</v>
      </c>
      <c r="AN18" s="321">
        <f>AH18*(1-'S2.1.3 Gas_imp'!$C$23)</f>
        <v>4393.4562177777771</v>
      </c>
      <c r="AO18" s="319">
        <f>AI18*(1-'S2.1.3 Gas_imp'!$C$23)</f>
        <v>4264.2846111666659</v>
      </c>
      <c r="AP18" s="319">
        <f>AJ18*(1-'S2.1.3 Gas_imp'!$C$23)</f>
        <v>5648.7294228571427</v>
      </c>
      <c r="AQ18" s="319">
        <f>AK18*(1-'S2.1.3 Gas_imp'!$C$23)</f>
        <v>5482.6516429285712</v>
      </c>
      <c r="AR18" s="319">
        <f>AL18*(1-'S2.1.3 Gas_imp'!$C$23)</f>
        <v>7908.2211919999991</v>
      </c>
      <c r="AS18" s="320">
        <f>AM18*(1-'S2.1.3 Gas_imp'!$C$23)</f>
        <v>7675.7123001</v>
      </c>
      <c r="AT18" s="323">
        <f>AH18/1000*'S2.5 energy supply scenarios'!$B$36</f>
        <v>0.28194908201476016</v>
      </c>
      <c r="AU18" s="323">
        <f>AI18/1000*'S2.5 energy supply scenarios'!$B$36</f>
        <v>0.27365952270175176</v>
      </c>
      <c r="AV18" s="323">
        <f>AJ18/1000*'S2.5 energy supply scenarios'!$B$36</f>
        <v>0.36250596259040596</v>
      </c>
      <c r="AW18" s="323">
        <f>AK18/1000*'S2.5 energy supply scenarios'!$B$36</f>
        <v>0.35184795775939509</v>
      </c>
      <c r="AX18" s="323">
        <f>AL18/1000*'S2.5 energy supply scenarios'!$B$36</f>
        <v>0.50750834762656827</v>
      </c>
      <c r="AY18" s="1080">
        <f>AM18/1000*'S2.5 energy supply scenarios'!$B$36</f>
        <v>0.49258714086315319</v>
      </c>
      <c r="AZ18" s="323">
        <f>AN18/1000*'S2.5 energy supply scenarios'!$B$36+$F$25</f>
        <v>0.41979420591402217</v>
      </c>
      <c r="BA18" s="323">
        <f>AO18/1000*'S2.5 energy supply scenarios'!$B$36+$F$25</f>
        <v>0.41191912456666413</v>
      </c>
      <c r="BB18" s="323">
        <f>AP18/1000*'S2.5 energy supply scenarios'!$B$36+$F$25</f>
        <v>0.49632324246088566</v>
      </c>
      <c r="BC18" s="323">
        <f>AQ18/1000*'S2.5 energy supply scenarios'!$B$36+$F$25</f>
        <v>0.48619813787142541</v>
      </c>
      <c r="BD18" s="323">
        <f>AR18/1000*'S2.5 energy supply scenarios'!$B$36+$F$25</f>
        <v>0.63407550824523984</v>
      </c>
      <c r="BE18" s="324">
        <f>AS18/1000*'S2.5 energy supply scenarios'!$B$36+$F$25</f>
        <v>0.61990036181999553</v>
      </c>
    </row>
    <row r="20" spans="2:57" x14ac:dyDescent="0.25">
      <c r="C20" s="1335" t="s">
        <v>1147</v>
      </c>
      <c r="D20" s="1335"/>
      <c r="E20" s="1335"/>
      <c r="F20" s="1335" t="s">
        <v>1148</v>
      </c>
      <c r="G20" s="1335"/>
      <c r="H20" s="1335"/>
    </row>
    <row r="21" spans="2:57" x14ac:dyDescent="0.25">
      <c r="C21" s="787" t="s">
        <v>1128</v>
      </c>
      <c r="D21" s="792" t="s">
        <v>1141</v>
      </c>
      <c r="E21" s="793" t="s">
        <v>1130</v>
      </c>
      <c r="F21" s="787" t="s">
        <v>1128</v>
      </c>
      <c r="G21" s="792" t="s">
        <v>1141</v>
      </c>
      <c r="H21" s="793" t="s">
        <v>1130</v>
      </c>
      <c r="I21" s="720" t="s">
        <v>3</v>
      </c>
      <c r="J21" s="720" t="s">
        <v>3</v>
      </c>
      <c r="V21" s="63"/>
    </row>
    <row r="22" spans="2:57" s="184" customFormat="1" x14ac:dyDescent="0.25">
      <c r="B22" s="787" t="s">
        <v>1845</v>
      </c>
      <c r="C22" s="788">
        <f>'S2.5 energy supply scenarios'!$B$11</f>
        <v>0.90750000000000386</v>
      </c>
      <c r="D22" s="789">
        <f>AVERAGE(E22,C22)</f>
        <v>0.81875000000000187</v>
      </c>
      <c r="E22" s="790">
        <v>0.73</v>
      </c>
      <c r="F22" s="788">
        <v>0.9</v>
      </c>
      <c r="G22" s="789">
        <f>AVERAGE(F22,H22)</f>
        <v>0.7</v>
      </c>
      <c r="H22" s="790">
        <v>0.5</v>
      </c>
      <c r="J22"/>
    </row>
    <row r="23" spans="2:57" s="184" customFormat="1" x14ac:dyDescent="0.25">
      <c r="B23" s="787" t="s">
        <v>1139</v>
      </c>
      <c r="C23" s="788">
        <v>0.05</v>
      </c>
      <c r="D23" s="791">
        <v>0.05</v>
      </c>
      <c r="E23" s="790">
        <v>0</v>
      </c>
      <c r="F23" s="788">
        <f>C23</f>
        <v>0.05</v>
      </c>
      <c r="G23" s="791">
        <f>D23</f>
        <v>0.05</v>
      </c>
      <c r="H23" s="790">
        <f>E23</f>
        <v>0</v>
      </c>
      <c r="J23"/>
    </row>
    <row r="24" spans="2:57" s="184" customFormat="1" x14ac:dyDescent="0.25">
      <c r="B24" s="794" t="s">
        <v>1977</v>
      </c>
      <c r="C24" s="1336" t="s">
        <v>1976</v>
      </c>
      <c r="D24" s="1337"/>
      <c r="E24" s="1337"/>
      <c r="F24" s="1337"/>
      <c r="G24" s="1337"/>
      <c r="H24" s="1338"/>
      <c r="I24" s="212"/>
      <c r="J24"/>
    </row>
    <row r="25" spans="2:57" x14ac:dyDescent="0.25">
      <c r="B25" s="800" t="s">
        <v>1889</v>
      </c>
      <c r="C25" s="1332">
        <f>'S2.2.2 Pyro_imp'!C68</f>
        <v>0.15194257800000002</v>
      </c>
      <c r="D25" s="1333"/>
      <c r="E25" s="1334"/>
      <c r="F25" s="1339">
        <f>C25</f>
        <v>0.15194257800000002</v>
      </c>
      <c r="G25" s="1339"/>
      <c r="H25" s="1340"/>
    </row>
    <row r="26" spans="2:57" ht="15.75" thickBot="1" x14ac:dyDescent="0.3"/>
    <row r="27" spans="2:57" ht="18.75" x14ac:dyDescent="0.3">
      <c r="B27" s="916" t="s">
        <v>1749</v>
      </c>
      <c r="C27" s="917"/>
      <c r="D27" s="328"/>
      <c r="E27" t="s">
        <v>3</v>
      </c>
    </row>
    <row r="28" spans="2:57" x14ac:dyDescent="0.25">
      <c r="B28" s="918" t="s">
        <v>1753</v>
      </c>
      <c r="C28" s="19"/>
      <c r="D28" s="340"/>
    </row>
    <row r="29" spans="2:57" x14ac:dyDescent="0.25">
      <c r="B29" s="900" t="s">
        <v>1556</v>
      </c>
      <c r="C29" s="840"/>
      <c r="D29" s="340"/>
      <c r="E29" t="s">
        <v>3</v>
      </c>
    </row>
    <row r="30" spans="2:57" x14ac:dyDescent="0.25">
      <c r="B30" s="1329"/>
      <c r="C30" s="1330"/>
      <c r="D30" s="1331"/>
    </row>
    <row r="31" spans="2:57" x14ac:dyDescent="0.25">
      <c r="B31" s="919" t="s">
        <v>1543</v>
      </c>
      <c r="C31" s="19"/>
      <c r="D31" s="340"/>
      <c r="E31" t="s">
        <v>3</v>
      </c>
    </row>
    <row r="32" spans="2:57" x14ac:dyDescent="0.25">
      <c r="B32" s="920" t="s">
        <v>491</v>
      </c>
      <c r="C32" s="353"/>
      <c r="D32" s="921"/>
      <c r="E32" t="s">
        <v>3</v>
      </c>
    </row>
    <row r="33" spans="2:5" x14ac:dyDescent="0.25">
      <c r="B33" s="126" t="s">
        <v>1965</v>
      </c>
      <c r="C33" s="19">
        <v>0</v>
      </c>
      <c r="D33" s="340" t="s">
        <v>1837</v>
      </c>
      <c r="E33" t="s">
        <v>3</v>
      </c>
    </row>
    <row r="34" spans="2:5" x14ac:dyDescent="0.25">
      <c r="B34" s="919" t="s">
        <v>1931</v>
      </c>
      <c r="C34" s="307">
        <v>0</v>
      </c>
      <c r="D34" s="340"/>
      <c r="E34" t="s">
        <v>3</v>
      </c>
    </row>
    <row r="35" spans="2:5" x14ac:dyDescent="0.25">
      <c r="B35" s="922" t="s">
        <v>1932</v>
      </c>
      <c r="C35" s="462">
        <v>0</v>
      </c>
      <c r="D35" s="923"/>
      <c r="E35" t="s">
        <v>3</v>
      </c>
    </row>
    <row r="36" spans="2:5" x14ac:dyDescent="0.25">
      <c r="B36" s="919" t="s">
        <v>466</v>
      </c>
      <c r="C36" s="19"/>
      <c r="D36" s="340"/>
      <c r="E36" t="s">
        <v>3</v>
      </c>
    </row>
    <row r="37" spans="2:5" x14ac:dyDescent="0.25">
      <c r="B37" s="126" t="s">
        <v>1978</v>
      </c>
      <c r="C37" s="19">
        <v>2.5</v>
      </c>
      <c r="D37" s="340" t="s">
        <v>1838</v>
      </c>
      <c r="E37" t="s">
        <v>3</v>
      </c>
    </row>
    <row r="38" spans="2:5" x14ac:dyDescent="0.25">
      <c r="B38" s="924" t="s">
        <v>1982</v>
      </c>
      <c r="C38" s="1172">
        <f>(C37/3.6)*'S2.5 energy supply scenarios'!B16</f>
        <v>5.312871999999999E-2</v>
      </c>
      <c r="D38" s="925"/>
      <c r="E38" t="s">
        <v>3</v>
      </c>
    </row>
    <row r="39" spans="2:5" x14ac:dyDescent="0.25">
      <c r="B39" s="924" t="s">
        <v>1983</v>
      </c>
      <c r="C39" s="1172">
        <f>(C37/3.6)*'S2.5 energy supply scenarios'!B40</f>
        <v>4.3646935919005335E-2</v>
      </c>
      <c r="D39" s="925"/>
      <c r="E39" t="s">
        <v>3</v>
      </c>
    </row>
    <row r="40" spans="2:5" x14ac:dyDescent="0.25">
      <c r="B40" s="126" t="s">
        <v>1979</v>
      </c>
      <c r="C40" s="23">
        <v>0.2975206611570248</v>
      </c>
      <c r="D40" s="340" t="s">
        <v>1839</v>
      </c>
      <c r="E40" t="s">
        <v>3</v>
      </c>
    </row>
    <row r="41" spans="2:5" x14ac:dyDescent="0.25">
      <c r="B41" s="924" t="s">
        <v>1984</v>
      </c>
      <c r="C41" s="1172">
        <f>(C40/3.6)*'S2.5 energy supply scenarios'!B21</f>
        <v>3.4322974214876033E-2</v>
      </c>
      <c r="D41" s="340"/>
      <c r="E41" t="s">
        <v>3</v>
      </c>
    </row>
    <row r="42" spans="2:5" x14ac:dyDescent="0.25">
      <c r="B42" s="924" t="s">
        <v>1985</v>
      </c>
      <c r="C42" s="1172">
        <f>(C40/3.6)*'S2.5 energy supply scenarios'!B43</f>
        <v>5.0385157100550958E-3</v>
      </c>
      <c r="D42" s="340"/>
      <c r="E42" t="s">
        <v>3</v>
      </c>
    </row>
    <row r="43" spans="2:5" x14ac:dyDescent="0.25">
      <c r="B43" s="126" t="s">
        <v>1980</v>
      </c>
      <c r="C43" s="19">
        <f>4/1000</f>
        <v>4.0000000000000001E-3</v>
      </c>
      <c r="D43" s="340" t="s">
        <v>1840</v>
      </c>
      <c r="E43" t="s">
        <v>3</v>
      </c>
    </row>
    <row r="44" spans="2:5" x14ac:dyDescent="0.25">
      <c r="B44" s="126" t="s">
        <v>1986</v>
      </c>
      <c r="C44" s="21">
        <v>3.1698227999999999</v>
      </c>
      <c r="D44" s="340" t="s">
        <v>1841</v>
      </c>
      <c r="E44" t="s">
        <v>3</v>
      </c>
    </row>
    <row r="45" spans="2:5" x14ac:dyDescent="0.25">
      <c r="B45" s="946" t="s">
        <v>1981</v>
      </c>
      <c r="C45" s="1172">
        <f>C43*C44</f>
        <v>1.26792912E-2</v>
      </c>
      <c r="D45" s="340"/>
      <c r="E45" t="s">
        <v>3</v>
      </c>
    </row>
    <row r="46" spans="2:5" x14ac:dyDescent="0.25">
      <c r="B46" s="900" t="s">
        <v>1987</v>
      </c>
      <c r="C46" s="272">
        <f>1/1000</f>
        <v>1E-3</v>
      </c>
      <c r="D46" s="926" t="s">
        <v>1842</v>
      </c>
      <c r="E46" t="s">
        <v>3</v>
      </c>
    </row>
    <row r="47" spans="2:5" x14ac:dyDescent="0.25">
      <c r="B47" s="919" t="s">
        <v>1931</v>
      </c>
      <c r="C47" s="464">
        <f>SUM(C38,C41,C45)*'S2.1.4 Gas_cred'!E7*'S2.1.4 Gas_cred'!I20</f>
        <v>6.0875718832652517E-3</v>
      </c>
      <c r="D47" s="340" t="s">
        <v>1988</v>
      </c>
      <c r="E47" t="s">
        <v>3</v>
      </c>
    </row>
    <row r="48" spans="2:5" x14ac:dyDescent="0.25">
      <c r="B48" s="922" t="s">
        <v>1932</v>
      </c>
      <c r="C48" s="795">
        <f>SUM(C39,C42,C45)*'S2.1.4 Gas_cred'!E7*'S2.1.4 Gas_cred'!I20</f>
        <v>3.730736110527608E-3</v>
      </c>
      <c r="D48" s="923" t="s">
        <v>1988</v>
      </c>
      <c r="E48" t="s">
        <v>3</v>
      </c>
    </row>
    <row r="49" spans="2:5" ht="15.75" x14ac:dyDescent="0.25">
      <c r="B49" s="927" t="s">
        <v>1931</v>
      </c>
      <c r="C49" s="466">
        <f>SUM(C34,C47)</f>
        <v>6.0875718832652517E-3</v>
      </c>
      <c r="D49" s="928"/>
      <c r="E49" t="s">
        <v>3</v>
      </c>
    </row>
    <row r="50" spans="2:5" ht="15.75" x14ac:dyDescent="0.25">
      <c r="B50" s="929" t="s">
        <v>1932</v>
      </c>
      <c r="C50" s="796">
        <f>SUM(C35,C48)</f>
        <v>3.730736110527608E-3</v>
      </c>
      <c r="D50" s="930"/>
      <c r="E50" t="s">
        <v>3</v>
      </c>
    </row>
    <row r="51" spans="2:5" x14ac:dyDescent="0.25">
      <c r="B51" s="1328"/>
      <c r="C51" s="1318"/>
      <c r="D51" s="1321"/>
      <c r="E51" t="s">
        <v>3</v>
      </c>
    </row>
    <row r="52" spans="2:5" x14ac:dyDescent="0.25">
      <c r="B52" s="919" t="s">
        <v>1544</v>
      </c>
      <c r="C52" s="19"/>
      <c r="D52" s="340"/>
      <c r="E52" t="s">
        <v>3</v>
      </c>
    </row>
    <row r="53" spans="2:5" x14ac:dyDescent="0.25">
      <c r="B53" s="920" t="s">
        <v>491</v>
      </c>
      <c r="C53" s="353"/>
      <c r="D53" s="921"/>
      <c r="E53" t="s">
        <v>3</v>
      </c>
    </row>
    <row r="54" spans="2:5" x14ac:dyDescent="0.25">
      <c r="B54" s="126" t="s">
        <v>1965</v>
      </c>
      <c r="C54" s="19">
        <v>0</v>
      </c>
      <c r="D54" s="340" t="s">
        <v>1837</v>
      </c>
      <c r="E54" t="s">
        <v>3</v>
      </c>
    </row>
    <row r="55" spans="2:5" x14ac:dyDescent="0.25">
      <c r="B55" s="919" t="s">
        <v>1931</v>
      </c>
      <c r="C55" s="307">
        <v>0</v>
      </c>
      <c r="D55" s="340"/>
      <c r="E55" t="s">
        <v>3</v>
      </c>
    </row>
    <row r="56" spans="2:5" x14ac:dyDescent="0.25">
      <c r="B56" s="922" t="s">
        <v>1932</v>
      </c>
      <c r="C56" s="462">
        <v>0</v>
      </c>
      <c r="D56" s="923"/>
      <c r="E56" t="s">
        <v>3</v>
      </c>
    </row>
    <row r="57" spans="2:5" x14ac:dyDescent="0.25">
      <c r="B57" s="920" t="s">
        <v>466</v>
      </c>
      <c r="C57" s="353"/>
      <c r="D57" s="921"/>
      <c r="E57" t="s">
        <v>3</v>
      </c>
    </row>
    <row r="58" spans="2:5" x14ac:dyDescent="0.25">
      <c r="B58" s="919" t="s">
        <v>1931</v>
      </c>
      <c r="C58" s="464">
        <f>C47</f>
        <v>6.0875718832652517E-3</v>
      </c>
      <c r="D58" s="340"/>
      <c r="E58" t="s">
        <v>3</v>
      </c>
    </row>
    <row r="59" spans="2:5" x14ac:dyDescent="0.25">
      <c r="B59" s="922" t="s">
        <v>1932</v>
      </c>
      <c r="C59" s="795">
        <f>C48</f>
        <v>3.730736110527608E-3</v>
      </c>
      <c r="D59" s="923"/>
      <c r="E59" t="s">
        <v>3</v>
      </c>
    </row>
    <row r="60" spans="2:5" x14ac:dyDescent="0.25">
      <c r="B60" s="920" t="s">
        <v>457</v>
      </c>
      <c r="C60" s="353"/>
      <c r="D60" s="921"/>
      <c r="E60" t="s">
        <v>3</v>
      </c>
    </row>
    <row r="61" spans="2:5" x14ac:dyDescent="0.25">
      <c r="B61" s="126" t="s">
        <v>1989</v>
      </c>
      <c r="C61" s="23">
        <f>5.255/(1.898+0.898+0.198)/2</f>
        <v>0.87758851035404151</v>
      </c>
      <c r="D61" s="926" t="s">
        <v>1751</v>
      </c>
      <c r="E61" t="s">
        <v>3</v>
      </c>
    </row>
    <row r="62" spans="2:5" x14ac:dyDescent="0.25">
      <c r="B62" s="924" t="s">
        <v>1933</v>
      </c>
      <c r="C62" s="1172">
        <f>C61*'S2.5 energy supply scenarios'!B21</f>
        <v>0.36446951852705417</v>
      </c>
      <c r="D62" s="926"/>
      <c r="E62" t="s">
        <v>3</v>
      </c>
    </row>
    <row r="63" spans="2:5" x14ac:dyDescent="0.25">
      <c r="B63" s="924" t="s">
        <v>1934</v>
      </c>
      <c r="C63" s="1172">
        <f>C61*'S2.5 energy supply scenarios'!B43</f>
        <v>5.3503096306230513E-2</v>
      </c>
      <c r="D63" s="926"/>
      <c r="E63" t="s">
        <v>3</v>
      </c>
    </row>
    <row r="64" spans="2:5" x14ac:dyDescent="0.25">
      <c r="B64" s="918" t="s">
        <v>1990</v>
      </c>
      <c r="C64" s="1174">
        <f>C43*'S2.1.4 Gas_cred'!E7*'S2.1.4 Gas_cred'!I15</f>
        <v>3.3161500815660679E-4</v>
      </c>
      <c r="D64" s="340" t="s">
        <v>1991</v>
      </c>
      <c r="E64" t="s">
        <v>3</v>
      </c>
    </row>
    <row r="65" spans="2:5" x14ac:dyDescent="0.25">
      <c r="B65" s="918" t="s">
        <v>1992</v>
      </c>
      <c r="C65" s="21">
        <v>3.3035345999999999</v>
      </c>
      <c r="D65" s="340" t="s">
        <v>1993</v>
      </c>
      <c r="E65" t="s">
        <v>3</v>
      </c>
    </row>
    <row r="66" spans="2:5" x14ac:dyDescent="0.25">
      <c r="B66" s="924" t="s">
        <v>1935</v>
      </c>
      <c r="C66" s="1171">
        <f>C65*C64</f>
        <v>1.0955016533246327E-3</v>
      </c>
      <c r="D66" s="340"/>
      <c r="E66" t="s">
        <v>3</v>
      </c>
    </row>
    <row r="67" spans="2:5" x14ac:dyDescent="0.25">
      <c r="B67" s="918" t="s">
        <v>1994</v>
      </c>
      <c r="C67" s="21">
        <v>1.6434896000000001</v>
      </c>
      <c r="D67" s="340" t="s">
        <v>1995</v>
      </c>
      <c r="E67" t="s">
        <v>3</v>
      </c>
    </row>
    <row r="68" spans="2:5" x14ac:dyDescent="0.25">
      <c r="B68" s="918" t="s">
        <v>1555</v>
      </c>
      <c r="C68" s="1170">
        <f>C64</f>
        <v>3.3161500815660679E-4</v>
      </c>
      <c r="D68" s="340" t="s">
        <v>1996</v>
      </c>
      <c r="E68" t="s">
        <v>3</v>
      </c>
    </row>
    <row r="69" spans="2:5" x14ac:dyDescent="0.25">
      <c r="B69" s="924" t="s">
        <v>1936</v>
      </c>
      <c r="C69" s="1171">
        <f>C67*C68</f>
        <v>5.4500581710929851E-4</v>
      </c>
      <c r="D69" s="340"/>
      <c r="E69" t="s">
        <v>3</v>
      </c>
    </row>
    <row r="70" spans="2:5" x14ac:dyDescent="0.25">
      <c r="B70" s="919" t="s">
        <v>1931</v>
      </c>
      <c r="C70" s="464">
        <f>SUM(C62,C66,C69)</f>
        <v>0.3661100259974881</v>
      </c>
      <c r="D70" s="340"/>
      <c r="E70" t="s">
        <v>3</v>
      </c>
    </row>
    <row r="71" spans="2:5" x14ac:dyDescent="0.25">
      <c r="B71" s="922" t="s">
        <v>1932</v>
      </c>
      <c r="C71" s="1173">
        <f>SUM(C63,C66,C69)</f>
        <v>5.514360377666444E-2</v>
      </c>
      <c r="D71" s="923"/>
      <c r="E71" t="s">
        <v>3</v>
      </c>
    </row>
    <row r="72" spans="2:5" x14ac:dyDescent="0.25">
      <c r="B72" s="920" t="s">
        <v>448</v>
      </c>
      <c r="C72" s="353"/>
      <c r="D72" s="921"/>
      <c r="E72" t="s">
        <v>3</v>
      </c>
    </row>
    <row r="73" spans="2:5" x14ac:dyDescent="0.25">
      <c r="B73" s="919" t="s">
        <v>1931</v>
      </c>
      <c r="C73" s="464">
        <f>C70</f>
        <v>0.3661100259974881</v>
      </c>
      <c r="D73" s="936" t="s">
        <v>1843</v>
      </c>
      <c r="E73" t="s">
        <v>3</v>
      </c>
    </row>
    <row r="74" spans="2:5" x14ac:dyDescent="0.25">
      <c r="B74" s="922" t="s">
        <v>1932</v>
      </c>
      <c r="C74" s="1173">
        <f>C71</f>
        <v>5.514360377666444E-2</v>
      </c>
      <c r="D74" s="923" t="str">
        <f>D73</f>
        <v>approximated with H2 separation; assumed similar as for H2 PSA - integration possible (only once compression needed); PSA is used based on ecoinvent documentation; cf. Ecoinvent total CO production impact: 1.17 kg CO2-eq / kg</v>
      </c>
      <c r="E74" t="s">
        <v>3</v>
      </c>
    </row>
    <row r="75" spans="2:5" x14ac:dyDescent="0.25">
      <c r="B75" s="920" t="s">
        <v>492</v>
      </c>
      <c r="C75" s="353"/>
      <c r="D75" s="921"/>
      <c r="E75" t="s">
        <v>3</v>
      </c>
    </row>
    <row r="76" spans="2:5" x14ac:dyDescent="0.25">
      <c r="B76" s="126" t="s">
        <v>1999</v>
      </c>
      <c r="C76" s="21">
        <f>'S2.2.2 Pyro_imp'!E38*1/4</f>
        <v>2.552910052910053E-2</v>
      </c>
      <c r="D76" s="340" t="s">
        <v>1734</v>
      </c>
      <c r="E76" t="s">
        <v>3</v>
      </c>
    </row>
    <row r="77" spans="2:5" x14ac:dyDescent="0.25">
      <c r="B77" s="919" t="s">
        <v>1931</v>
      </c>
      <c r="C77" s="464">
        <f>C76*'S2.5 energy supply scenarios'!B16</f>
        <v>1.9531129447619047E-3</v>
      </c>
      <c r="D77" s="340"/>
      <c r="E77" t="s">
        <v>3</v>
      </c>
    </row>
    <row r="78" spans="2:5" x14ac:dyDescent="0.25">
      <c r="B78" s="922" t="s">
        <v>1932</v>
      </c>
      <c r="C78" s="1173">
        <f>C76*'S2.5 energy supply scenarios'!$B$40</f>
        <v>1.6045445014034342E-3</v>
      </c>
      <c r="D78" s="923"/>
      <c r="E78" t="s">
        <v>3</v>
      </c>
    </row>
    <row r="79" spans="2:5" ht="15.75" x14ac:dyDescent="0.25">
      <c r="B79" s="931" t="s">
        <v>1931</v>
      </c>
      <c r="C79" s="466">
        <f>SUM(C55,C58,C70,C73,C77)</f>
        <v>0.74026073682300331</v>
      </c>
      <c r="D79" s="932"/>
      <c r="E79" t="s">
        <v>3</v>
      </c>
    </row>
    <row r="80" spans="2:5" ht="16.5" thickBot="1" x14ac:dyDescent="0.3">
      <c r="B80" s="933" t="s">
        <v>1932</v>
      </c>
      <c r="C80" s="934">
        <f>SUM(C56,C59,C71,C74,C78)</f>
        <v>0.11562248816525991</v>
      </c>
      <c r="D80" s="935"/>
      <c r="E80" t="s">
        <v>3</v>
      </c>
    </row>
    <row r="81" spans="2:5" x14ac:dyDescent="0.25">
      <c r="B81" s="797"/>
    </row>
    <row r="82" spans="2:5" ht="15.75" thickBot="1" x14ac:dyDescent="0.3">
      <c r="B82" s="797"/>
    </row>
    <row r="83" spans="2:5" ht="18.75" x14ac:dyDescent="0.3">
      <c r="B83" s="916" t="s">
        <v>1750</v>
      </c>
      <c r="C83" s="917"/>
      <c r="D83" s="328"/>
      <c r="E83" t="s">
        <v>3</v>
      </c>
    </row>
    <row r="84" spans="2:5" x14ac:dyDescent="0.25">
      <c r="B84" s="918" t="s">
        <v>1753</v>
      </c>
      <c r="C84" s="19"/>
      <c r="D84" s="340"/>
    </row>
    <row r="85" spans="2:5" x14ac:dyDescent="0.25">
      <c r="B85" s="126" t="s">
        <v>1998</v>
      </c>
      <c r="C85" s="21">
        <f>'S2.2.2 Pyro_imp'!E38*6/4</f>
        <v>0.15317460317460319</v>
      </c>
      <c r="D85" s="340" t="s">
        <v>1734</v>
      </c>
      <c r="E85" t="s">
        <v>3</v>
      </c>
    </row>
    <row r="86" spans="2:5" ht="15.75" x14ac:dyDescent="0.25">
      <c r="B86" s="937" t="s">
        <v>1937</v>
      </c>
      <c r="C86" s="939">
        <f>C85*'S2.5 energy supply scenarios'!B16</f>
        <v>1.1718677668571428E-2</v>
      </c>
      <c r="D86" s="340"/>
    </row>
    <row r="87" spans="2:5" ht="16.5" thickBot="1" x14ac:dyDescent="0.3">
      <c r="B87" s="938" t="s">
        <v>1938</v>
      </c>
      <c r="C87" s="940">
        <f>C85*'S2.5 energy supply scenarios'!$B$40</f>
        <v>9.6272670084206063E-3</v>
      </c>
      <c r="D87" s="342"/>
    </row>
  </sheetData>
  <mergeCells count="45">
    <mergeCell ref="J3:U3"/>
    <mergeCell ref="AH3:AS3"/>
    <mergeCell ref="B51:D51"/>
    <mergeCell ref="B30:D30"/>
    <mergeCell ref="V3:AG3"/>
    <mergeCell ref="V4:AA4"/>
    <mergeCell ref="AB4:AG4"/>
    <mergeCell ref="X5:Y5"/>
    <mergeCell ref="Z5:AA5"/>
    <mergeCell ref="AH4:AM4"/>
    <mergeCell ref="C25:E25"/>
    <mergeCell ref="C20:E20"/>
    <mergeCell ref="F20:H20"/>
    <mergeCell ref="C24:H24"/>
    <mergeCell ref="F25:H25"/>
    <mergeCell ref="AN4:AS4"/>
    <mergeCell ref="AT3:BE3"/>
    <mergeCell ref="AT5:AU5"/>
    <mergeCell ref="AV5:AW5"/>
    <mergeCell ref="AX5:AY5"/>
    <mergeCell ref="AZ5:BA5"/>
    <mergeCell ref="BB5:BC5"/>
    <mergeCell ref="BD5:BE5"/>
    <mergeCell ref="J2:AG2"/>
    <mergeCell ref="AH2:BE2"/>
    <mergeCell ref="AB5:AC5"/>
    <mergeCell ref="AD5:AE5"/>
    <mergeCell ref="V5:W5"/>
    <mergeCell ref="J4:O4"/>
    <mergeCell ref="J5:K5"/>
    <mergeCell ref="L5:M5"/>
    <mergeCell ref="N5:O5"/>
    <mergeCell ref="P4:U4"/>
    <mergeCell ref="P5:Q5"/>
    <mergeCell ref="R5:S5"/>
    <mergeCell ref="T5:U5"/>
    <mergeCell ref="AF5:AG5"/>
    <mergeCell ref="AT4:AY4"/>
    <mergeCell ref="AZ4:BE4"/>
    <mergeCell ref="AR5:AS5"/>
    <mergeCell ref="AH5:AI5"/>
    <mergeCell ref="AJ5:AK5"/>
    <mergeCell ref="AL5:AM5"/>
    <mergeCell ref="AN5:AO5"/>
    <mergeCell ref="AP5:AQ5"/>
  </mergeCells>
  <conditionalFormatting sqref="D7:E18">
    <cfRule type="colorScale" priority="6">
      <colorScale>
        <cfvo type="min"/>
        <cfvo type="max"/>
        <color rgb="FFFCFCFF"/>
        <color rgb="FFF8696B"/>
      </colorScale>
    </cfRule>
  </conditionalFormatting>
  <conditionalFormatting sqref="F7:G18">
    <cfRule type="colorScale" priority="5">
      <colorScale>
        <cfvo type="min"/>
        <cfvo type="max"/>
        <color rgb="FFFCFCFF"/>
        <color rgb="FF63BE7B"/>
      </colorScale>
    </cfRule>
  </conditionalFormatting>
  <conditionalFormatting sqref="H7:U18 AH7:AS18">
    <cfRule type="colorScale" priority="4">
      <colorScale>
        <cfvo type="min"/>
        <cfvo type="max"/>
        <color rgb="FFFCFCFF"/>
        <color rgb="FF00D9F0"/>
      </colorScale>
    </cfRule>
  </conditionalFormatting>
  <conditionalFormatting sqref="J7:U18 AH7:AS18">
    <cfRule type="colorScale" priority="3">
      <colorScale>
        <cfvo type="min"/>
        <cfvo type="max"/>
        <color rgb="FFFCFCFF"/>
        <color theme="4"/>
      </colorScale>
    </cfRule>
  </conditionalFormatting>
  <conditionalFormatting sqref="P7:U18 AH7:AS18">
    <cfRule type="colorScale" priority="2">
      <colorScale>
        <cfvo type="min"/>
        <cfvo type="max"/>
        <color rgb="FFFCFCFF"/>
        <color theme="8"/>
      </colorScale>
    </cfRule>
  </conditionalFormatting>
  <conditionalFormatting sqref="AT7:BE18 V7:AG18">
    <cfRule type="colorScale" priority="18">
      <colorScale>
        <cfvo type="min"/>
        <cfvo type="max"/>
        <color rgb="FFFCFCFF"/>
        <color theme="7"/>
      </colorScale>
    </cfRule>
  </conditionalFormatting>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23898-3922-4095-A5BA-DAF20B1E5DB3}">
  <sheetPr>
    <tabColor rgb="FF663300"/>
  </sheetPr>
  <dimension ref="A2:AN42"/>
  <sheetViews>
    <sheetView topLeftCell="B1" zoomScale="70" zoomScaleNormal="70" workbookViewId="0">
      <selection activeCell="F34" sqref="F34"/>
    </sheetView>
  </sheetViews>
  <sheetFormatPr defaultColWidth="9" defaultRowHeight="14.25" x14ac:dyDescent="0.2"/>
  <cols>
    <col min="1" max="1" width="2.42578125" style="184" customWidth="1"/>
    <col min="2" max="13" width="14" style="184" customWidth="1"/>
    <col min="14" max="17" width="13.28515625" style="184" customWidth="1"/>
    <col min="18" max="18" width="19.7109375" style="184" bestFit="1" customWidth="1"/>
    <col min="19" max="19" width="7.85546875" style="184" customWidth="1"/>
    <col min="20" max="16384" width="9" style="184"/>
  </cols>
  <sheetData>
    <row r="2" spans="1:38" ht="34.5" customHeight="1" x14ac:dyDescent="0.25">
      <c r="B2" s="1379" t="s">
        <v>417</v>
      </c>
      <c r="C2" s="1379"/>
      <c r="D2" s="1379"/>
      <c r="E2" s="1379"/>
      <c r="F2" s="1379"/>
      <c r="G2" s="183"/>
      <c r="H2"/>
      <c r="I2"/>
      <c r="J2"/>
      <c r="K2"/>
      <c r="L2"/>
      <c r="M2"/>
      <c r="N2"/>
      <c r="O2"/>
      <c r="P2"/>
      <c r="Q2"/>
      <c r="R2"/>
      <c r="S2"/>
    </row>
    <row r="3" spans="1:38" ht="34.5" customHeight="1" x14ac:dyDescent="0.25">
      <c r="B3" s="256">
        <v>2.5</v>
      </c>
      <c r="C3" s="256" t="s">
        <v>1648</v>
      </c>
      <c r="D3" s="213"/>
      <c r="E3" s="618" t="str">
        <f>'S2.9 overview inventory '!P49</f>
        <v>from Aspen simulation</v>
      </c>
      <c r="F3" s="213"/>
      <c r="G3" s="183" t="s">
        <v>3</v>
      </c>
      <c r="H3"/>
      <c r="I3"/>
      <c r="J3"/>
      <c r="K3"/>
      <c r="L3"/>
      <c r="M3"/>
      <c r="N3"/>
      <c r="O3"/>
      <c r="P3"/>
      <c r="Q3"/>
      <c r="R3"/>
      <c r="S3"/>
    </row>
    <row r="4" spans="1:38" ht="34.5" customHeight="1" thickBot="1" x14ac:dyDescent="0.3">
      <c r="B4" s="1379" t="s">
        <v>636</v>
      </c>
      <c r="C4" s="1379"/>
      <c r="D4" s="1379"/>
      <c r="E4" s="1379"/>
      <c r="F4" s="1379"/>
      <c r="G4" s="183"/>
      <c r="H4"/>
      <c r="I4"/>
      <c r="J4"/>
      <c r="K4"/>
      <c r="L4"/>
      <c r="M4"/>
      <c r="N4"/>
      <c r="O4"/>
      <c r="P4"/>
      <c r="Q4"/>
      <c r="R4"/>
      <c r="S4"/>
    </row>
    <row r="5" spans="1:38" ht="15" x14ac:dyDescent="0.25">
      <c r="B5" s="1394"/>
      <c r="C5" s="1394"/>
      <c r="D5" s="1395" t="s">
        <v>420</v>
      </c>
      <c r="E5" s="1396"/>
      <c r="F5" s="1397"/>
      <c r="G5" s="185"/>
      <c r="H5" s="185"/>
    </row>
    <row r="6" spans="1:38" ht="15" thickBot="1" x14ac:dyDescent="0.25">
      <c r="B6" s="1394"/>
      <c r="C6" s="1394"/>
      <c r="D6" s="186" t="s">
        <v>421</v>
      </c>
      <c r="E6" s="187" t="s">
        <v>422</v>
      </c>
      <c r="F6" s="188" t="s">
        <v>423</v>
      </c>
      <c r="G6" s="189"/>
      <c r="H6" s="189"/>
    </row>
    <row r="7" spans="1:38" x14ac:dyDescent="0.2">
      <c r="B7" s="1399" t="s">
        <v>424</v>
      </c>
      <c r="C7" s="190" t="s">
        <v>426</v>
      </c>
      <c r="D7" s="191">
        <v>0.90400000000000003</v>
      </c>
      <c r="E7" s="191">
        <v>0.84699999999999998</v>
      </c>
      <c r="F7" s="191">
        <v>0.75</v>
      </c>
      <c r="G7" s="189"/>
      <c r="H7" s="189"/>
    </row>
    <row r="8" spans="1:38" x14ac:dyDescent="0.2">
      <c r="B8" s="1400"/>
      <c r="C8" s="192" t="s">
        <v>425</v>
      </c>
      <c r="D8" s="193">
        <v>4.7999999999999987E-2</v>
      </c>
      <c r="E8" s="193">
        <v>7.6500000000000012E-2</v>
      </c>
      <c r="F8" s="193">
        <v>0.125</v>
      </c>
      <c r="G8" s="194"/>
      <c r="H8" s="194"/>
      <c r="P8" s="1078"/>
    </row>
    <row r="9" spans="1:38" ht="15" thickBot="1" x14ac:dyDescent="0.25">
      <c r="B9" s="1401"/>
      <c r="C9" s="195" t="s">
        <v>427</v>
      </c>
      <c r="D9" s="196">
        <v>4.7999999999999987E-2</v>
      </c>
      <c r="E9" s="196">
        <v>7.6500000000000012E-2</v>
      </c>
      <c r="F9" s="196">
        <v>0.125</v>
      </c>
      <c r="G9" s="194"/>
      <c r="H9" s="194"/>
    </row>
    <row r="10" spans="1:38" ht="75" customHeight="1" x14ac:dyDescent="0.2">
      <c r="B10" s="1398" t="str">
        <f>'S2.9 overview inventory '!P20</f>
        <v>gas share: upper quartile, median, and lower quartile of shares from literature review used for high, intermediate, and low gas yield, respectively;
liquid and char shares: remaining product amount equally divided between gas and char product based on literature review;</v>
      </c>
      <c r="C10" s="1398"/>
      <c r="D10" s="1398"/>
      <c r="E10" s="1398"/>
      <c r="F10" s="1398"/>
      <c r="G10" s="197"/>
      <c r="H10" s="197"/>
    </row>
    <row r="11" spans="1:38" ht="34.5" customHeight="1" thickBot="1" x14ac:dyDescent="0.25">
      <c r="B11" s="1403" t="s">
        <v>447</v>
      </c>
      <c r="C11" s="1403"/>
      <c r="D11" s="1403"/>
      <c r="E11" s="1403"/>
      <c r="F11" s="1403"/>
      <c r="G11" s="1403"/>
      <c r="H11" s="1403"/>
      <c r="I11" s="1403"/>
      <c r="J11" s="1403"/>
      <c r="K11" s="1403"/>
      <c r="L11" s="1403"/>
      <c r="M11" s="1403"/>
      <c r="N11" s="1403"/>
      <c r="O11" s="1403"/>
    </row>
    <row r="12" spans="1:38" ht="38.25" customHeight="1" x14ac:dyDescent="0.25">
      <c r="B12" s="1381" t="s">
        <v>432</v>
      </c>
      <c r="C12" s="1364" t="s">
        <v>2000</v>
      </c>
      <c r="D12" s="1388"/>
      <c r="E12" s="1391" t="s">
        <v>1406</v>
      </c>
      <c r="F12" s="1385" t="s">
        <v>1571</v>
      </c>
      <c r="G12" s="1386"/>
      <c r="H12" s="1386"/>
      <c r="I12" s="1386"/>
      <c r="J12" s="1386"/>
      <c r="K12" s="1386"/>
      <c r="L12" s="1386"/>
      <c r="M12" s="1386"/>
      <c r="N12" s="1386"/>
      <c r="O12" s="1387"/>
      <c r="P12"/>
      <c r="Q12" s="199"/>
      <c r="R12" s="199"/>
      <c r="AG12" s="134"/>
      <c r="AK12" s="495"/>
      <c r="AL12" s="495"/>
    </row>
    <row r="13" spans="1:38" ht="29.25" customHeight="1" x14ac:dyDescent="0.2">
      <c r="A13" s="205"/>
      <c r="B13" s="1382"/>
      <c r="C13" s="1389"/>
      <c r="D13" s="1390"/>
      <c r="E13" s="1392"/>
      <c r="F13" s="1408" t="s">
        <v>429</v>
      </c>
      <c r="G13" s="1409"/>
      <c r="H13" s="1410" t="s">
        <v>430</v>
      </c>
      <c r="I13" s="1411"/>
      <c r="J13" s="1406" t="s">
        <v>1124</v>
      </c>
      <c r="K13" s="1407"/>
      <c r="L13" s="1375" t="s">
        <v>1574</v>
      </c>
      <c r="M13" s="1376"/>
      <c r="N13" s="1375" t="s">
        <v>1576</v>
      </c>
      <c r="O13" s="1376"/>
    </row>
    <row r="14" spans="1:38" ht="13.5" customHeight="1" x14ac:dyDescent="0.25">
      <c r="B14" s="1402"/>
      <c r="C14" s="309" t="s">
        <v>1147</v>
      </c>
      <c r="D14" s="387" t="s">
        <v>1148</v>
      </c>
      <c r="E14" s="1393"/>
      <c r="F14" s="491" t="s">
        <v>1572</v>
      </c>
      <c r="G14" s="214" t="s">
        <v>1573</v>
      </c>
      <c r="H14" s="491" t="s">
        <v>1572</v>
      </c>
      <c r="I14" s="214" t="s">
        <v>1573</v>
      </c>
      <c r="J14" s="491" t="s">
        <v>1572</v>
      </c>
      <c r="K14" s="206" t="s">
        <v>1573</v>
      </c>
      <c r="L14" s="1307"/>
      <c r="M14" s="1320"/>
      <c r="N14" s="1307"/>
      <c r="O14" s="1320"/>
      <c r="R14"/>
      <c r="S14"/>
      <c r="T14" s="283"/>
      <c r="AG14"/>
    </row>
    <row r="15" spans="1:38" ht="14.25" customHeight="1" x14ac:dyDescent="0.25">
      <c r="B15" s="501" t="s">
        <v>457</v>
      </c>
      <c r="C15" s="505">
        <f>VLOOKUP(B15,'S2.6 energy demand chemicals'!I4:T32,6,FALSE)</f>
        <v>1.4469965540146297</v>
      </c>
      <c r="D15" s="506">
        <f>VLOOKUP(B15,'S2.6 energy demand chemicals'!I4:T32,11,FALSE)</f>
        <v>0.28434459511469157</v>
      </c>
      <c r="E15" s="206">
        <v>2</v>
      </c>
      <c r="F15" s="499">
        <v>0.5</v>
      </c>
      <c r="G15" s="487">
        <f t="shared" ref="G15:G20" si="0">F15*E15/SUMPRODUCT($F$15:$F$20,$E$15:$E$20)</f>
        <v>6.6666666666666666E-2</v>
      </c>
      <c r="H15" s="494">
        <v>0.6</v>
      </c>
      <c r="I15" s="487">
        <f t="shared" ref="I15:I20" si="1">H15*E15/SUMPRODUCT($H$15:$H$20,$E$15:$E$20)</f>
        <v>9.7879282218597041E-2</v>
      </c>
      <c r="J15" s="494">
        <v>0.3</v>
      </c>
      <c r="K15" s="553">
        <f t="shared" ref="K15:K20" si="2">J15*E15/SUMPRODUCT($J$15:$J$20,$E$15:$E$20)</f>
        <v>3.0769230769230767E-2</v>
      </c>
      <c r="L15" s="1318"/>
      <c r="M15" s="1321"/>
      <c r="N15" s="1318"/>
      <c r="O15" s="1321"/>
      <c r="R15"/>
      <c r="S15"/>
      <c r="T15" s="283"/>
      <c r="AG15"/>
    </row>
    <row r="16" spans="1:38" ht="14.25" customHeight="1" x14ac:dyDescent="0.25">
      <c r="B16" s="200" t="s">
        <v>448</v>
      </c>
      <c r="C16" s="507">
        <f>VLOOKUP(B16,'S2.6 energy demand chemicals'!I3:T32,6,FALSE)</f>
        <v>0.76150761775984877</v>
      </c>
      <c r="D16" s="508">
        <f>VLOOKUP(B16,'S2.6 energy demand chemicals'!I3:T32,11,FALSE)</f>
        <v>4.3535162588145056E-2</v>
      </c>
      <c r="E16" s="206">
        <v>28</v>
      </c>
      <c r="F16" s="500">
        <v>0.5</v>
      </c>
      <c r="G16" s="488">
        <f t="shared" si="0"/>
        <v>0.93333333333333335</v>
      </c>
      <c r="H16" s="492">
        <v>0.3</v>
      </c>
      <c r="I16" s="488">
        <f t="shared" si="1"/>
        <v>0.68515497553017934</v>
      </c>
      <c r="J16" s="492">
        <v>0.2</v>
      </c>
      <c r="K16" s="535">
        <f t="shared" si="2"/>
        <v>0.28717948717948721</v>
      </c>
      <c r="L16" s="1377"/>
      <c r="M16" s="1378"/>
      <c r="N16" s="1377"/>
      <c r="O16" s="1378"/>
      <c r="Q16" s="814"/>
      <c r="R16" s="815"/>
      <c r="S16"/>
      <c r="T16"/>
      <c r="AG16"/>
    </row>
    <row r="17" spans="2:40" ht="14.25" customHeight="1" x14ac:dyDescent="0.25">
      <c r="B17" s="200" t="s">
        <v>465</v>
      </c>
      <c r="C17" s="507">
        <f>VLOOKUP(B17,'S2.6 energy demand chemicals'!I6:T54,6,FALSE)</f>
        <v>0.38027994549733679</v>
      </c>
      <c r="D17" s="508">
        <f>VLOOKUP(B17,'S2.6 energy demand chemicals'!I6:T54,11,FALSE)</f>
        <v>0</v>
      </c>
      <c r="E17" s="206">
        <v>16</v>
      </c>
      <c r="F17" s="492">
        <v>0</v>
      </c>
      <c r="G17" s="488">
        <f t="shared" si="0"/>
        <v>0</v>
      </c>
      <c r="H17" s="492">
        <v>0.01</v>
      </c>
      <c r="I17" s="488">
        <f t="shared" si="1"/>
        <v>1.3050570962479607E-2</v>
      </c>
      <c r="J17" s="492">
        <v>0.1</v>
      </c>
      <c r="K17" s="535">
        <f t="shared" si="2"/>
        <v>8.2051282051282051E-2</v>
      </c>
      <c r="L17" s="1377"/>
      <c r="M17" s="1378"/>
      <c r="N17" s="1377"/>
      <c r="O17" s="1378"/>
      <c r="R17"/>
      <c r="S17"/>
      <c r="T17"/>
      <c r="AG17"/>
    </row>
    <row r="18" spans="2:40" ht="14.25" customHeight="1" x14ac:dyDescent="0.25">
      <c r="B18" s="200" t="s">
        <v>1647</v>
      </c>
      <c r="C18" s="507">
        <f>'S2.6 energy demand chemicals'!N31</f>
        <v>0.38027994549733679</v>
      </c>
      <c r="D18" s="508">
        <f>'S2.6 energy demand chemicals'!T31</f>
        <v>0.38027994549733679</v>
      </c>
      <c r="E18" s="206">
        <v>30</v>
      </c>
      <c r="F18" s="492">
        <v>0</v>
      </c>
      <c r="G18" s="488">
        <f t="shared" si="0"/>
        <v>0</v>
      </c>
      <c r="H18" s="492">
        <v>0.03</v>
      </c>
      <c r="I18" s="488">
        <f t="shared" si="1"/>
        <v>7.3409461663947781E-2</v>
      </c>
      <c r="J18" s="492">
        <v>0.05</v>
      </c>
      <c r="K18" s="535">
        <f t="shared" si="2"/>
        <v>7.6923076923076927E-2</v>
      </c>
      <c r="L18" s="1377"/>
      <c r="M18" s="1378"/>
      <c r="N18" s="1377"/>
      <c r="O18" s="1378"/>
      <c r="R18"/>
      <c r="S18"/>
      <c r="T18"/>
      <c r="AG18"/>
    </row>
    <row r="19" spans="2:40" ht="14.25" customHeight="1" x14ac:dyDescent="0.25">
      <c r="B19" s="200" t="s">
        <v>491</v>
      </c>
      <c r="C19" s="507">
        <v>0</v>
      </c>
      <c r="D19" s="508">
        <v>0</v>
      </c>
      <c r="E19" s="206">
        <v>18</v>
      </c>
      <c r="F19" s="492">
        <v>0</v>
      </c>
      <c r="G19" s="488">
        <f t="shared" si="0"/>
        <v>0</v>
      </c>
      <c r="H19" s="492">
        <v>0.04</v>
      </c>
      <c r="I19" s="488">
        <f t="shared" si="1"/>
        <v>5.8727569331158226E-2</v>
      </c>
      <c r="J19" s="492">
        <v>0.2</v>
      </c>
      <c r="K19" s="535">
        <f t="shared" si="2"/>
        <v>0.18461538461538463</v>
      </c>
      <c r="L19" s="1377"/>
      <c r="M19" s="1378"/>
      <c r="N19" s="1377"/>
      <c r="O19" s="1378"/>
      <c r="R19"/>
      <c r="S19"/>
      <c r="T19"/>
      <c r="AG19"/>
    </row>
    <row r="20" spans="2:40" ht="14.25" customHeight="1" x14ac:dyDescent="0.25">
      <c r="B20" s="200" t="s">
        <v>466</v>
      </c>
      <c r="C20" s="507">
        <v>-1</v>
      </c>
      <c r="D20" s="508">
        <v>-1</v>
      </c>
      <c r="E20" s="206">
        <v>44</v>
      </c>
      <c r="F20" s="492">
        <v>0</v>
      </c>
      <c r="G20" s="488">
        <f t="shared" si="0"/>
        <v>0</v>
      </c>
      <c r="H20" s="492">
        <v>0.02</v>
      </c>
      <c r="I20" s="488">
        <f t="shared" si="1"/>
        <v>7.177814029363784E-2</v>
      </c>
      <c r="J20" s="492">
        <v>0.15</v>
      </c>
      <c r="K20" s="535">
        <f t="shared" si="2"/>
        <v>0.33846153846153842</v>
      </c>
      <c r="L20" s="1377"/>
      <c r="M20" s="1378"/>
      <c r="N20" s="1377"/>
      <c r="O20" s="1378"/>
      <c r="R20"/>
      <c r="S20"/>
      <c r="T20"/>
      <c r="AG20"/>
    </row>
    <row r="21" spans="2:40" s="211" customFormat="1" ht="15" customHeight="1" x14ac:dyDescent="0.25">
      <c r="B21" s="490" t="s">
        <v>45</v>
      </c>
      <c r="C21" s="1404" t="s">
        <v>3</v>
      </c>
      <c r="D21" s="1405"/>
      <c r="E21" s="498"/>
      <c r="F21" s="493">
        <f>SUM(F15:F20)</f>
        <v>1</v>
      </c>
      <c r="G21" s="489">
        <f>SUM(G15:G20)</f>
        <v>1</v>
      </c>
      <c r="H21" s="493">
        <f>SUM(H15:H20)</f>
        <v>1</v>
      </c>
      <c r="I21" s="489">
        <f>SUM(I15:I20)</f>
        <v>0.99999999999999978</v>
      </c>
      <c r="J21" s="493">
        <f>SUM(J16:J20)</f>
        <v>0.70000000000000007</v>
      </c>
      <c r="K21" s="536">
        <f>SUM(K15:K20)</f>
        <v>1</v>
      </c>
      <c r="L21" s="1307"/>
      <c r="M21" s="1320"/>
      <c r="N21" s="1307"/>
      <c r="O21" s="1320"/>
      <c r="P21" s="184"/>
      <c r="Q21" s="184"/>
      <c r="R21"/>
      <c r="S21"/>
      <c r="T21"/>
      <c r="AG21"/>
    </row>
    <row r="22" spans="2:40" s="211" customFormat="1" ht="15" customHeight="1" x14ac:dyDescent="0.25">
      <c r="B22" s="496" t="s">
        <v>2009</v>
      </c>
      <c r="C22" s="1354" t="s">
        <v>3</v>
      </c>
      <c r="D22" s="1362"/>
      <c r="E22" s="483"/>
      <c r="F22" s="1350">
        <f>SUMPRODUCT(G15:G20,C15:C20)</f>
        <v>0.80720688017683417</v>
      </c>
      <c r="G22" s="1351"/>
      <c r="H22" s="1350">
        <f>SUMPRODUCT(I15:I20,C15:C20)</f>
        <v>0.62448259349326773</v>
      </c>
      <c r="I22" s="1351"/>
      <c r="J22" s="1350">
        <f>SUMPRODUCT(J15:J20,C15:C20)</f>
        <v>0.49344248158095916</v>
      </c>
      <c r="K22" s="1359"/>
      <c r="L22" s="1358">
        <f>'S2.6 energy demand chemicals'!N52</f>
        <v>0.17014505590542731</v>
      </c>
      <c r="M22" s="1359"/>
      <c r="N22" s="1358">
        <f>'S2.2.3 Pyro_cred'!L49</f>
        <v>0.31791369379412843</v>
      </c>
      <c r="O22" s="1359"/>
      <c r="R22"/>
      <c r="S22"/>
      <c r="T22"/>
      <c r="AG22"/>
    </row>
    <row r="23" spans="2:40" s="211" customFormat="1" ht="15" customHeight="1" thickBot="1" x14ac:dyDescent="0.3">
      <c r="B23" s="497" t="s">
        <v>2010</v>
      </c>
      <c r="C23" s="1356"/>
      <c r="D23" s="1363"/>
      <c r="E23" s="484"/>
      <c r="F23" s="1352">
        <f>SUMPRODUCT(G15:G20,D15:D20)</f>
        <v>5.9589124756581492E-2</v>
      </c>
      <c r="G23" s="1353"/>
      <c r="H23" s="1352">
        <f>SUMPRODUCT(I15:I20,D15:D20)</f>
        <v>1.3797783917263565E-2</v>
      </c>
      <c r="I23" s="1353"/>
      <c r="J23" s="1352">
        <f>SUMPRODUCT(J15:J20,D15:D20)</f>
        <v>-3.6975591673096678E-2</v>
      </c>
      <c r="K23" s="1361"/>
      <c r="L23" s="1360">
        <f>'S2.6 energy demand chemicals'!T52</f>
        <v>0.13673826807600575</v>
      </c>
      <c r="M23" s="1361"/>
      <c r="N23" s="1360">
        <f>'S2.2.3 Pyro_cred'!L50</f>
        <v>-2.1205110104735234</v>
      </c>
      <c r="O23" s="1361"/>
      <c r="P23" s="481"/>
      <c r="Q23" s="481"/>
      <c r="R23" s="482"/>
      <c r="S23" s="482"/>
      <c r="T23"/>
      <c r="AG23"/>
      <c r="AH23" s="480"/>
      <c r="AI23" s="481"/>
      <c r="AJ23" s="481"/>
      <c r="AK23" s="482"/>
      <c r="AL23" s="482"/>
      <c r="AM23"/>
      <c r="AN23"/>
    </row>
    <row r="24" spans="2:40" ht="123.75" customHeight="1" x14ac:dyDescent="0.2">
      <c r="B24" s="1366" t="str">
        <f>'S2.9 overview inventory '!P24</f>
        <v>constituents identification: gaseous product constituents from literature review; main components individually considered, remaining mix consisting of small hydrocarbons according to literature review;
constituents shares: material utilization - max high impact products: composition of complete gaseous product of 50% H2 and 50% CO, which have the highest alternative production impacts, corresponding to realistic composition for high temperatures (Baerns et al., 2013), shares are below maximum possible shares based on literature review, assuming molar shares given; material utilization - intermediate composition: separation of individual fractions for material utilization assumed, shares based on simulation results for PE, PP, and PS; material utilization - low impact products: 50% target products (H2, CO), shares of constituents based on Baerns et al. (2013); utilization as syngas: separation of only H2O and CO2 assumed and utilization of remaining product as syngas, without considering any water gas shift reaction; energetic utilization: approximation of heating value and emission factor with refinery gas - for fossil scenario, substitution of natural gas based on heating values, calculation of emission difference via emission factors and consideration of production impacts of avoided natural gas, for renewable scenario, calculation of producible amount of electricity and heat via assumed efficiencies and substitution with alternative energy mix for this scenario; assuming product composition reflects possible degree of component separation (such as only 90% separation efficiency of CO from remaining product);</v>
      </c>
      <c r="C24" s="1366"/>
      <c r="D24" s="1366"/>
      <c r="E24" s="1366"/>
      <c r="F24" s="1366"/>
      <c r="G24" s="1366"/>
      <c r="H24" s="1366"/>
      <c r="I24" s="1366"/>
      <c r="J24" s="1366"/>
      <c r="K24" s="1366"/>
      <c r="L24" s="1366"/>
      <c r="M24" s="1366"/>
      <c r="N24" s="1366"/>
      <c r="O24" s="1366"/>
    </row>
    <row r="25" spans="2:40" ht="34.5" customHeight="1" thickBot="1" x14ac:dyDescent="0.25">
      <c r="B25" s="1379" t="s">
        <v>428</v>
      </c>
      <c r="C25" s="1379"/>
      <c r="D25" s="1379"/>
      <c r="E25" s="1379"/>
      <c r="F25" s="1379"/>
      <c r="G25" s="1379"/>
      <c r="H25" s="1379"/>
      <c r="I25" s="1379"/>
      <c r="J25" s="1379"/>
      <c r="K25" s="1379"/>
    </row>
    <row r="26" spans="2:40" ht="27.75" customHeight="1" x14ac:dyDescent="0.25">
      <c r="B26" s="1381" t="s">
        <v>432</v>
      </c>
      <c r="C26" s="1364" t="s">
        <v>2000</v>
      </c>
      <c r="D26" s="1365"/>
      <c r="E26" s="1385" t="s">
        <v>1571</v>
      </c>
      <c r="F26" s="1386"/>
      <c r="G26" s="1386"/>
      <c r="H26" s="1387"/>
      <c r="I26"/>
      <c r="J26"/>
      <c r="K26"/>
    </row>
    <row r="27" spans="2:40" ht="71.25" x14ac:dyDescent="0.25">
      <c r="B27" s="1382"/>
      <c r="C27" s="309" t="s">
        <v>1147</v>
      </c>
      <c r="D27" s="511" t="s">
        <v>1148</v>
      </c>
      <c r="E27" s="516" t="s">
        <v>429</v>
      </c>
      <c r="F27" s="517" t="s">
        <v>430</v>
      </c>
      <c r="G27" s="518" t="s">
        <v>1650</v>
      </c>
      <c r="H27" s="593" t="s">
        <v>1576</v>
      </c>
      <c r="I27"/>
      <c r="J27"/>
      <c r="K27"/>
    </row>
    <row r="28" spans="2:40" ht="13.9" customHeight="1" x14ac:dyDescent="0.25">
      <c r="B28" s="502" t="s">
        <v>434</v>
      </c>
      <c r="C28" s="504">
        <f>VLOOKUP(B28,'S2.6 energy demand chemicals'!I3:T32,6,FALSE)</f>
        <v>1.5734926978743702</v>
      </c>
      <c r="D28" s="504">
        <f>VLOOKUP(B28,'S2.6 energy demand chemicals'!I3:T32,11,FALSE)</f>
        <v>0.41324121720321449</v>
      </c>
      <c r="E28" s="512">
        <v>7.7100000000000002E-2</v>
      </c>
      <c r="F28" s="512">
        <f t="shared" ref="F28:F33" si="3">(1-$F$34)*E28/SUM($E$28:$E$33)</f>
        <v>5.938992451086119E-2</v>
      </c>
      <c r="G28" s="1383"/>
      <c r="H28" s="592"/>
      <c r="I28"/>
      <c r="J28"/>
      <c r="K28"/>
    </row>
    <row r="29" spans="2:40" ht="13.5" customHeight="1" x14ac:dyDescent="0.25">
      <c r="B29" s="200" t="s">
        <v>436</v>
      </c>
      <c r="C29" s="215">
        <f>VLOOKUP(B29,'S2.6 energy demand chemicals'!I4:T32,6,FALSE)</f>
        <v>1.1776123351790404</v>
      </c>
      <c r="D29" s="215">
        <f>VLOOKUP(B29,'S2.6 energy demand chemicals'!I4:T32,11,FALSE)</f>
        <v>0.35025638327585207</v>
      </c>
      <c r="E29" s="512">
        <v>1.01E-2</v>
      </c>
      <c r="F29" s="512">
        <f t="shared" si="3"/>
        <v>7.7800030811893389E-3</v>
      </c>
      <c r="G29" s="1383"/>
      <c r="H29" s="592"/>
      <c r="I29"/>
      <c r="J29"/>
      <c r="K29"/>
    </row>
    <row r="30" spans="2:40" ht="13.5" customHeight="1" x14ac:dyDescent="0.25">
      <c r="B30" s="200" t="s">
        <v>442</v>
      </c>
      <c r="C30" s="207">
        <f>VLOOKUP(B30,'S2.6 energy demand chemicals'!I6:T54,6,FALSE)</f>
        <v>0.79169993847190745</v>
      </c>
      <c r="D30" s="215">
        <f>VLOOKUP(B30,'S2.6 energy demand chemicals'!I6:T54,11,FALSE)</f>
        <v>0.20606457985506324</v>
      </c>
      <c r="E30" s="512">
        <v>8.4099999999999994E-2</v>
      </c>
      <c r="F30" s="512">
        <f t="shared" si="3"/>
        <v>6.4782005854259736E-2</v>
      </c>
      <c r="G30" s="1383"/>
      <c r="H30" s="592"/>
      <c r="I30"/>
      <c r="J30"/>
      <c r="K30"/>
    </row>
    <row r="31" spans="2:40" ht="13.5" customHeight="1" x14ac:dyDescent="0.25">
      <c r="B31" s="200" t="s">
        <v>446</v>
      </c>
      <c r="C31" s="215">
        <f>VLOOKUP(B31,'S2.6 energy demand chemicals'!I7:T55,6,FALSE)</f>
        <v>0.75599511942237074</v>
      </c>
      <c r="D31" s="215">
        <f>VLOOKUP(B31,'S2.6 energy demand chemicals'!I7:T55,11,FALSE)</f>
        <v>0.16376894991032626</v>
      </c>
      <c r="E31" s="512">
        <v>1.6500000000000001E-2</v>
      </c>
      <c r="F31" s="512">
        <f t="shared" si="3"/>
        <v>1.2709906023725159E-2</v>
      </c>
      <c r="G31" s="1383"/>
      <c r="H31" s="592"/>
      <c r="I31"/>
      <c r="J31"/>
      <c r="K31"/>
    </row>
    <row r="32" spans="2:40" ht="13.5" customHeight="1" x14ac:dyDescent="0.25">
      <c r="B32" s="200" t="s">
        <v>638</v>
      </c>
      <c r="C32" s="215">
        <f>VLOOKUP(B32,'S2.6 energy demand chemicals'!I8:T56,6,FALSE)</f>
        <v>0.75599511942237074</v>
      </c>
      <c r="D32" s="215">
        <f>VLOOKUP(B32,'S2.6 energy demand chemicals'!I8:T56,11,FALSE)</f>
        <v>0.16376894991032626</v>
      </c>
      <c r="E32" s="512">
        <v>7.1499999999999994E-2</v>
      </c>
      <c r="F32" s="512">
        <f t="shared" si="3"/>
        <v>5.5076259436142347E-2</v>
      </c>
      <c r="G32" s="1383"/>
      <c r="H32" s="592"/>
      <c r="I32"/>
      <c r="J32"/>
      <c r="K32"/>
    </row>
    <row r="33" spans="2:17" ht="13.5" customHeight="1" x14ac:dyDescent="0.25">
      <c r="B33" s="200" t="s">
        <v>440</v>
      </c>
      <c r="C33" s="215">
        <f>VLOOKUP(B33,'S2.6 energy demand chemicals'!I5:T53,6,FALSE)</f>
        <v>0.7527935727072611</v>
      </c>
      <c r="D33" s="215">
        <f>VLOOKUP(B33,'S2.6 energy demand chemicals'!I5:T53,11,FALSE)</f>
        <v>0.18503106884812026</v>
      </c>
      <c r="E33" s="512">
        <v>0.38979999999999998</v>
      </c>
      <c r="F33" s="512">
        <f t="shared" si="3"/>
        <v>0.30026190109382217</v>
      </c>
      <c r="G33" s="1383"/>
      <c r="H33" s="592"/>
      <c r="I33"/>
      <c r="J33"/>
      <c r="K33"/>
    </row>
    <row r="34" spans="2:17" ht="13.5" customHeight="1" x14ac:dyDescent="0.25">
      <c r="B34" s="200" t="s">
        <v>435</v>
      </c>
      <c r="C34" s="215">
        <f>VLOOKUP(B34,'S2.6 energy demand chemicals'!I9:T57,6,FALSE)</f>
        <v>0.46142804650279923</v>
      </c>
      <c r="D34" s="215">
        <f>VLOOKUP(B34,'S2.6 energy demand chemicals'!I9:T57,11,FALSE)</f>
        <v>1.7857888152199349E-2</v>
      </c>
      <c r="E34" s="512">
        <v>0.3509000000000001</v>
      </c>
      <c r="F34" s="512">
        <v>0.5</v>
      </c>
      <c r="G34" s="1383"/>
      <c r="H34" s="592"/>
      <c r="I34"/>
      <c r="J34"/>
      <c r="K34"/>
    </row>
    <row r="35" spans="2:17" ht="14.65" customHeight="1" x14ac:dyDescent="0.25">
      <c r="B35" s="490" t="s">
        <v>45</v>
      </c>
      <c r="C35" s="203"/>
      <c r="D35" s="203"/>
      <c r="E35" s="513">
        <f>SUM(E28:E34)</f>
        <v>1</v>
      </c>
      <c r="F35" s="513">
        <f>SUM(F28:F34)</f>
        <v>1</v>
      </c>
      <c r="G35" s="1384"/>
      <c r="H35" s="591"/>
      <c r="K35"/>
    </row>
    <row r="36" spans="2:17" ht="14.65" customHeight="1" x14ac:dyDescent="0.25">
      <c r="B36" s="496" t="s">
        <v>2009</v>
      </c>
      <c r="C36" s="1354" t="s">
        <v>3</v>
      </c>
      <c r="D36" s="1355"/>
      <c r="E36" s="821">
        <f>SUMPRODUCT(E28:E34,C28:C34)</f>
        <v>0.72167374308520083</v>
      </c>
      <c r="F36" s="822">
        <f>SUMPRODUCT(F28:F34,C28:C34)</f>
        <v>0.66189461296590324</v>
      </c>
      <c r="G36" s="823">
        <f>C34</f>
        <v>0.46142804650279923</v>
      </c>
      <c r="H36" s="821">
        <f>'S2.2.3 Pyro_cred'!H29</f>
        <v>0.46142804650279923</v>
      </c>
      <c r="I36" s="482"/>
      <c r="J36" s="482"/>
      <c r="K36"/>
    </row>
    <row r="37" spans="2:17" ht="14.65" customHeight="1" thickBot="1" x14ac:dyDescent="0.25">
      <c r="B37" s="497" t="s">
        <v>2010</v>
      </c>
      <c r="C37" s="1356"/>
      <c r="D37" s="1357"/>
      <c r="E37" s="698">
        <f>SUMPRODUCT(E28:E34,D28:D34)</f>
        <v>0.14553162966497751</v>
      </c>
      <c r="F37" s="698">
        <f>SUMPRODUCT(F28:F34,D28:D34)</f>
        <v>0.11620463095976225</v>
      </c>
      <c r="G37" s="824">
        <f>D34</f>
        <v>1.7857888152199349E-2</v>
      </c>
      <c r="H37" s="698">
        <f>'S2.2.3 Pyro_cred'!H30</f>
        <v>-2.4761830453137383</v>
      </c>
      <c r="I37" s="482"/>
      <c r="J37" s="482"/>
      <c r="K37" s="480"/>
    </row>
    <row r="38" spans="2:17" ht="118.5" customHeight="1" x14ac:dyDescent="0.2">
      <c r="B38" s="1380" t="str">
        <f>'S2.9 overview inventory '!P36</f>
        <v>constituents identification: liquid product constituents from literature review; products with wide utilization potential individually considered, rest assumed similar to naphtha;
constituents shares: material utilization - max high impact products: separation of individual fractions for material utilization assumed (assumed this is feasible e.g. at larger chemical parks where liquid gasification product can be fed into separation unit along with other feedstock), product composed of substances with highest alternative production impacts, prioritization based on alternative production impact in fossil scenario, maximum share of each product based on literature review (maximum share mentioned in literature); material utilization - intermediate composition: separation of individual fractions for material utilization assumed, however only separation of 50% overall and rest utilized as naphtha, product shares scaled down from 'max high impact products' scenario; substitution of naphtha: utilization of whole product as naphtha assumed (which can be either as input into steam cracker or as a fuel), alternative production impacts of naphtha considered; energetic utilization: for fossil scenario, assuming same heating value and emission factor as for naphtha, avoiding naphtha production, therewith corresponding to naphtha substitution, for renewable scenario, assumed heating value and emission factor of crude oil, efficiency of energy generation of 70% for heat and 15% for electricity, substitution of alternative energy production mix;</v>
      </c>
      <c r="C38" s="1380"/>
      <c r="D38" s="1380"/>
      <c r="E38" s="1380"/>
      <c r="F38" s="1380"/>
      <c r="G38" s="1380"/>
      <c r="H38" s="1380"/>
      <c r="I38" s="1380"/>
      <c r="J38" s="1380"/>
      <c r="K38" s="1380"/>
      <c r="L38" s="1380"/>
      <c r="M38" s="1380"/>
      <c r="N38" s="1380"/>
    </row>
    <row r="39" spans="2:17" ht="34.5" customHeight="1" thickBot="1" x14ac:dyDescent="0.25">
      <c r="B39" s="1379" t="s">
        <v>468</v>
      </c>
      <c r="C39" s="1379"/>
      <c r="D39" s="1379"/>
      <c r="E39" s="1379"/>
      <c r="F39" s="1379"/>
      <c r="G39" s="1379"/>
      <c r="H39" s="1379"/>
      <c r="I39" s="1379"/>
      <c r="J39" s="1379"/>
      <c r="K39" s="1379"/>
    </row>
    <row r="40" spans="2:17" ht="40.5" customHeight="1" thickBot="1" x14ac:dyDescent="0.25">
      <c r="B40" s="1367" t="s">
        <v>433</v>
      </c>
      <c r="C40" s="1347" t="s">
        <v>1223</v>
      </c>
      <c r="D40" s="1348"/>
      <c r="E40" s="1349"/>
      <c r="F40" s="1369" t="s">
        <v>469</v>
      </c>
      <c r="G40" s="1370"/>
      <c r="H40" s="1371"/>
      <c r="I40" s="1372" t="s">
        <v>470</v>
      </c>
      <c r="J40" s="1373"/>
      <c r="K40" s="1374"/>
      <c r="L40" s="1341" t="s">
        <v>471</v>
      </c>
      <c r="M40" s="1342"/>
      <c r="N40" s="1343"/>
      <c r="O40" s="1344" t="s">
        <v>472</v>
      </c>
      <c r="P40" s="1345"/>
      <c r="Q40" s="1346"/>
    </row>
    <row r="41" spans="2:17" ht="15" thickBot="1" x14ac:dyDescent="0.25">
      <c r="B41" s="1368"/>
      <c r="C41" s="208" t="s">
        <v>2001</v>
      </c>
      <c r="D41" s="209" t="s">
        <v>3</v>
      </c>
      <c r="E41" s="210">
        <f>'S2.2.3 Pyro_cred'!D66</f>
        <v>-0.15603872052500001</v>
      </c>
      <c r="F41" s="208" t="str">
        <f>'S2.2.3 Pyro_cred'!E66</f>
        <v>credits [kg CO2-eq / kg solid product]</v>
      </c>
      <c r="G41" s="209" t="s">
        <v>3</v>
      </c>
      <c r="H41" s="210">
        <f>'S2.2.3 Pyro_cred'!G66</f>
        <v>-0.81651506070300173</v>
      </c>
      <c r="I41" s="208" t="str">
        <f>'S2.2.3 Pyro_cred'!H66</f>
        <v>credits [kg CO2-eq / kg solid product]</v>
      </c>
      <c r="J41" s="209" t="s">
        <v>3</v>
      </c>
      <c r="K41" s="210">
        <f>'S2.2.3 Pyro_cred'!J66</f>
        <v>-1.2910463011818367</v>
      </c>
      <c r="L41" s="208" t="str">
        <f>'S2.2.3 Pyro_cred'!K66</f>
        <v>credits [kg CO2-eq / kg solid product]</v>
      </c>
      <c r="M41" s="209" t="s">
        <v>3</v>
      </c>
      <c r="N41" s="210">
        <f>'S2.2.3 Pyro_cred'!M66</f>
        <v>-1.7052729696060949</v>
      </c>
      <c r="O41" s="208" t="str">
        <f>'S2.2.3 Pyro_cred'!N66</f>
        <v>credits [kg CO2-eq / kg solid product]</v>
      </c>
      <c r="P41" s="209" t="s">
        <v>3</v>
      </c>
      <c r="Q41" s="210">
        <f>'S2.2.3 Pyro_cred'!P66</f>
        <v>-2.3122046051290681</v>
      </c>
    </row>
    <row r="42" spans="2:17" x14ac:dyDescent="0.2">
      <c r="B42" s="218" t="s">
        <v>1844</v>
      </c>
    </row>
  </sheetData>
  <mergeCells count="47">
    <mergeCell ref="B12:B14"/>
    <mergeCell ref="B11:O11"/>
    <mergeCell ref="L13:M13"/>
    <mergeCell ref="L14:M14"/>
    <mergeCell ref="L15:M21"/>
    <mergeCell ref="C21:D21"/>
    <mergeCell ref="J13:K13"/>
    <mergeCell ref="F13:G13"/>
    <mergeCell ref="H13:I13"/>
    <mergeCell ref="B2:F2"/>
    <mergeCell ref="B4:F4"/>
    <mergeCell ref="B5:C6"/>
    <mergeCell ref="D5:F5"/>
    <mergeCell ref="B10:F10"/>
    <mergeCell ref="B7:B9"/>
    <mergeCell ref="F40:H40"/>
    <mergeCell ref="I40:K40"/>
    <mergeCell ref="N13:O13"/>
    <mergeCell ref="N14:O14"/>
    <mergeCell ref="N15:O21"/>
    <mergeCell ref="N22:O22"/>
    <mergeCell ref="N23:O23"/>
    <mergeCell ref="B39:K39"/>
    <mergeCell ref="B25:K25"/>
    <mergeCell ref="B38:N38"/>
    <mergeCell ref="B26:B27"/>
    <mergeCell ref="G28:G35"/>
    <mergeCell ref="E26:H26"/>
    <mergeCell ref="C12:D13"/>
    <mergeCell ref="E12:E14"/>
    <mergeCell ref="F12:O12"/>
    <mergeCell ref="L40:N40"/>
    <mergeCell ref="O40:Q40"/>
    <mergeCell ref="C40:E40"/>
    <mergeCell ref="H22:I22"/>
    <mergeCell ref="H23:I23"/>
    <mergeCell ref="C36:D37"/>
    <mergeCell ref="L22:M22"/>
    <mergeCell ref="L23:M23"/>
    <mergeCell ref="C22:D23"/>
    <mergeCell ref="J22:K22"/>
    <mergeCell ref="J23:K23"/>
    <mergeCell ref="C26:D26"/>
    <mergeCell ref="B24:O24"/>
    <mergeCell ref="F22:G22"/>
    <mergeCell ref="F23:G23"/>
    <mergeCell ref="B40:B41"/>
  </mergeCells>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2540F-332F-491B-A701-8DD1C669639C}">
  <sheetPr>
    <tabColor rgb="FFC46200"/>
  </sheetPr>
  <dimension ref="B2:Q45"/>
  <sheetViews>
    <sheetView zoomScale="70" zoomScaleNormal="70" workbookViewId="0">
      <selection activeCell="B44" sqref="B44"/>
    </sheetView>
  </sheetViews>
  <sheetFormatPr defaultColWidth="9" defaultRowHeight="14.25" x14ac:dyDescent="0.2"/>
  <cols>
    <col min="1" max="1" width="3.28515625" style="184" customWidth="1"/>
    <col min="2" max="2" width="21.7109375" style="184" customWidth="1"/>
    <col min="3" max="16" width="20.140625" style="184" customWidth="1"/>
    <col min="17" max="17" width="14.28515625" style="184" customWidth="1"/>
    <col min="18" max="16384" width="9" style="184"/>
  </cols>
  <sheetData>
    <row r="2" spans="2:17" ht="18" x14ac:dyDescent="0.25">
      <c r="B2" s="687" t="s">
        <v>500</v>
      </c>
      <c r="C2" s="217"/>
    </row>
    <row r="3" spans="2:17" ht="18.75" x14ac:dyDescent="0.3">
      <c r="B3" s="688" t="s">
        <v>1080</v>
      </c>
      <c r="C3" s="217"/>
    </row>
    <row r="4" spans="2:17" ht="15" thickBot="1" x14ac:dyDescent="0.25">
      <c r="B4" s="216"/>
      <c r="C4" s="1357" t="s">
        <v>1147</v>
      </c>
      <c r="D4" s="1357"/>
      <c r="E4" s="1357"/>
      <c r="F4" s="1357"/>
      <c r="G4" s="1357"/>
      <c r="H4" s="1357"/>
      <c r="I4" s="1357"/>
      <c r="J4" s="1357"/>
      <c r="K4" s="1357"/>
      <c r="L4" s="1357"/>
      <c r="M4" s="1357"/>
      <c r="N4" s="1357"/>
      <c r="O4" s="1357"/>
      <c r="P4" s="1357"/>
      <c r="Q4" s="1357"/>
    </row>
    <row r="5" spans="2:17" ht="29.25" thickBot="1" x14ac:dyDescent="0.25">
      <c r="B5" s="219"/>
      <c r="C5" s="623" t="s">
        <v>478</v>
      </c>
      <c r="D5" s="1415" t="s">
        <v>639</v>
      </c>
      <c r="E5" s="1417"/>
      <c r="F5" s="1415" t="s">
        <v>481</v>
      </c>
      <c r="G5" s="1416"/>
      <c r="H5" s="1417"/>
      <c r="I5" s="1416" t="s">
        <v>480</v>
      </c>
      <c r="J5" s="1416"/>
      <c r="K5" s="1418" t="s">
        <v>482</v>
      </c>
      <c r="L5" s="1419"/>
      <c r="M5" s="1420"/>
      <c r="N5" s="1415" t="s">
        <v>483</v>
      </c>
      <c r="O5" s="1416"/>
      <c r="P5" s="1416"/>
      <c r="Q5" s="699" t="s">
        <v>1576</v>
      </c>
    </row>
    <row r="6" spans="2:17" x14ac:dyDescent="0.2">
      <c r="B6" s="566" t="s">
        <v>636</v>
      </c>
      <c r="C6" s="669" t="s">
        <v>422</v>
      </c>
      <c r="D6" s="668" t="s">
        <v>423</v>
      </c>
      <c r="E6" s="685" t="s">
        <v>421</v>
      </c>
      <c r="F6" s="669" t="s">
        <v>422</v>
      </c>
      <c r="G6" s="670" t="s">
        <v>422</v>
      </c>
      <c r="H6" s="671" t="s">
        <v>422</v>
      </c>
      <c r="I6" s="670" t="s">
        <v>422</v>
      </c>
      <c r="J6" s="670" t="s">
        <v>422</v>
      </c>
      <c r="K6" s="669" t="s">
        <v>422</v>
      </c>
      <c r="L6" s="670" t="s">
        <v>422</v>
      </c>
      <c r="M6" s="671" t="s">
        <v>422</v>
      </c>
      <c r="N6" s="672" t="s">
        <v>423</v>
      </c>
      <c r="O6" s="672" t="s">
        <v>423</v>
      </c>
      <c r="P6" s="695" t="s">
        <v>421</v>
      </c>
      <c r="Q6" s="541" t="s">
        <v>422</v>
      </c>
    </row>
    <row r="7" spans="2:17" ht="42.75" x14ac:dyDescent="0.2">
      <c r="B7" s="673" t="s">
        <v>640</v>
      </c>
      <c r="C7" s="700" t="s">
        <v>430</v>
      </c>
      <c r="D7" s="701" t="s">
        <v>430</v>
      </c>
      <c r="E7" s="702" t="s">
        <v>430</v>
      </c>
      <c r="F7" s="725" t="s">
        <v>1574</v>
      </c>
      <c r="G7" s="704" t="s">
        <v>1124</v>
      </c>
      <c r="H7" s="705" t="s">
        <v>429</v>
      </c>
      <c r="I7" s="706" t="s">
        <v>430</v>
      </c>
      <c r="J7" s="706" t="s">
        <v>430</v>
      </c>
      <c r="K7" s="701" t="s">
        <v>430</v>
      </c>
      <c r="L7" s="706" t="s">
        <v>430</v>
      </c>
      <c r="M7" s="702" t="s">
        <v>430</v>
      </c>
      <c r="N7" s="703" t="s">
        <v>1574</v>
      </c>
      <c r="O7" s="704" t="s">
        <v>1124</v>
      </c>
      <c r="P7" s="705" t="s">
        <v>429</v>
      </c>
      <c r="Q7" s="667" t="s">
        <v>1576</v>
      </c>
    </row>
    <row r="8" spans="2:17" ht="28.5" x14ac:dyDescent="0.2">
      <c r="B8" s="674" t="s">
        <v>642</v>
      </c>
      <c r="C8" s="708" t="s">
        <v>478</v>
      </c>
      <c r="D8" s="708" t="s">
        <v>478</v>
      </c>
      <c r="E8" s="709" t="s">
        <v>478</v>
      </c>
      <c r="F8" s="708" t="s">
        <v>478</v>
      </c>
      <c r="G8" s="710" t="s">
        <v>478</v>
      </c>
      <c r="H8" s="709" t="s">
        <v>478</v>
      </c>
      <c r="I8" s="711" t="s">
        <v>643</v>
      </c>
      <c r="J8" s="712" t="s">
        <v>641</v>
      </c>
      <c r="K8" s="708" t="s">
        <v>478</v>
      </c>
      <c r="L8" s="710" t="s">
        <v>478</v>
      </c>
      <c r="M8" s="709" t="s">
        <v>478</v>
      </c>
      <c r="N8" s="711" t="s">
        <v>643</v>
      </c>
      <c r="O8" s="711" t="s">
        <v>643</v>
      </c>
      <c r="P8" s="675" t="s">
        <v>641</v>
      </c>
      <c r="Q8" s="533" t="s">
        <v>643</v>
      </c>
    </row>
    <row r="9" spans="2:17" ht="100.5" thickBot="1" x14ac:dyDescent="0.25">
      <c r="B9" s="605" t="s">
        <v>644</v>
      </c>
      <c r="C9" s="564" t="s">
        <v>1670</v>
      </c>
      <c r="D9" s="707" t="s">
        <v>1670</v>
      </c>
      <c r="E9" s="259" t="s">
        <v>1670</v>
      </c>
      <c r="F9" s="707" t="s">
        <v>1670</v>
      </c>
      <c r="G9" s="564" t="s">
        <v>1670</v>
      </c>
      <c r="H9" s="259" t="s">
        <v>1670</v>
      </c>
      <c r="I9" s="564" t="s">
        <v>1670</v>
      </c>
      <c r="J9" s="564" t="s">
        <v>1670</v>
      </c>
      <c r="K9" s="563" t="s">
        <v>486</v>
      </c>
      <c r="L9" s="230" t="s">
        <v>1671</v>
      </c>
      <c r="M9" s="692" t="s">
        <v>1223</v>
      </c>
      <c r="N9" s="258" t="s">
        <v>486</v>
      </c>
      <c r="O9" s="258" t="s">
        <v>486</v>
      </c>
      <c r="P9" s="686" t="s">
        <v>1223</v>
      </c>
      <c r="Q9" s="697" t="s">
        <v>1671</v>
      </c>
    </row>
    <row r="10" spans="2:17" ht="43.5" thickBot="1" x14ac:dyDescent="0.25">
      <c r="B10" s="569" t="s">
        <v>1939</v>
      </c>
      <c r="C10" s="684">
        <f>'S2.1.4 Gas_cred'!B3*('S2.1.4 Gas_cred'!E7*'S2.1.4 Gas_cred'!H22+'S2.1.4 Gas_cred'!E8*'S2.1.4 Gas_cred'!F36+'S2.1.4 Gas_cred'!E9*'S2.1.4 Gas_cred'!H41)</f>
        <v>1.2927707310922745</v>
      </c>
      <c r="D10" s="231">
        <f>'S2.1.4 Gas_cred'!B3*('S2.1.4 Gas_cred'!F7*'S2.1.4 Gas_cred'!H22+'S2.1.4 Gas_cred'!F8*'S2.1.4 Gas_cred'!F36+'S2.1.4 Gas_cred'!F9*'S2.1.4 Gas_cred'!H41)</f>
        <v>1.1225859728820335</v>
      </c>
      <c r="E10" s="666">
        <f>'S2.1.4 Gas_cred'!B3*('S2.1.4 Gas_cred'!D7*'S2.1.4 Gas_cred'!H22+'S2.1.4 Gas_cred'!D8*'S2.1.4 Gas_cred'!F36+'S2.1.4 Gas_cred'!D9*'S2.1.4 Gas_cred'!H41)</f>
        <v>1.3927762075663332</v>
      </c>
      <c r="F10" s="231">
        <f>'S2.1.4 Gas_cred'!B3*('S2.1.4 Gas_cred'!E7*'S2.1.4 Gas_cred'!L22+'S2.1.4 Gas_cred'!E8*'S2.1.4 Gas_cred'!F36+'S2.1.4 Gas_cred'!E9*'S2.1.4 Gas_cred'!H41)</f>
        <v>0.33071099525002229</v>
      </c>
      <c r="G10" s="232">
        <f>'S2.1.4 Gas_cred'!B3*('S2.1.4 Gas_cred'!E7*'S2.1.4 Gas_cred'!J22+'S2.1.4 Gas_cred'!E8*'S2.1.4 Gas_cred'!F36+'S2.1.4 Gas_cred'!E9*'S2.1.4 Gas_cred'!H41)</f>
        <v>1.0152932941179609</v>
      </c>
      <c r="H10" s="666">
        <f>'S2.1.4 Gas_cred'!B3*('S2.1.4 Gas_cred'!E7*'S2.1.4 Gas_cred'!F22+'S2.1.4 Gas_cred'!E8*'S2.1.4 Gas_cred'!F36+'S2.1.4 Gas_cred'!E9*'S2.1.4 Gas_cred'!H41)</f>
        <v>1.6796894081447264</v>
      </c>
      <c r="I10" s="232">
        <f>'S2.1.4 Gas_cred'!B3*('S2.1.4 Gas_cred'!E7*'S2.1.4 Gas_cred'!H22+'S2.1.4 Gas_cred'!E8*'S2.1.4 Gas_cred'!G36+'S2.1.4 Gas_cred'!E9*'S2.1.4 Gas_cred'!H41)</f>
        <v>1.2544315002562056</v>
      </c>
      <c r="J10" s="232">
        <f>'S2.1.4 Gas_cred'!B3*('S2.1.4 Gas_cred'!E7*'S2.1.4 Gas_cred'!H22+'S2.1.4 Gas_cred'!E8*'S2.1.4 Gas_cred'!E36+'S2.1.4 Gas_cred'!E9*'S2.1.4 Gas_cred'!H41)</f>
        <v>1.30420348972759</v>
      </c>
      <c r="K10" s="691">
        <f>'S2.1.4 Gas_cred'!B3*('S2.1.4 Gas_cred'!E7*'S2.1.4 Gas_cred'!H22+'S2.1.4 Gas_cred'!E8*'S2.1.4 Gas_cred'!F36+'S2.1.4 Gas_cred'!E9*'S2.1.4 Gas_cred'!N41)</f>
        <v>1.1227957810145581</v>
      </c>
      <c r="L10" s="528">
        <f>'S2.1.4 Gas_cred'!B3*('S2.1.4 Gas_cred'!E7*'S2.1.4 Gas_cred'!H22+'S2.1.4 Gas_cred'!E8*'S2.1.4 Gas_cred'!F36+'S2.1.4 Gas_cred'!E9*'S2.1.4 Gas_cred'!K41)</f>
        <v>1.2020166313506973</v>
      </c>
      <c r="M10" s="594">
        <f>'S2.1.4 Gas_cred'!B3*('S2.1.4 Gas_cred'!E7*'S2.1.4 Gas_cred'!H22+'S2.1.4 Gas_cred'!E8*'S2.1.4 Gas_cred'!F36+'S2.1.4 Gas_cred'!E9*'S2.1.4 Gas_cred'!E41)</f>
        <v>1.4190868311513174</v>
      </c>
      <c r="N10" s="595">
        <f>'S2.1.4 Gas_cred'!B3*('S2.1.4 Gas_cred'!F7*'S2.1.4 Gas_cred'!L22+'S2.1.4 Gas_cred'!F8*'S2.1.4 Gas_cred'!G36+'S2.1.4 Gas_cred'!F9*'S2.1.4 Gas_cred'!N41)</f>
        <v>-6.9679558647103707E-2</v>
      </c>
      <c r="O10" s="595">
        <f>'S2.1.4 Gas_cred'!B3*('S2.1.4 Gas_cred'!F7*'S2.1.4 Gas_cred'!J22+'S2.1.4 Gas_cred'!F8*'S2.1.4 Gas_cred'!G36+'S2.1.4 Gas_cred'!F9*'S2.1.4 Gas_cred'!N41)</f>
        <v>0.5365031144945186</v>
      </c>
      <c r="P10" s="696">
        <f>'S2.1.4 Gas_cred'!B3*('S2.1.4 Gas_cred'!D7*'S2.1.4 Gas_cred'!F22+'S2.1.4 Gas_cred'!D8*'S2.1.4 Gas_cred'!E36+'S2.1.4 Gas_cred'!D9*'S2.1.4 Gas_cred'!H41)</f>
        <v>1.8129065910855091</v>
      </c>
      <c r="Q10" s="698">
        <f>'S2.1.4 Gas_cred'!B3*('S2.1.4 Gas_cred'!E7*'S2.1.4 Gas_cred'!N22+'S2.1.4 Gas_cred'!E8*'S2.1.4 Gas_cred'!H36+'S2.1.4 Gas_cred'!E9*'S2.1.4 Gas_cred'!K41)</f>
        <v>0.51451775540170097</v>
      </c>
    </row>
    <row r="11" spans="2:17" ht="14.25" customHeight="1" x14ac:dyDescent="0.2">
      <c r="D11" s="1424">
        <f>E10-D10</f>
        <v>0.2701902346842997</v>
      </c>
      <c r="E11" s="1425"/>
      <c r="F11" s="690">
        <f>H10-F10</f>
        <v>1.3489784128947042</v>
      </c>
      <c r="G11" s="690">
        <f>H10-G10</f>
        <v>0.66439611402676557</v>
      </c>
      <c r="H11" s="693"/>
      <c r="I11" s="1426">
        <f>J10-I10</f>
        <v>4.9771989471384392E-2</v>
      </c>
      <c r="J11" s="1426"/>
      <c r="K11" s="1427">
        <f>M10-K10</f>
        <v>0.29629105013675927</v>
      </c>
      <c r="L11" s="1427"/>
      <c r="M11" s="1427"/>
      <c r="N11" s="694">
        <f>P10-N10</f>
        <v>1.8825861497326128</v>
      </c>
      <c r="O11" s="694">
        <f>P10-O10</f>
        <v>1.2764034765909904</v>
      </c>
      <c r="P11" s="693"/>
      <c r="Q11" s="459">
        <f>Q10-C10</f>
        <v>-0.7782529756905735</v>
      </c>
    </row>
    <row r="12" spans="2:17" customFormat="1" ht="14.25" customHeight="1" x14ac:dyDescent="0.25"/>
    <row r="13" spans="2:17" ht="15" thickBot="1" x14ac:dyDescent="0.25">
      <c r="B13" s="216"/>
      <c r="C13" s="1357" t="s">
        <v>1148</v>
      </c>
      <c r="D13" s="1357"/>
      <c r="E13" s="1357"/>
      <c r="F13" s="1357"/>
      <c r="G13" s="1357"/>
      <c r="H13" s="1357"/>
      <c r="I13" s="1357"/>
      <c r="J13" s="1357"/>
      <c r="K13" s="1357"/>
      <c r="L13" s="1357"/>
      <c r="M13" s="1357"/>
      <c r="N13" s="1357"/>
      <c r="O13" s="1357"/>
      <c r="P13" s="1357"/>
      <c r="Q13" s="1357"/>
    </row>
    <row r="14" spans="2:17" ht="29.25" thickBot="1" x14ac:dyDescent="0.25">
      <c r="B14" s="219"/>
      <c r="C14" s="819" t="s">
        <v>478</v>
      </c>
      <c r="D14" s="1415" t="s">
        <v>639</v>
      </c>
      <c r="E14" s="1417"/>
      <c r="F14" s="1415" t="s">
        <v>481</v>
      </c>
      <c r="G14" s="1416"/>
      <c r="H14" s="1417"/>
      <c r="I14" s="1416" t="s">
        <v>480</v>
      </c>
      <c r="J14" s="1416"/>
      <c r="K14" s="1418" t="s">
        <v>482</v>
      </c>
      <c r="L14" s="1419"/>
      <c r="M14" s="1420"/>
      <c r="N14" s="1415" t="s">
        <v>483</v>
      </c>
      <c r="O14" s="1416"/>
      <c r="P14" s="1416"/>
      <c r="Q14" s="699" t="s">
        <v>1576</v>
      </c>
    </row>
    <row r="15" spans="2:17" ht="14.25" customHeight="1" x14ac:dyDescent="0.2">
      <c r="B15" s="566" t="s">
        <v>636</v>
      </c>
      <c r="C15" s="669" t="s">
        <v>422</v>
      </c>
      <c r="D15" s="668" t="s">
        <v>423</v>
      </c>
      <c r="E15" s="685" t="s">
        <v>421</v>
      </c>
      <c r="F15" s="669" t="s">
        <v>422</v>
      </c>
      <c r="G15" s="670" t="s">
        <v>422</v>
      </c>
      <c r="H15" s="671" t="s">
        <v>422</v>
      </c>
      <c r="I15" s="670" t="s">
        <v>422</v>
      </c>
      <c r="J15" s="670" t="s">
        <v>422</v>
      </c>
      <c r="K15" s="1428"/>
      <c r="L15" s="1377"/>
      <c r="M15" s="671" t="s">
        <v>422</v>
      </c>
      <c r="N15" s="672" t="s">
        <v>423</v>
      </c>
      <c r="O15" s="672" t="s">
        <v>423</v>
      </c>
      <c r="P15" s="695" t="s">
        <v>421</v>
      </c>
      <c r="Q15" s="541" t="s">
        <v>422</v>
      </c>
    </row>
    <row r="16" spans="2:17" ht="42.75" x14ac:dyDescent="0.2">
      <c r="B16" s="673" t="s">
        <v>640</v>
      </c>
      <c r="C16" s="700" t="s">
        <v>430</v>
      </c>
      <c r="D16" s="701" t="s">
        <v>430</v>
      </c>
      <c r="E16" s="702" t="s">
        <v>430</v>
      </c>
      <c r="F16" s="725" t="s">
        <v>1574</v>
      </c>
      <c r="G16" s="704" t="s">
        <v>1124</v>
      </c>
      <c r="H16" s="705" t="s">
        <v>429</v>
      </c>
      <c r="I16" s="706" t="s">
        <v>430</v>
      </c>
      <c r="J16" s="706" t="s">
        <v>430</v>
      </c>
      <c r="K16" s="1428"/>
      <c r="L16" s="1377"/>
      <c r="M16" s="702" t="s">
        <v>430</v>
      </c>
      <c r="N16" s="703" t="s">
        <v>1574</v>
      </c>
      <c r="O16" s="704" t="s">
        <v>1124</v>
      </c>
      <c r="P16" s="705" t="s">
        <v>429</v>
      </c>
      <c r="Q16" s="667" t="s">
        <v>1576</v>
      </c>
    </row>
    <row r="17" spans="2:17" ht="28.5" x14ac:dyDescent="0.2">
      <c r="B17" s="674" t="s">
        <v>642</v>
      </c>
      <c r="C17" s="708" t="s">
        <v>478</v>
      </c>
      <c r="D17" s="708" t="s">
        <v>478</v>
      </c>
      <c r="E17" s="709" t="s">
        <v>478</v>
      </c>
      <c r="F17" s="708" t="s">
        <v>478</v>
      </c>
      <c r="G17" s="710" t="s">
        <v>478</v>
      </c>
      <c r="H17" s="709" t="s">
        <v>478</v>
      </c>
      <c r="I17" s="711" t="s">
        <v>643</v>
      </c>
      <c r="J17" s="712" t="s">
        <v>641</v>
      </c>
      <c r="K17" s="1428"/>
      <c r="L17" s="1377"/>
      <c r="M17" s="709" t="s">
        <v>478</v>
      </c>
      <c r="N17" s="711" t="s">
        <v>643</v>
      </c>
      <c r="O17" s="711" t="s">
        <v>643</v>
      </c>
      <c r="P17" s="675" t="s">
        <v>641</v>
      </c>
      <c r="Q17" s="533" t="s">
        <v>643</v>
      </c>
    </row>
    <row r="18" spans="2:17" ht="114.75" thickBot="1" x14ac:dyDescent="0.25">
      <c r="B18" s="605" t="s">
        <v>644</v>
      </c>
      <c r="C18" s="830" t="s">
        <v>472</v>
      </c>
      <c r="D18" s="830" t="s">
        <v>472</v>
      </c>
      <c r="E18" s="831" t="s">
        <v>472</v>
      </c>
      <c r="F18" s="830" t="s">
        <v>472</v>
      </c>
      <c r="G18" s="832" t="s">
        <v>472</v>
      </c>
      <c r="H18" s="831" t="s">
        <v>472</v>
      </c>
      <c r="I18" s="832" t="s">
        <v>472</v>
      </c>
      <c r="J18" s="832" t="s">
        <v>472</v>
      </c>
      <c r="K18" s="1429"/>
      <c r="L18" s="1430"/>
      <c r="M18" s="692" t="s">
        <v>1223</v>
      </c>
      <c r="N18" s="830" t="s">
        <v>472</v>
      </c>
      <c r="O18" s="832" t="s">
        <v>472</v>
      </c>
      <c r="P18" s="686" t="s">
        <v>1223</v>
      </c>
      <c r="Q18" s="834" t="s">
        <v>472</v>
      </c>
    </row>
    <row r="19" spans="2:17" ht="43.5" thickBot="1" x14ac:dyDescent="0.25">
      <c r="B19" s="607" t="s">
        <v>1939</v>
      </c>
      <c r="C19" s="825">
        <f>'S2.1.4 Gas_cred'!B3*('S2.1.4 Gas_cred'!E7*'S2.1.4 Gas_cred'!H23+'S2.1.4 Gas_cred'!E8*'S2.1.4 Gas_cred'!F37+'S2.1.4 Gas_cred'!E9*'S2.1.4 Gas_cred'!Q41)</f>
        <v>-0.3907681876150742</v>
      </c>
      <c r="D19" s="609">
        <f>'S2.1.4 Gas_cred'!B3*('S2.1.4 Gas_cred'!F7*'S2.1.4 Gas_cred'!H23+'S2.1.4 Gas_cred'!F8*'S2.1.4 Gas_cred'!F37+'S2.1.4 Gas_cred'!F9*'S2.1.4 Gas_cred'!Q41)</f>
        <v>-0.66037914708303891</v>
      </c>
      <c r="E19" s="562">
        <f>'S2.1.4 Gas_cred'!B3*('S2.1.4 Gas_cred'!D7*'S2.1.4 Gas_cred'!H23+'S2.1.4 Gas_cred'!D8*'S2.1.4 Gas_cred'!F37+'S2.1.4 Gas_cred'!D9*'S2.1.4 Gas_cred'!Q41)</f>
        <v>-0.232337005247301</v>
      </c>
      <c r="F19" s="609">
        <f>'S2.1.4 Gas_cred'!B3*('S2.1.4 Gas_cred'!E7*'S2.1.4 Gas_cred'!L23+'S2.1.4 Gas_cred'!E8*'S2.1.4 Gas_cred'!F37+'S2.1.4 Gas_cred'!E9*'S2.1.4 Gas_cred'!Q41)</f>
        <v>-0.13044171240893765</v>
      </c>
      <c r="G19" s="233">
        <f>'S2.1.4 Gas_cred'!B3*('S2.1.4 Gas_cred'!E7*'S2.1.4 Gas_cred'!J23+'S2.1.4 Gas_cred'!E8*'S2.1.4 Gas_cred'!F37+'S2.1.4 Gas_cred'!E9*'S2.1.4 Gas_cred'!Q41)</f>
        <v>-0.49828081042766204</v>
      </c>
      <c r="H19" s="562">
        <f>'S2.1.4 Gas_cred'!B3*('S2.1.4 Gas_cred'!E7*'S2.1.4 Gas_cred'!F23+'S2.1.4 Gas_cred'!E8*'S2.1.4 Gas_cred'!F37+'S2.1.4 Gas_cred'!E9*'S2.1.4 Gas_cred'!Q41)</f>
        <v>-0.29380502338781855</v>
      </c>
      <c r="I19" s="233">
        <f>'S2.1.4 Gas_cred'!B3*('S2.1.4 Gas_cred'!E7*'S2.1.4 Gas_cred'!H23+'S2.1.4 Gas_cred'!E8*'S2.1.4 Gas_cred'!G37+'S2.1.4 Gas_cred'!E9*'S2.1.4 Gas_cred'!Q41)</f>
        <v>-0.40957700217702064</v>
      </c>
      <c r="J19" s="233">
        <f>'S2.1.4 Gas_cred'!B3*('S2.1.4 Gas_cred'!E7*'S2.1.4 Gas_cred'!H23+'S2.1.4 Gas_cred'!E8*'S2.1.4 Gas_cred'!E37+'S2.1.4 Gas_cred'!E9*'S2.1.4 Gas_cred'!Q41)</f>
        <v>-0.38515939911270181</v>
      </c>
      <c r="K19" s="531"/>
      <c r="L19" s="234"/>
      <c r="M19" s="826">
        <f>'S2.1.4 Gas_cred'!B3*('S2.1.4 Gas_cred'!E7*'S2.1.4 Gas_cred'!H23+'S2.1.4 Gas_cred'!E8*'S2.1.4 Gas_cred'!F37+'S2.1.4 Gas_cred'!E9*'S2.1.4 Gas_cred'!E41)</f>
        <v>2.1598537815453876E-2</v>
      </c>
      <c r="N19" s="827">
        <f>'S2.1.4 Gas_cred'!B3*('S2.1.4 Gas_cred'!F7*'S2.1.4 Gas_cred'!L23+'S2.1.4 Gas_cred'!F8*'S2.1.4 Gas_cred'!G37+'S2.1.4 Gas_cred'!F9*'S2.1.4 Gas_cred'!Q41)</f>
        <v>-0.4605990964127607</v>
      </c>
      <c r="O19" s="827">
        <f>'S2.1.4 Gas_cred'!B3*('S2.1.4 Gas_cred'!F7*'S2.1.4 Gas_cred'!J23+'S2.1.4 Gas_cred'!F8*'S2.1.4 Gas_cred'!G37+'S2.1.4 Gas_cred'!F9*'S2.1.4 Gas_cred'!Q41)</f>
        <v>-0.78631258344232779</v>
      </c>
      <c r="P19" s="828">
        <f>'S2.1.4 Gas_cred'!B3*('S2.1.4 Gas_cred'!D7*'S2.1.4 Gas_cred'!F23+'S2.1.4 Gas_cred'!D8*'S2.1.4 Gas_cred'!E37+'S2.1.4 Gas_cred'!D9*'S2.1.4 Gas_cred'!E41)</f>
        <v>0.13341057104667151</v>
      </c>
      <c r="Q19" s="829">
        <f>'S2.1.4 Gas_cred'!B3*('S2.1.4 Gas_cred'!E7*'S2.1.4 Gas_cred'!N23+'S2.1.4 Gas_cred'!E8*'S2.1.4 Gas_cred'!G37+'S2.1.4 Gas_cred'!E9*'S2.1.4 Gas_cred'!Q41)</f>
        <v>-4.9289758742995122</v>
      </c>
    </row>
    <row r="20" spans="2:17" ht="14.25" customHeight="1" x14ac:dyDescent="0.25">
      <c r="D20" s="1424">
        <f>E19-D19</f>
        <v>0.42804214183573791</v>
      </c>
      <c r="E20" s="1425"/>
      <c r="F20" s="690">
        <f>H19-F19</f>
        <v>-0.1633633109788809</v>
      </c>
      <c r="G20" s="690">
        <f>H19-G19</f>
        <v>0.20447578703984348</v>
      </c>
      <c r="H20" s="693"/>
      <c r="I20" s="1426">
        <f>J19-I19</f>
        <v>2.4417603064318838E-2</v>
      </c>
      <c r="J20" s="1426"/>
      <c r="L20"/>
      <c r="M20" s="833">
        <f>M19-C19</f>
        <v>0.4123667254305281</v>
      </c>
      <c r="N20" s="694">
        <f>P19-N19</f>
        <v>0.59400966745943218</v>
      </c>
      <c r="O20" s="694">
        <f>P19-O19</f>
        <v>0.91972315448899933</v>
      </c>
      <c r="P20" s="693"/>
      <c r="Q20" s="459">
        <f>Q19-C19</f>
        <v>-4.5382076866844381</v>
      </c>
    </row>
    <row r="22" spans="2:17" ht="18.75" x14ac:dyDescent="0.3">
      <c r="B22" s="688" t="s">
        <v>1224</v>
      </c>
    </row>
    <row r="24" spans="2:17" x14ac:dyDescent="0.2">
      <c r="C24" s="1421" t="s">
        <v>1147</v>
      </c>
      <c r="D24" s="1422"/>
      <c r="E24" s="1423"/>
      <c r="F24" s="1421" t="s">
        <v>1148</v>
      </c>
      <c r="G24" s="1422"/>
      <c r="H24" s="1423"/>
    </row>
    <row r="25" spans="2:17" ht="15" x14ac:dyDescent="0.25">
      <c r="C25" s="676" t="s">
        <v>1128</v>
      </c>
      <c r="D25" s="677" t="s">
        <v>1141</v>
      </c>
      <c r="E25" s="678" t="s">
        <v>1130</v>
      </c>
      <c r="F25" s="676" t="s">
        <v>1128</v>
      </c>
      <c r="G25" s="677" t="s">
        <v>1141</v>
      </c>
      <c r="H25" s="678" t="s">
        <v>1130</v>
      </c>
    </row>
    <row r="26" spans="2:17" ht="15" x14ac:dyDescent="0.25">
      <c r="B26" s="217" t="s">
        <v>1076</v>
      </c>
      <c r="C26" s="679" t="s">
        <v>20</v>
      </c>
      <c r="D26" s="205" t="s">
        <v>22</v>
      </c>
      <c r="E26" s="214" t="s">
        <v>21</v>
      </c>
      <c r="F26" s="679" t="str">
        <f t="shared" ref="F26:H28" si="0">C26</f>
        <v>PET</v>
      </c>
      <c r="G26" s="205" t="str">
        <f t="shared" si="0"/>
        <v>PS</v>
      </c>
      <c r="H26" s="214" t="str">
        <f t="shared" si="0"/>
        <v>PP</v>
      </c>
    </row>
    <row r="27" spans="2:17" ht="15" x14ac:dyDescent="0.25">
      <c r="B27" s="217" t="s">
        <v>1077</v>
      </c>
      <c r="C27" s="679">
        <v>800</v>
      </c>
      <c r="D27" s="205">
        <v>900</v>
      </c>
      <c r="E27" s="214">
        <v>1000</v>
      </c>
      <c r="F27" s="679">
        <f t="shared" si="0"/>
        <v>800</v>
      </c>
      <c r="G27" s="205">
        <f t="shared" si="0"/>
        <v>900</v>
      </c>
      <c r="H27" s="214">
        <f t="shared" si="0"/>
        <v>1000</v>
      </c>
    </row>
    <row r="28" spans="2:17" ht="15" x14ac:dyDescent="0.25">
      <c r="B28" s="217" t="s">
        <v>1131</v>
      </c>
      <c r="C28" s="679" t="s">
        <v>1133</v>
      </c>
      <c r="D28" s="205" t="s">
        <v>1133</v>
      </c>
      <c r="E28" s="214" t="s">
        <v>1132</v>
      </c>
      <c r="F28" s="679" t="str">
        <f t="shared" si="0"/>
        <v>down to 100°C</v>
      </c>
      <c r="G28" s="205" t="str">
        <f t="shared" si="0"/>
        <v>down to 100°C</v>
      </c>
      <c r="H28" s="214" t="str">
        <f t="shared" si="0"/>
        <v>only down to 200°C</v>
      </c>
      <c r="J28" s="680" t="s">
        <v>3</v>
      </c>
    </row>
    <row r="29" spans="2:17" ht="15" x14ac:dyDescent="0.25">
      <c r="B29" s="217" t="s">
        <v>1845</v>
      </c>
      <c r="C29" s="679" t="s">
        <v>421</v>
      </c>
      <c r="D29" s="205" t="s">
        <v>422</v>
      </c>
      <c r="E29" s="214" t="s">
        <v>423</v>
      </c>
      <c r="F29" s="679" t="s">
        <v>421</v>
      </c>
      <c r="G29" s="205" t="s">
        <v>422</v>
      </c>
      <c r="H29" s="214" t="s">
        <v>423</v>
      </c>
    </row>
    <row r="30" spans="2:17" s="218" customFormat="1" ht="15" x14ac:dyDescent="0.25">
      <c r="B30" s="761" t="s">
        <v>1846</v>
      </c>
      <c r="C30" s="817" t="s">
        <v>1692</v>
      </c>
      <c r="D30" s="680" t="s">
        <v>1692</v>
      </c>
      <c r="E30" s="941" t="s">
        <v>1693</v>
      </c>
      <c r="F30" s="817" t="s">
        <v>1692</v>
      </c>
      <c r="G30" s="680" t="s">
        <v>1692</v>
      </c>
      <c r="H30" s="941" t="s">
        <v>1693</v>
      </c>
    </row>
    <row r="31" spans="2:17" ht="15" x14ac:dyDescent="0.25">
      <c r="B31" s="217" t="s">
        <v>1942</v>
      </c>
      <c r="C31" s="713">
        <f>'S2.1.3 Gas_imp'!AC10</f>
        <v>0.62006371361087165</v>
      </c>
      <c r="D31" s="714">
        <f>'S2.1.3 Gas_imp'!AE17</f>
        <v>1.3005721001174477</v>
      </c>
      <c r="E31" s="715">
        <f>'S2.1.3 Gas_imp'!Z15</f>
        <v>1.5084331998708669</v>
      </c>
      <c r="F31" s="713">
        <f>'S2.1.3 Gas_imp'!BA10</f>
        <v>0.2686756892133163</v>
      </c>
      <c r="G31" s="714">
        <f>'S2.1.3 Gas_imp'!BC17</f>
        <v>0.4841925352983486</v>
      </c>
      <c r="H31" s="715">
        <f>'S2.1.3 Gas_imp'!AX15</f>
        <v>0.5446413677434051</v>
      </c>
    </row>
    <row r="32" spans="2:17" ht="15" x14ac:dyDescent="0.25">
      <c r="B32" s="217" t="s">
        <v>1943</v>
      </c>
      <c r="C32" s="681">
        <f>C31+'S2.1.3 Gas_imp'!$C$49</f>
        <v>0.6261512854941369</v>
      </c>
      <c r="D32" s="682">
        <f>D31+'S2.1.3 Gas_imp'!$C$49</f>
        <v>1.3066596720007129</v>
      </c>
      <c r="E32" s="683">
        <f>E31+'S2.1.3 Gas_imp'!$C$49</f>
        <v>1.514520771754132</v>
      </c>
      <c r="F32" s="681">
        <f>F31+'S2.1.3 Gas_imp'!$C$50</f>
        <v>0.2724064253238439</v>
      </c>
      <c r="G32" s="689">
        <f>G31+'S2.1.3 Gas_imp'!$C$50</f>
        <v>0.4879232714088762</v>
      </c>
      <c r="H32" s="683">
        <f>H31+'S2.1.3 Gas_imp'!$C$50</f>
        <v>0.54837210385393276</v>
      </c>
    </row>
    <row r="33" spans="2:13" ht="15" x14ac:dyDescent="0.25">
      <c r="B33" s="217" t="s">
        <v>1944</v>
      </c>
      <c r="C33" s="681">
        <f>C31+'S2.1.3 Gas_imp'!$C$79</f>
        <v>1.360324450433875</v>
      </c>
      <c r="D33" s="682">
        <f>D31+'S2.1.3 Gas_imp'!$C$79</f>
        <v>2.0408328369404511</v>
      </c>
      <c r="E33" s="683">
        <f>E31+'S2.1.3 Gas_imp'!$C$79</f>
        <v>2.2486939366938703</v>
      </c>
      <c r="F33" s="681">
        <f>F31+'S2.1.3 Gas_imp'!$C$80</f>
        <v>0.38429817737857619</v>
      </c>
      <c r="G33" s="689">
        <f>G31+'S2.1.3 Gas_imp'!$C$80</f>
        <v>0.59981502346360849</v>
      </c>
      <c r="H33" s="683">
        <f>H31+'S2.1.3 Gas_imp'!$C$80</f>
        <v>0.66026385590866499</v>
      </c>
    </row>
    <row r="34" spans="2:13" ht="15" x14ac:dyDescent="0.25">
      <c r="B34" s="217" t="s">
        <v>1945</v>
      </c>
      <c r="C34" s="716">
        <f>C33+'S2.1.3 Gas_imp'!$C$86</f>
        <v>1.3720431281024463</v>
      </c>
      <c r="D34" s="717">
        <f>D33+'S2.1.3 Gas_imp'!$C$86</f>
        <v>2.0525515146090227</v>
      </c>
      <c r="E34" s="718">
        <f>E33+'S2.1.3 Gas_imp'!$C$86</f>
        <v>2.2604126143624419</v>
      </c>
      <c r="F34" s="716">
        <f>F33+'S2.1.3 Gas_imp'!$C$87</f>
        <v>0.39392544438699678</v>
      </c>
      <c r="G34" s="719">
        <f>G33+'S2.1.3 Gas_imp'!$C$87</f>
        <v>0.60944229047202914</v>
      </c>
      <c r="H34" s="718">
        <f>H33+'S2.1.3 Gas_imp'!$C$87</f>
        <v>0.66989112291708564</v>
      </c>
    </row>
    <row r="35" spans="2:13" ht="15" x14ac:dyDescent="0.25">
      <c r="B35" s="217"/>
    </row>
    <row r="36" spans="2:13" ht="15" x14ac:dyDescent="0.25">
      <c r="B36" s="217"/>
    </row>
    <row r="37" spans="2:13" ht="15" x14ac:dyDescent="0.25">
      <c r="B37" s="217"/>
    </row>
    <row r="38" spans="2:13" ht="18.75" x14ac:dyDescent="0.3">
      <c r="B38" s="688" t="s">
        <v>1473</v>
      </c>
    </row>
    <row r="39" spans="2:13" s="205" customFormat="1" ht="15" x14ac:dyDescent="0.25">
      <c r="B39" s="677"/>
      <c r="C39" s="1412" t="s">
        <v>1147</v>
      </c>
      <c r="D39" s="1413"/>
      <c r="E39" s="1413"/>
      <c r="F39" s="1413"/>
      <c r="G39" s="1414"/>
      <c r="H39" s="1412" t="s">
        <v>1148</v>
      </c>
      <c r="I39" s="1413"/>
      <c r="J39" s="1413"/>
      <c r="K39" s="1413"/>
      <c r="L39" s="1414"/>
    </row>
    <row r="40" spans="2:13" s="205" customFormat="1" ht="15" x14ac:dyDescent="0.25">
      <c r="B40" s="677"/>
      <c r="C40" s="817" t="s">
        <v>1694</v>
      </c>
      <c r="D40" s="680" t="s">
        <v>1695</v>
      </c>
      <c r="E40" s="205" t="s">
        <v>422</v>
      </c>
      <c r="F40" s="205" t="s">
        <v>1696</v>
      </c>
      <c r="G40" s="941" t="s">
        <v>1699</v>
      </c>
      <c r="H40" s="679" t="s">
        <v>1694</v>
      </c>
      <c r="I40" s="205" t="s">
        <v>1695</v>
      </c>
      <c r="J40" s="205" t="s">
        <v>422</v>
      </c>
      <c r="K40" s="205" t="s">
        <v>1696</v>
      </c>
      <c r="L40" s="941" t="s">
        <v>1698</v>
      </c>
      <c r="M40" s="205" t="s">
        <v>3</v>
      </c>
    </row>
    <row r="41" spans="2:13" s="205" customFormat="1" ht="18" x14ac:dyDescent="0.25">
      <c r="B41" s="720" t="s">
        <v>2003</v>
      </c>
      <c r="C41" s="721">
        <f>E32-N10</f>
        <v>1.5842003304012358</v>
      </c>
      <c r="D41" s="722">
        <f>E33-O10</f>
        <v>1.7121908221993518</v>
      </c>
      <c r="E41" s="723">
        <f>D34-'S2.1.5 Gas_res'!C10</f>
        <v>0.75978078351674827</v>
      </c>
      <c r="F41" s="722">
        <f>C34-P10</f>
        <v>-0.44086346298306278</v>
      </c>
      <c r="G41" s="724">
        <f>D32-Q10</f>
        <v>0.7921419165990119</v>
      </c>
      <c r="H41" s="721">
        <f>H32-N19</f>
        <v>1.0089712002666935</v>
      </c>
      <c r="I41" s="722">
        <f>H33-O19</f>
        <v>1.4465764393509928</v>
      </c>
      <c r="J41" s="723">
        <f>G34-'S2.1.5 Gas_res'!C19</f>
        <v>1.0002104780871033</v>
      </c>
      <c r="K41" s="722">
        <f>F34-P19</f>
        <v>0.2605148733403253</v>
      </c>
      <c r="L41" s="724">
        <f>G32-Q19</f>
        <v>5.4168991457083884</v>
      </c>
    </row>
    <row r="42" spans="2:13" s="205" customFormat="1" x14ac:dyDescent="0.2"/>
    <row r="43" spans="2:13" s="205" customFormat="1" x14ac:dyDescent="0.2"/>
    <row r="44" spans="2:13" s="205" customFormat="1" x14ac:dyDescent="0.2"/>
    <row r="45" spans="2:13" s="205" customFormat="1" x14ac:dyDescent="0.2"/>
  </sheetData>
  <mergeCells count="22">
    <mergeCell ref="N14:P14"/>
    <mergeCell ref="K15:L18"/>
    <mergeCell ref="D14:E14"/>
    <mergeCell ref="F14:H14"/>
    <mergeCell ref="I14:J14"/>
    <mergeCell ref="K14:M14"/>
    <mergeCell ref="C39:G39"/>
    <mergeCell ref="H39:L39"/>
    <mergeCell ref="C4:Q4"/>
    <mergeCell ref="F5:H5"/>
    <mergeCell ref="K5:M5"/>
    <mergeCell ref="C24:E24"/>
    <mergeCell ref="F24:H24"/>
    <mergeCell ref="D5:E5"/>
    <mergeCell ref="I5:J5"/>
    <mergeCell ref="N5:P5"/>
    <mergeCell ref="D11:E11"/>
    <mergeCell ref="I11:J11"/>
    <mergeCell ref="K11:M11"/>
    <mergeCell ref="D20:E20"/>
    <mergeCell ref="I20:J20"/>
    <mergeCell ref="C13:Q13"/>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3F013-F60E-41C0-8CA0-7688B197FFFF}">
  <sheetPr>
    <tabColor rgb="FF663300"/>
  </sheetPr>
  <dimension ref="A1:AI73"/>
  <sheetViews>
    <sheetView zoomScale="55" zoomScaleNormal="55" workbookViewId="0">
      <pane ySplit="1" topLeftCell="A2" activePane="bottomLeft" state="frozen"/>
      <selection activeCell="J31" sqref="J31"/>
      <selection pane="bottomLeft" activeCell="AI1" sqref="AI1"/>
    </sheetView>
  </sheetViews>
  <sheetFormatPr defaultColWidth="8.85546875" defaultRowHeight="15" x14ac:dyDescent="0.25"/>
  <cols>
    <col min="1" max="3" width="18" style="165" customWidth="1"/>
    <col min="4" max="5" width="27.85546875" style="165" customWidth="1"/>
    <col min="6" max="6" width="20.7109375" style="165" customWidth="1"/>
    <col min="7" max="7" width="64" style="165" customWidth="1"/>
    <col min="8" max="13" width="18" style="165" customWidth="1"/>
    <col min="14" max="14" width="31.140625" style="165" customWidth="1"/>
    <col min="15" max="15" width="18" style="165" customWidth="1"/>
    <col min="16" max="16" width="26" style="165" customWidth="1"/>
    <col min="17" max="17" width="18" style="165" customWidth="1"/>
    <col min="18" max="18" width="63.85546875" style="165" customWidth="1"/>
    <col min="19" max="21" width="12.42578125" style="169" customWidth="1"/>
    <col min="22" max="22" width="153.7109375" style="165" customWidth="1"/>
    <col min="23" max="23" width="116.42578125" style="165" customWidth="1"/>
    <col min="24" max="24" width="72.7109375" style="165" customWidth="1"/>
    <col min="25" max="34" width="7.42578125" style="170" customWidth="1"/>
    <col min="35" max="35" width="18" style="165" customWidth="1"/>
    <col min="36" max="16384" width="8.85546875" style="165"/>
  </cols>
  <sheetData>
    <row r="1" spans="1:35" ht="47.1" customHeight="1" x14ac:dyDescent="0.25">
      <c r="A1" s="162" t="s">
        <v>86</v>
      </c>
      <c r="B1" s="162" t="s">
        <v>87</v>
      </c>
      <c r="C1" s="162" t="s">
        <v>88</v>
      </c>
      <c r="D1" s="162" t="s">
        <v>89</v>
      </c>
      <c r="E1" s="162" t="s">
        <v>90</v>
      </c>
      <c r="F1" s="162" t="s">
        <v>91</v>
      </c>
      <c r="G1" s="162" t="s">
        <v>92</v>
      </c>
      <c r="H1" s="162" t="s">
        <v>93</v>
      </c>
      <c r="I1" s="162" t="s">
        <v>94</v>
      </c>
      <c r="J1" s="162" t="s">
        <v>95</v>
      </c>
      <c r="K1" s="162" t="s">
        <v>96</v>
      </c>
      <c r="L1" s="162" t="s">
        <v>97</v>
      </c>
      <c r="M1" s="162" t="s">
        <v>98</v>
      </c>
      <c r="N1" s="162" t="s">
        <v>99</v>
      </c>
      <c r="O1" s="162" t="s">
        <v>100</v>
      </c>
      <c r="P1" s="162" t="s">
        <v>101</v>
      </c>
      <c r="Q1" s="162" t="s">
        <v>102</v>
      </c>
      <c r="R1" s="162" t="s">
        <v>103</v>
      </c>
      <c r="S1" s="162" t="s">
        <v>104</v>
      </c>
      <c r="T1" s="162" t="s">
        <v>105</v>
      </c>
      <c r="U1" s="162" t="s">
        <v>106</v>
      </c>
      <c r="V1" s="162" t="s">
        <v>107</v>
      </c>
      <c r="W1" s="162" t="s">
        <v>108</v>
      </c>
      <c r="X1" s="163" t="s">
        <v>109</v>
      </c>
      <c r="Y1" s="164" t="s">
        <v>1946</v>
      </c>
      <c r="Z1" s="20" t="s">
        <v>1947</v>
      </c>
      <c r="AA1" s="20" t="s">
        <v>1948</v>
      </c>
      <c r="AB1" s="20" t="s">
        <v>1949</v>
      </c>
      <c r="AC1" s="20" t="s">
        <v>1950</v>
      </c>
      <c r="AD1" s="20" t="s">
        <v>1951</v>
      </c>
      <c r="AE1" s="20" t="s">
        <v>1952</v>
      </c>
      <c r="AF1" s="20" t="s">
        <v>1953</v>
      </c>
      <c r="AG1" s="20" t="s">
        <v>1954</v>
      </c>
      <c r="AH1" s="20" t="s">
        <v>1955</v>
      </c>
      <c r="AI1" s="162" t="s">
        <v>119</v>
      </c>
    </row>
    <row r="2" spans="1:35" s="166" customFormat="1" x14ac:dyDescent="0.25">
      <c r="B2" s="166" t="s">
        <v>120</v>
      </c>
      <c r="C2" s="166" t="s">
        <v>121</v>
      </c>
      <c r="D2" s="166" t="s">
        <v>122</v>
      </c>
      <c r="E2" s="166" t="s">
        <v>123</v>
      </c>
      <c r="F2" s="166" t="s">
        <v>17</v>
      </c>
      <c r="G2" s="166" t="s">
        <v>124</v>
      </c>
      <c r="H2" s="166">
        <v>600</v>
      </c>
      <c r="K2" s="166" t="s">
        <v>125</v>
      </c>
      <c r="M2" s="166" t="s">
        <v>126</v>
      </c>
      <c r="N2" s="166" t="s">
        <v>127</v>
      </c>
      <c r="P2" s="166" t="s">
        <v>128</v>
      </c>
      <c r="Q2" s="166" t="s">
        <v>129</v>
      </c>
      <c r="R2" s="166" t="s">
        <v>130</v>
      </c>
      <c r="S2" s="167">
        <v>0.41</v>
      </c>
      <c r="T2" s="167">
        <v>0.31</v>
      </c>
      <c r="U2" s="167">
        <v>0.28999999999999998</v>
      </c>
      <c r="V2" s="166" t="s">
        <v>131</v>
      </c>
      <c r="W2" s="166" t="s">
        <v>132</v>
      </c>
      <c r="X2" s="166" t="s">
        <v>133</v>
      </c>
      <c r="Y2" s="168">
        <v>1</v>
      </c>
      <c r="Z2" s="168"/>
      <c r="AA2" s="168"/>
      <c r="AB2" s="168"/>
      <c r="AC2" s="168"/>
      <c r="AD2" s="168"/>
      <c r="AE2" s="168"/>
      <c r="AF2" s="168"/>
      <c r="AG2" s="168"/>
      <c r="AH2" s="168"/>
      <c r="AI2" s="166" t="s">
        <v>134</v>
      </c>
    </row>
    <row r="3" spans="1:35" s="166" customFormat="1" x14ac:dyDescent="0.25">
      <c r="B3" s="166" t="s">
        <v>120</v>
      </c>
      <c r="C3" s="166" t="s">
        <v>121</v>
      </c>
      <c r="D3" s="166" t="s">
        <v>122</v>
      </c>
      <c r="E3" s="166" t="s">
        <v>123</v>
      </c>
      <c r="F3" s="166" t="s">
        <v>17</v>
      </c>
      <c r="G3" s="166" t="s">
        <v>124</v>
      </c>
      <c r="H3" s="166">
        <v>700</v>
      </c>
      <c r="K3" s="166" t="s">
        <v>125</v>
      </c>
      <c r="M3" s="166" t="s">
        <v>126</v>
      </c>
      <c r="N3" s="166" t="s">
        <v>127</v>
      </c>
      <c r="P3" s="166" t="s">
        <v>128</v>
      </c>
      <c r="Q3" s="166" t="s">
        <v>129</v>
      </c>
      <c r="R3" s="166" t="s">
        <v>135</v>
      </c>
      <c r="S3" s="167">
        <v>0.2</v>
      </c>
      <c r="T3" s="167">
        <v>0.76</v>
      </c>
      <c r="U3" s="167">
        <v>3.5999999999999997E-2</v>
      </c>
      <c r="V3" s="166" t="s">
        <v>136</v>
      </c>
      <c r="W3" s="166" t="s">
        <v>137</v>
      </c>
      <c r="X3" s="166" t="s">
        <v>138</v>
      </c>
      <c r="Y3" s="168">
        <v>0.55600000000000005</v>
      </c>
      <c r="Z3" s="168"/>
      <c r="AA3" s="168"/>
      <c r="AB3" s="168"/>
      <c r="AC3" s="168"/>
      <c r="AD3" s="168"/>
      <c r="AE3" s="168"/>
      <c r="AF3" s="168"/>
      <c r="AG3" s="168"/>
      <c r="AH3" s="168"/>
    </row>
    <row r="4" spans="1:35" s="166" customFormat="1" x14ac:dyDescent="0.25">
      <c r="B4" s="166" t="s">
        <v>120</v>
      </c>
      <c r="C4" s="166" t="s">
        <v>121</v>
      </c>
      <c r="D4" s="166" t="s">
        <v>122</v>
      </c>
      <c r="E4" s="166" t="s">
        <v>123</v>
      </c>
      <c r="F4" s="166" t="s">
        <v>17</v>
      </c>
      <c r="G4" s="166" t="s">
        <v>124</v>
      </c>
      <c r="H4" s="166">
        <v>800</v>
      </c>
      <c r="K4" s="166" t="s">
        <v>125</v>
      </c>
      <c r="M4" s="166" t="s">
        <v>126</v>
      </c>
      <c r="N4" s="166" t="s">
        <v>127</v>
      </c>
      <c r="P4" s="166" t="s">
        <v>128</v>
      </c>
      <c r="Q4" s="166" t="s">
        <v>129</v>
      </c>
      <c r="R4" s="166" t="s">
        <v>139</v>
      </c>
      <c r="S4" s="167">
        <v>0.216</v>
      </c>
      <c r="T4" s="167">
        <v>0.69</v>
      </c>
      <c r="U4" s="167">
        <v>9.6000000000000002E-2</v>
      </c>
      <c r="V4" s="166" t="s">
        <v>140</v>
      </c>
      <c r="W4" s="166" t="s">
        <v>141</v>
      </c>
      <c r="X4" s="166" t="s">
        <v>142</v>
      </c>
      <c r="Y4" s="168">
        <v>0.92700000000000005</v>
      </c>
      <c r="Z4" s="168"/>
      <c r="AA4" s="168"/>
      <c r="AB4" s="168"/>
      <c r="AC4" s="168"/>
      <c r="AD4" s="168"/>
      <c r="AE4" s="168"/>
      <c r="AF4" s="168"/>
      <c r="AG4" s="168"/>
      <c r="AH4" s="168"/>
    </row>
    <row r="5" spans="1:35" x14ac:dyDescent="0.25">
      <c r="B5" s="165" t="s">
        <v>143</v>
      </c>
      <c r="C5" s="165" t="s">
        <v>121</v>
      </c>
      <c r="D5" s="165" t="s">
        <v>122</v>
      </c>
      <c r="E5" s="165" t="s">
        <v>123</v>
      </c>
      <c r="F5" s="165" t="s">
        <v>20</v>
      </c>
      <c r="G5" s="165" t="s">
        <v>144</v>
      </c>
      <c r="H5" s="165">
        <v>510</v>
      </c>
      <c r="P5" s="165" t="s">
        <v>145</v>
      </c>
      <c r="Q5" s="165" t="s">
        <v>129</v>
      </c>
      <c r="R5" s="165" t="s">
        <v>146</v>
      </c>
    </row>
    <row r="6" spans="1:35" x14ac:dyDescent="0.25">
      <c r="B6" s="165" t="s">
        <v>143</v>
      </c>
      <c r="C6" s="165" t="s">
        <v>121</v>
      </c>
      <c r="D6" s="165" t="s">
        <v>122</v>
      </c>
      <c r="E6" s="165" t="s">
        <v>123</v>
      </c>
      <c r="F6" s="165" t="s">
        <v>20</v>
      </c>
      <c r="G6" s="165" t="s">
        <v>144</v>
      </c>
      <c r="H6" s="165">
        <v>630</v>
      </c>
      <c r="P6" s="165" t="s">
        <v>145</v>
      </c>
      <c r="Q6" s="165" t="s">
        <v>129</v>
      </c>
      <c r="R6" s="165" t="s">
        <v>147</v>
      </c>
    </row>
    <row r="7" spans="1:35" x14ac:dyDescent="0.25">
      <c r="B7" s="165" t="s">
        <v>143</v>
      </c>
      <c r="C7" s="165" t="s">
        <v>121</v>
      </c>
      <c r="D7" s="165" t="s">
        <v>122</v>
      </c>
      <c r="E7" s="165" t="s">
        <v>123</v>
      </c>
      <c r="F7" s="165" t="s">
        <v>148</v>
      </c>
      <c r="G7" s="165" t="s">
        <v>149</v>
      </c>
      <c r="H7" s="165">
        <v>630</v>
      </c>
      <c r="P7" s="165" t="s">
        <v>145</v>
      </c>
      <c r="Q7" s="165" t="s">
        <v>129</v>
      </c>
      <c r="R7" s="165" t="s">
        <v>150</v>
      </c>
      <c r="AI7" s="165" t="s">
        <v>151</v>
      </c>
    </row>
    <row r="8" spans="1:35" x14ac:dyDescent="0.25">
      <c r="B8" s="165" t="s">
        <v>143</v>
      </c>
      <c r="C8" s="165" t="s">
        <v>121</v>
      </c>
      <c r="D8" s="165" t="s">
        <v>122</v>
      </c>
      <c r="E8" s="165" t="s">
        <v>123</v>
      </c>
      <c r="F8" s="165" t="s">
        <v>148</v>
      </c>
      <c r="G8" s="165" t="s">
        <v>149</v>
      </c>
      <c r="H8" s="165">
        <v>730</v>
      </c>
      <c r="P8" s="165" t="s">
        <v>145</v>
      </c>
      <c r="Q8" s="165" t="s">
        <v>129</v>
      </c>
      <c r="R8" s="165" t="s">
        <v>152</v>
      </c>
      <c r="AI8" s="165" t="s">
        <v>151</v>
      </c>
    </row>
    <row r="9" spans="1:35" x14ac:dyDescent="0.25">
      <c r="B9" s="165" t="s">
        <v>143</v>
      </c>
      <c r="C9" s="165" t="s">
        <v>121</v>
      </c>
      <c r="D9" s="165" t="s">
        <v>122</v>
      </c>
      <c r="E9" s="165" t="s">
        <v>123</v>
      </c>
      <c r="F9" s="165" t="s">
        <v>148</v>
      </c>
      <c r="G9" s="165" t="s">
        <v>153</v>
      </c>
      <c r="H9" s="165">
        <v>630</v>
      </c>
      <c r="P9" s="165" t="s">
        <v>145</v>
      </c>
      <c r="Q9" s="165" t="s">
        <v>129</v>
      </c>
      <c r="R9" s="112" t="s">
        <v>154</v>
      </c>
      <c r="S9" s="171"/>
      <c r="T9" s="171"/>
      <c r="U9" s="171"/>
      <c r="AI9" s="165" t="s">
        <v>151</v>
      </c>
    </row>
    <row r="10" spans="1:35" x14ac:dyDescent="0.25">
      <c r="B10" s="165" t="s">
        <v>143</v>
      </c>
      <c r="C10" s="165" t="s">
        <v>121</v>
      </c>
      <c r="D10" s="165" t="s">
        <v>122</v>
      </c>
      <c r="E10" s="165" t="s">
        <v>123</v>
      </c>
      <c r="F10" s="165" t="s">
        <v>148</v>
      </c>
      <c r="G10" s="165" t="s">
        <v>153</v>
      </c>
      <c r="H10" s="165">
        <v>730</v>
      </c>
      <c r="P10" s="165" t="s">
        <v>145</v>
      </c>
      <c r="Q10" s="165" t="s">
        <v>129</v>
      </c>
      <c r="R10" s="165" t="s">
        <v>155</v>
      </c>
      <c r="AI10" s="165" t="s">
        <v>151</v>
      </c>
    </row>
    <row r="11" spans="1:35" x14ac:dyDescent="0.25">
      <c r="B11" s="165" t="s">
        <v>156</v>
      </c>
      <c r="C11" s="165" t="s">
        <v>121</v>
      </c>
      <c r="D11" s="165" t="s">
        <v>157</v>
      </c>
      <c r="E11" s="165" t="s">
        <v>123</v>
      </c>
      <c r="F11" s="165" t="s">
        <v>19</v>
      </c>
      <c r="G11" s="165" t="s">
        <v>158</v>
      </c>
      <c r="H11" s="165">
        <v>875</v>
      </c>
      <c r="I11" s="165">
        <v>0.1</v>
      </c>
      <c r="K11" s="165" t="s">
        <v>159</v>
      </c>
      <c r="N11" s="165" t="s">
        <v>160</v>
      </c>
      <c r="O11" s="165" t="s">
        <v>161</v>
      </c>
      <c r="P11" s="165" t="s">
        <v>145</v>
      </c>
      <c r="Q11" s="165" t="s">
        <v>129</v>
      </c>
      <c r="R11" s="165" t="s">
        <v>162</v>
      </c>
    </row>
    <row r="12" spans="1:35" s="172" customFormat="1" x14ac:dyDescent="0.25">
      <c r="B12" s="172" t="s">
        <v>163</v>
      </c>
      <c r="C12" s="172" t="s">
        <v>121</v>
      </c>
      <c r="E12" s="172" t="s">
        <v>123</v>
      </c>
      <c r="F12" s="172" t="s">
        <v>164</v>
      </c>
      <c r="G12" s="172" t="s">
        <v>165</v>
      </c>
      <c r="H12" s="172">
        <v>601.85</v>
      </c>
      <c r="N12" s="172" t="s">
        <v>166</v>
      </c>
      <c r="O12" s="172" t="s">
        <v>167</v>
      </c>
      <c r="P12" s="172" t="s">
        <v>168</v>
      </c>
      <c r="Q12" s="172" t="s">
        <v>129</v>
      </c>
      <c r="R12" s="173" t="s">
        <v>169</v>
      </c>
      <c r="S12" s="174"/>
      <c r="T12" s="174"/>
      <c r="U12" s="174"/>
      <c r="V12" s="172" t="s">
        <v>170</v>
      </c>
      <c r="W12" s="172" t="s">
        <v>170</v>
      </c>
      <c r="Y12" s="175"/>
      <c r="Z12" s="175"/>
      <c r="AA12" s="175"/>
      <c r="AB12" s="175"/>
      <c r="AC12" s="175"/>
      <c r="AD12" s="175"/>
      <c r="AE12" s="175"/>
      <c r="AF12" s="175"/>
      <c r="AG12" s="175"/>
      <c r="AH12" s="175"/>
    </row>
    <row r="13" spans="1:35" s="176" customFormat="1" x14ac:dyDescent="0.25">
      <c r="B13" s="176" t="s">
        <v>163</v>
      </c>
      <c r="C13" s="176" t="s">
        <v>121</v>
      </c>
      <c r="E13" s="176" t="s">
        <v>123</v>
      </c>
      <c r="F13" s="176" t="s">
        <v>164</v>
      </c>
      <c r="G13" s="176" t="s">
        <v>165</v>
      </c>
      <c r="H13" s="176">
        <v>526.85</v>
      </c>
      <c r="N13" s="176" t="s">
        <v>166</v>
      </c>
      <c r="O13" s="176" t="s">
        <v>167</v>
      </c>
      <c r="P13" s="176" t="s">
        <v>168</v>
      </c>
      <c r="Q13" s="166" t="s">
        <v>129</v>
      </c>
      <c r="R13" s="177" t="s">
        <v>171</v>
      </c>
      <c r="S13" s="178"/>
      <c r="T13" s="178"/>
      <c r="U13" s="178"/>
      <c r="V13" s="176" t="s">
        <v>170</v>
      </c>
      <c r="W13" s="176" t="s">
        <v>170</v>
      </c>
      <c r="Y13" s="179"/>
      <c r="Z13" s="179"/>
      <c r="AA13" s="179"/>
      <c r="AB13" s="179"/>
      <c r="AC13" s="179"/>
      <c r="AD13" s="179"/>
      <c r="AE13" s="179"/>
      <c r="AF13" s="179"/>
      <c r="AG13" s="179"/>
      <c r="AH13" s="179"/>
    </row>
    <row r="14" spans="1:35" s="176" customFormat="1" x14ac:dyDescent="0.25">
      <c r="B14" s="176" t="s">
        <v>163</v>
      </c>
      <c r="C14" s="176" t="s">
        <v>121</v>
      </c>
      <c r="E14" s="176" t="s">
        <v>123</v>
      </c>
      <c r="F14" s="176" t="s">
        <v>164</v>
      </c>
      <c r="G14" s="176" t="s">
        <v>165</v>
      </c>
      <c r="H14" s="176">
        <v>451.85</v>
      </c>
      <c r="N14" s="176" t="s">
        <v>166</v>
      </c>
      <c r="O14" s="176" t="s">
        <v>167</v>
      </c>
      <c r="P14" s="176" t="s">
        <v>168</v>
      </c>
      <c r="Q14" s="166" t="s">
        <v>129</v>
      </c>
      <c r="R14" s="177" t="s">
        <v>172</v>
      </c>
      <c r="S14" s="178"/>
      <c r="T14" s="178"/>
      <c r="U14" s="178"/>
      <c r="V14" s="176" t="s">
        <v>170</v>
      </c>
      <c r="W14" s="176" t="s">
        <v>170</v>
      </c>
      <c r="Y14" s="179"/>
      <c r="Z14" s="179"/>
      <c r="AA14" s="179"/>
      <c r="AB14" s="179"/>
      <c r="AC14" s="179"/>
      <c r="AD14" s="179"/>
      <c r="AE14" s="179"/>
      <c r="AF14" s="179"/>
      <c r="AG14" s="179"/>
      <c r="AH14" s="179"/>
    </row>
    <row r="15" spans="1:35" s="176" customFormat="1" x14ac:dyDescent="0.25">
      <c r="B15" s="176" t="s">
        <v>163</v>
      </c>
      <c r="C15" s="176" t="s">
        <v>121</v>
      </c>
      <c r="E15" s="176" t="s">
        <v>123</v>
      </c>
      <c r="F15" s="176" t="s">
        <v>164</v>
      </c>
      <c r="G15" s="176" t="s">
        <v>165</v>
      </c>
      <c r="H15" s="176">
        <v>401.85</v>
      </c>
      <c r="N15" s="176" t="s">
        <v>166</v>
      </c>
      <c r="O15" s="176" t="s">
        <v>167</v>
      </c>
      <c r="P15" s="176" t="s">
        <v>168</v>
      </c>
      <c r="Q15" s="166" t="s">
        <v>129</v>
      </c>
      <c r="R15" s="177" t="s">
        <v>173</v>
      </c>
      <c r="S15" s="178"/>
      <c r="T15" s="178"/>
      <c r="U15" s="178"/>
      <c r="V15" s="176" t="s">
        <v>170</v>
      </c>
      <c r="W15" s="176" t="s">
        <v>170</v>
      </c>
      <c r="Y15" s="179"/>
      <c r="Z15" s="179"/>
      <c r="AA15" s="179"/>
      <c r="AB15" s="179"/>
      <c r="AC15" s="179"/>
      <c r="AD15" s="179"/>
      <c r="AE15" s="179"/>
      <c r="AF15" s="179"/>
      <c r="AG15" s="179"/>
      <c r="AH15" s="179"/>
    </row>
    <row r="16" spans="1:35" s="166" customFormat="1" x14ac:dyDescent="0.25">
      <c r="B16" s="166" t="s">
        <v>174</v>
      </c>
      <c r="C16" s="166" t="s">
        <v>121</v>
      </c>
      <c r="D16" s="166" t="s">
        <v>175</v>
      </c>
      <c r="E16" s="166" t="s">
        <v>123</v>
      </c>
      <c r="F16" s="166" t="s">
        <v>164</v>
      </c>
      <c r="G16" s="166" t="s">
        <v>176</v>
      </c>
      <c r="H16" s="166">
        <v>500</v>
      </c>
      <c r="K16" s="166" t="s">
        <v>159</v>
      </c>
      <c r="N16" s="166" t="s">
        <v>177</v>
      </c>
      <c r="O16" s="166" t="s">
        <v>178</v>
      </c>
      <c r="P16" s="166" t="s">
        <v>168</v>
      </c>
      <c r="Q16" s="166" t="s">
        <v>129</v>
      </c>
      <c r="R16" s="166" t="s">
        <v>179</v>
      </c>
      <c r="S16" s="167">
        <v>0.53</v>
      </c>
      <c r="T16" s="167">
        <v>0.41499999999999998</v>
      </c>
      <c r="U16" s="167">
        <v>5.5E-2</v>
      </c>
      <c r="V16" s="166" t="s">
        <v>180</v>
      </c>
      <c r="W16" s="166" t="s">
        <v>181</v>
      </c>
      <c r="X16" s="166" t="s">
        <v>182</v>
      </c>
      <c r="Y16" s="168"/>
      <c r="Z16" s="168">
        <v>0.48</v>
      </c>
      <c r="AA16" s="168">
        <v>1.9E-2</v>
      </c>
      <c r="AC16" s="168">
        <v>8.9999999999999993E-3</v>
      </c>
      <c r="AD16" s="180">
        <v>3.6999999999999998E-2</v>
      </c>
      <c r="AE16" s="168"/>
      <c r="AF16" s="168"/>
      <c r="AG16" s="168"/>
      <c r="AH16" s="168">
        <v>0.45500000000000002</v>
      </c>
      <c r="AI16" s="166" t="s">
        <v>183</v>
      </c>
    </row>
    <row r="17" spans="2:35" s="166" customFormat="1" x14ac:dyDescent="0.25">
      <c r="B17" s="166" t="s">
        <v>184</v>
      </c>
      <c r="C17" s="166" t="s">
        <v>121</v>
      </c>
      <c r="D17" s="166" t="s">
        <v>185</v>
      </c>
      <c r="E17" s="166" t="s">
        <v>123</v>
      </c>
      <c r="F17" s="166" t="s">
        <v>164</v>
      </c>
      <c r="G17" s="166" t="s">
        <v>186</v>
      </c>
      <c r="H17" s="166">
        <v>500</v>
      </c>
      <c r="K17" s="166" t="s">
        <v>159</v>
      </c>
      <c r="N17" s="166" t="s">
        <v>177</v>
      </c>
      <c r="O17" s="166" t="s">
        <v>178</v>
      </c>
      <c r="P17" s="166" t="s">
        <v>168</v>
      </c>
      <c r="Q17" s="166" t="s">
        <v>129</v>
      </c>
      <c r="R17" s="166" t="s">
        <v>187</v>
      </c>
      <c r="S17" s="167">
        <v>0.40899999999999997</v>
      </c>
      <c r="T17" s="167">
        <v>0.25600000000000001</v>
      </c>
      <c r="U17" s="167">
        <v>0.33500000000000002</v>
      </c>
      <c r="V17" s="166" t="s">
        <v>188</v>
      </c>
      <c r="W17" s="166" t="s">
        <v>189</v>
      </c>
      <c r="X17" s="166" t="s">
        <v>190</v>
      </c>
      <c r="Y17" s="168"/>
      <c r="Z17" s="168">
        <v>0.29299999999999998</v>
      </c>
      <c r="AA17" s="168">
        <v>1.2E-2</v>
      </c>
      <c r="AB17" s="168"/>
      <c r="AC17" s="180">
        <v>1.0999999999999999E-2</v>
      </c>
      <c r="AD17" s="168">
        <v>4.7E-2</v>
      </c>
      <c r="AE17" s="168"/>
      <c r="AF17" s="168"/>
      <c r="AG17" s="168"/>
      <c r="AH17" s="168">
        <v>0.61399999999999999</v>
      </c>
      <c r="AI17" s="166" t="s">
        <v>183</v>
      </c>
    </row>
    <row r="18" spans="2:35" s="166" customFormat="1" x14ac:dyDescent="0.25">
      <c r="B18" s="166" t="s">
        <v>184</v>
      </c>
      <c r="C18" s="166" t="s">
        <v>121</v>
      </c>
      <c r="D18" s="166" t="s">
        <v>185</v>
      </c>
      <c r="E18" s="166" t="s">
        <v>123</v>
      </c>
      <c r="F18" s="166" t="s">
        <v>164</v>
      </c>
      <c r="G18" s="166" t="s">
        <v>191</v>
      </c>
      <c r="H18" s="166">
        <v>500</v>
      </c>
      <c r="K18" s="166" t="s">
        <v>159</v>
      </c>
      <c r="N18" s="166" t="s">
        <v>177</v>
      </c>
      <c r="O18" s="166" t="s">
        <v>178</v>
      </c>
      <c r="P18" s="166" t="s">
        <v>168</v>
      </c>
      <c r="Q18" s="166" t="s">
        <v>129</v>
      </c>
      <c r="R18" s="166" t="s">
        <v>192</v>
      </c>
      <c r="S18" s="167">
        <v>0.65200000000000002</v>
      </c>
      <c r="T18" s="167">
        <v>0.34</v>
      </c>
      <c r="U18" s="167">
        <v>8.0000000000000002E-3</v>
      </c>
      <c r="V18" s="166" t="s">
        <v>193</v>
      </c>
      <c r="W18" s="166" t="s">
        <v>194</v>
      </c>
      <c r="X18" s="166" t="s">
        <v>195</v>
      </c>
      <c r="Y18" s="168"/>
      <c r="Z18" s="168">
        <v>0.93700000000000006</v>
      </c>
      <c r="AA18" s="168">
        <v>3.5000000000000003E-2</v>
      </c>
      <c r="AB18" s="168"/>
      <c r="AC18" s="168"/>
      <c r="AD18" s="168">
        <v>3.0000000000000001E-3</v>
      </c>
      <c r="AE18" s="168"/>
      <c r="AF18" s="168"/>
      <c r="AG18" s="168"/>
      <c r="AH18" s="168">
        <v>2.3E-2</v>
      </c>
      <c r="AI18" s="166" t="s">
        <v>196</v>
      </c>
    </row>
    <row r="19" spans="2:35" s="166" customFormat="1" x14ac:dyDescent="0.25">
      <c r="B19" s="166" t="s">
        <v>184</v>
      </c>
      <c r="C19" s="166" t="s">
        <v>121</v>
      </c>
      <c r="D19" s="166" t="s">
        <v>185</v>
      </c>
      <c r="E19" s="166" t="s">
        <v>197</v>
      </c>
      <c r="F19" s="166" t="s">
        <v>164</v>
      </c>
      <c r="G19" s="166" t="s">
        <v>191</v>
      </c>
      <c r="H19" s="166">
        <v>500</v>
      </c>
      <c r="K19" s="166" t="s">
        <v>159</v>
      </c>
      <c r="N19" s="166" t="s">
        <v>177</v>
      </c>
      <c r="O19" s="166" t="s">
        <v>178</v>
      </c>
      <c r="P19" s="166" t="s">
        <v>168</v>
      </c>
      <c r="Q19" s="166" t="s">
        <v>129</v>
      </c>
      <c r="R19" s="166" t="s">
        <v>198</v>
      </c>
      <c r="S19" s="167">
        <v>0.56999999999999995</v>
      </c>
      <c r="T19" s="167">
        <v>0.42399999999999999</v>
      </c>
      <c r="U19" s="167">
        <v>6.0000000000000001E-3</v>
      </c>
      <c r="V19" s="166" t="s">
        <v>199</v>
      </c>
      <c r="W19" s="166" t="s">
        <v>200</v>
      </c>
      <c r="X19" s="166" t="s">
        <v>201</v>
      </c>
      <c r="Y19" s="168"/>
      <c r="Z19" s="168">
        <v>0.13900000000000001</v>
      </c>
      <c r="AA19" s="168">
        <v>7.0000000000000001E-3</v>
      </c>
      <c r="AB19" s="168"/>
      <c r="AC19" s="168"/>
      <c r="AD19" s="168">
        <v>3.6999999999999998E-2</v>
      </c>
      <c r="AE19" s="168"/>
      <c r="AF19" s="168"/>
      <c r="AG19" s="168"/>
      <c r="AH19" s="168">
        <v>0.80800000000000005</v>
      </c>
    </row>
    <row r="20" spans="2:35" s="166" customFormat="1" x14ac:dyDescent="0.25">
      <c r="B20" s="166" t="s">
        <v>202</v>
      </c>
      <c r="C20" s="166" t="s">
        <v>121</v>
      </c>
      <c r="D20" s="166" t="s">
        <v>122</v>
      </c>
      <c r="E20" s="166" t="s">
        <v>123</v>
      </c>
      <c r="F20" s="166" t="s">
        <v>164</v>
      </c>
      <c r="G20" s="166" t="s">
        <v>203</v>
      </c>
      <c r="H20" s="166">
        <v>710</v>
      </c>
      <c r="K20" s="166" t="s">
        <v>204</v>
      </c>
      <c r="M20" s="166" t="s">
        <v>205</v>
      </c>
      <c r="N20" s="166" t="s">
        <v>177</v>
      </c>
      <c r="P20" s="166" t="s">
        <v>206</v>
      </c>
      <c r="Q20" s="166" t="s">
        <v>129</v>
      </c>
      <c r="R20" s="166" t="s">
        <v>207</v>
      </c>
      <c r="S20" s="167">
        <v>0.44</v>
      </c>
      <c r="T20" s="167">
        <v>0.44</v>
      </c>
      <c r="U20" s="167">
        <v>0.12</v>
      </c>
      <c r="V20" s="166" t="s">
        <v>208</v>
      </c>
      <c r="W20" s="166" t="s">
        <v>209</v>
      </c>
      <c r="X20" s="166" t="s">
        <v>170</v>
      </c>
      <c r="Y20" s="168"/>
      <c r="Z20" s="168"/>
      <c r="AA20" s="168"/>
      <c r="AB20" s="168"/>
      <c r="AC20" s="168"/>
      <c r="AD20" s="168"/>
      <c r="AE20" s="168"/>
      <c r="AF20" s="168"/>
      <c r="AG20" s="168"/>
      <c r="AH20" s="168"/>
    </row>
    <row r="21" spans="2:35" s="166" customFormat="1" x14ac:dyDescent="0.25">
      <c r="B21" s="166" t="s">
        <v>202</v>
      </c>
      <c r="C21" s="166" t="s">
        <v>121</v>
      </c>
      <c r="D21" s="166" t="s">
        <v>122</v>
      </c>
      <c r="E21" s="166" t="s">
        <v>123</v>
      </c>
      <c r="F21" s="166" t="s">
        <v>164</v>
      </c>
      <c r="G21" s="166" t="s">
        <v>210</v>
      </c>
      <c r="H21" s="166">
        <v>738</v>
      </c>
      <c r="K21" s="166" t="s">
        <v>204</v>
      </c>
      <c r="M21" s="166" t="s">
        <v>205</v>
      </c>
      <c r="N21" s="166" t="s">
        <v>177</v>
      </c>
      <c r="P21" s="166" t="s">
        <v>206</v>
      </c>
      <c r="Q21" s="166" t="s">
        <v>129</v>
      </c>
      <c r="R21" s="166" t="s">
        <v>211</v>
      </c>
      <c r="S21" s="167">
        <v>0.5</v>
      </c>
      <c r="T21" s="167">
        <v>0.38</v>
      </c>
      <c r="U21" s="167">
        <v>0.12</v>
      </c>
      <c r="V21" s="166" t="s">
        <v>212</v>
      </c>
      <c r="W21" s="166" t="s">
        <v>213</v>
      </c>
      <c r="X21" s="166" t="s">
        <v>170</v>
      </c>
      <c r="Y21" s="168"/>
      <c r="Z21" s="168"/>
      <c r="AA21" s="168"/>
      <c r="AB21" s="168"/>
      <c r="AC21" s="168"/>
      <c r="AD21" s="168"/>
      <c r="AE21" s="168"/>
      <c r="AF21" s="168"/>
      <c r="AG21" s="168"/>
      <c r="AH21" s="168"/>
    </row>
    <row r="22" spans="2:35" s="166" customFormat="1" x14ac:dyDescent="0.25">
      <c r="B22" s="166" t="s">
        <v>202</v>
      </c>
      <c r="C22" s="166" t="s">
        <v>121</v>
      </c>
      <c r="D22" s="166" t="s">
        <v>122</v>
      </c>
      <c r="E22" s="166" t="s">
        <v>123</v>
      </c>
      <c r="F22" s="166" t="s">
        <v>164</v>
      </c>
      <c r="G22" s="166" t="s">
        <v>210</v>
      </c>
      <c r="H22" s="166">
        <v>730</v>
      </c>
      <c r="K22" s="166" t="s">
        <v>204</v>
      </c>
      <c r="M22" s="166" t="s">
        <v>205</v>
      </c>
      <c r="N22" s="166" t="s">
        <v>177</v>
      </c>
      <c r="P22" s="166" t="s">
        <v>214</v>
      </c>
      <c r="Q22" s="166" t="s">
        <v>129</v>
      </c>
      <c r="R22" s="166" t="s">
        <v>215</v>
      </c>
      <c r="S22" s="167">
        <v>0.51800000000000002</v>
      </c>
      <c r="T22" s="167">
        <v>0.35</v>
      </c>
      <c r="U22" s="167">
        <v>0.13200000000000001</v>
      </c>
      <c r="V22" s="166" t="s">
        <v>216</v>
      </c>
      <c r="W22" s="166" t="s">
        <v>217</v>
      </c>
      <c r="X22" s="166" t="s">
        <v>170</v>
      </c>
      <c r="Y22" s="168"/>
      <c r="Z22" s="168"/>
      <c r="AA22" s="168"/>
      <c r="AB22" s="168"/>
      <c r="AC22" s="168"/>
      <c r="AD22" s="168"/>
      <c r="AE22" s="168"/>
      <c r="AF22" s="168"/>
      <c r="AG22" s="168"/>
      <c r="AH22" s="168"/>
    </row>
    <row r="23" spans="2:35" s="166" customFormat="1" x14ac:dyDescent="0.25">
      <c r="B23" s="166" t="s">
        <v>218</v>
      </c>
      <c r="C23" s="166" t="s">
        <v>121</v>
      </c>
      <c r="D23" s="166" t="s">
        <v>219</v>
      </c>
      <c r="E23" s="166" t="s">
        <v>123</v>
      </c>
      <c r="F23" s="166" t="s">
        <v>164</v>
      </c>
      <c r="G23" s="166" t="s">
        <v>220</v>
      </c>
      <c r="H23" s="166">
        <v>430</v>
      </c>
      <c r="I23" s="166">
        <v>1.0129999999999999</v>
      </c>
      <c r="K23" s="166" t="s">
        <v>159</v>
      </c>
      <c r="N23" s="166" t="s">
        <v>166</v>
      </c>
      <c r="O23" s="166" t="s">
        <v>221</v>
      </c>
      <c r="P23" s="166" t="s">
        <v>168</v>
      </c>
      <c r="Q23" s="166" t="s">
        <v>129</v>
      </c>
      <c r="R23" s="166" t="s">
        <v>222</v>
      </c>
      <c r="S23" s="167">
        <v>0.59</v>
      </c>
      <c r="T23" s="167">
        <v>0.25</v>
      </c>
      <c r="U23" s="167">
        <v>0.16</v>
      </c>
      <c r="V23" s="166" t="s">
        <v>170</v>
      </c>
      <c r="Y23" s="168"/>
      <c r="Z23" s="168"/>
      <c r="AA23" s="168"/>
      <c r="AB23" s="168"/>
      <c r="AC23" s="168"/>
      <c r="AD23" s="168"/>
      <c r="AE23" s="168"/>
      <c r="AF23" s="168"/>
      <c r="AG23" s="168"/>
      <c r="AH23" s="168"/>
      <c r="AI23" s="166" t="s">
        <v>223</v>
      </c>
    </row>
    <row r="24" spans="2:35" s="166" customFormat="1" x14ac:dyDescent="0.25">
      <c r="B24" s="166" t="s">
        <v>218</v>
      </c>
      <c r="C24" s="166" t="s">
        <v>121</v>
      </c>
      <c r="D24" s="166" t="s">
        <v>219</v>
      </c>
      <c r="E24" s="166" t="s">
        <v>123</v>
      </c>
      <c r="F24" s="166" t="s">
        <v>164</v>
      </c>
      <c r="G24" s="166" t="s">
        <v>224</v>
      </c>
      <c r="H24" s="166">
        <v>430</v>
      </c>
      <c r="I24" s="166">
        <v>1.0129999999999999</v>
      </c>
      <c r="K24" s="166" t="s">
        <v>159</v>
      </c>
      <c r="N24" s="166" t="s">
        <v>166</v>
      </c>
      <c r="O24" s="166" t="s">
        <v>221</v>
      </c>
      <c r="P24" s="166" t="s">
        <v>168</v>
      </c>
      <c r="Q24" s="166" t="s">
        <v>129</v>
      </c>
      <c r="R24" s="166" t="s">
        <v>225</v>
      </c>
      <c r="S24" s="167">
        <v>0.7</v>
      </c>
      <c r="T24" s="167">
        <v>0.25</v>
      </c>
      <c r="U24" s="167">
        <v>0.05</v>
      </c>
      <c r="V24" s="166" t="s">
        <v>170</v>
      </c>
      <c r="Y24" s="168"/>
      <c r="Z24" s="168"/>
      <c r="AA24" s="168"/>
      <c r="AB24" s="168"/>
      <c r="AC24" s="168"/>
      <c r="AD24" s="168"/>
      <c r="AE24" s="168"/>
      <c r="AF24" s="168"/>
      <c r="AG24" s="168"/>
      <c r="AH24" s="168"/>
    </row>
    <row r="25" spans="2:35" s="166" customFormat="1" x14ac:dyDescent="0.25">
      <c r="B25" s="166" t="s">
        <v>218</v>
      </c>
      <c r="C25" s="166" t="s">
        <v>121</v>
      </c>
      <c r="D25" s="166" t="s">
        <v>219</v>
      </c>
      <c r="E25" s="166" t="s">
        <v>123</v>
      </c>
      <c r="F25" s="166" t="s">
        <v>164</v>
      </c>
      <c r="G25" s="166" t="s">
        <v>226</v>
      </c>
      <c r="H25" s="166">
        <v>430</v>
      </c>
      <c r="I25" s="166">
        <v>1.0129999999999999</v>
      </c>
      <c r="K25" s="166" t="s">
        <v>159</v>
      </c>
      <c r="N25" s="166" t="s">
        <v>166</v>
      </c>
      <c r="O25" s="166" t="s">
        <v>221</v>
      </c>
      <c r="P25" s="166" t="s">
        <v>168</v>
      </c>
      <c r="Q25" s="166" t="s">
        <v>129</v>
      </c>
      <c r="R25" s="166" t="s">
        <v>227</v>
      </c>
      <c r="S25" s="167">
        <v>0.53</v>
      </c>
      <c r="T25" s="167">
        <v>0.34</v>
      </c>
      <c r="U25" s="167">
        <v>0.13</v>
      </c>
      <c r="V25" s="166" t="s">
        <v>170</v>
      </c>
      <c r="Y25" s="168"/>
      <c r="Z25" s="168"/>
      <c r="AA25" s="168"/>
      <c r="AB25" s="168"/>
      <c r="AC25" s="168"/>
      <c r="AD25" s="168"/>
      <c r="AE25" s="168"/>
      <c r="AF25" s="168"/>
      <c r="AG25" s="168"/>
      <c r="AH25" s="168"/>
      <c r="AI25" s="166" t="s">
        <v>223</v>
      </c>
    </row>
    <row r="26" spans="2:35" s="166" customFormat="1" x14ac:dyDescent="0.25">
      <c r="B26" s="166" t="s">
        <v>228</v>
      </c>
      <c r="C26" s="166" t="s">
        <v>121</v>
      </c>
      <c r="D26" s="166" t="s">
        <v>229</v>
      </c>
      <c r="E26" s="166" t="s">
        <v>123</v>
      </c>
      <c r="F26" s="166" t="s">
        <v>164</v>
      </c>
      <c r="G26" s="166" t="s">
        <v>230</v>
      </c>
      <c r="H26" s="166">
        <v>550</v>
      </c>
      <c r="Q26" s="166" t="s">
        <v>129</v>
      </c>
      <c r="R26" s="166" t="s">
        <v>231</v>
      </c>
      <c r="S26" s="167">
        <v>0.24299999999999999</v>
      </c>
      <c r="T26" s="167">
        <v>6.0999999999999999E-2</v>
      </c>
      <c r="U26" s="167">
        <v>0.69599999999999995</v>
      </c>
      <c r="V26" s="166" t="s">
        <v>170</v>
      </c>
      <c r="Y26" s="168"/>
      <c r="Z26" s="168"/>
      <c r="AA26" s="168"/>
      <c r="AB26" s="168"/>
      <c r="AC26" s="168"/>
      <c r="AD26" s="168"/>
      <c r="AE26" s="168"/>
      <c r="AF26" s="168"/>
      <c r="AG26" s="168"/>
      <c r="AH26" s="168"/>
    </row>
    <row r="27" spans="2:35" s="166" customFormat="1" x14ac:dyDescent="0.25">
      <c r="B27" s="166" t="s">
        <v>228</v>
      </c>
      <c r="C27" s="166" t="s">
        <v>121</v>
      </c>
      <c r="D27" s="166" t="s">
        <v>229</v>
      </c>
      <c r="E27" s="166" t="s">
        <v>123</v>
      </c>
      <c r="F27" s="166" t="s">
        <v>164</v>
      </c>
      <c r="G27" s="166" t="s">
        <v>232</v>
      </c>
      <c r="H27" s="166">
        <v>550</v>
      </c>
      <c r="Q27" s="166" t="s">
        <v>129</v>
      </c>
      <c r="R27" s="166" t="s">
        <v>233</v>
      </c>
      <c r="S27" s="167">
        <v>0.21</v>
      </c>
      <c r="T27" s="167">
        <v>5.0999999999999997E-2</v>
      </c>
      <c r="U27" s="167">
        <v>0.73899999999999999</v>
      </c>
      <c r="V27" s="166" t="s">
        <v>170</v>
      </c>
      <c r="Y27" s="168"/>
      <c r="Z27" s="168"/>
      <c r="AA27" s="168"/>
      <c r="AB27" s="168"/>
      <c r="AC27" s="168"/>
      <c r="AD27" s="168"/>
      <c r="AE27" s="168"/>
      <c r="AF27" s="168"/>
      <c r="AG27" s="168"/>
      <c r="AH27" s="168"/>
    </row>
    <row r="28" spans="2:35" s="166" customFormat="1" x14ac:dyDescent="0.25">
      <c r="B28" s="166" t="s">
        <v>120</v>
      </c>
      <c r="C28" s="166" t="s">
        <v>121</v>
      </c>
      <c r="D28" s="166" t="s">
        <v>122</v>
      </c>
      <c r="E28" s="166" t="s">
        <v>123</v>
      </c>
      <c r="F28" s="166" t="s">
        <v>164</v>
      </c>
      <c r="G28" s="166" t="s">
        <v>234</v>
      </c>
      <c r="H28" s="166">
        <v>700</v>
      </c>
      <c r="K28" s="166" t="s">
        <v>159</v>
      </c>
      <c r="M28" s="166" t="s">
        <v>126</v>
      </c>
      <c r="N28" s="166" t="s">
        <v>235</v>
      </c>
      <c r="P28" s="166" t="s">
        <v>128</v>
      </c>
      <c r="Q28" s="166" t="s">
        <v>129</v>
      </c>
      <c r="R28" s="166" t="s">
        <v>236</v>
      </c>
      <c r="S28" s="167">
        <v>0.38</v>
      </c>
      <c r="T28" s="167">
        <v>0.53</v>
      </c>
      <c r="U28" s="167">
        <v>9.6000000000000002E-2</v>
      </c>
      <c r="V28" s="166" t="s">
        <v>237</v>
      </c>
      <c r="W28" s="166" t="s">
        <v>238</v>
      </c>
      <c r="X28" s="166" t="s">
        <v>239</v>
      </c>
      <c r="Y28" s="168">
        <v>0.79200000000000004</v>
      </c>
      <c r="Z28" s="168"/>
      <c r="AA28" s="168"/>
      <c r="AB28" s="168"/>
      <c r="AC28" s="168"/>
      <c r="AD28" s="168"/>
      <c r="AE28" s="168"/>
      <c r="AF28" s="168"/>
      <c r="AG28" s="168"/>
      <c r="AH28" s="168"/>
    </row>
    <row r="30" spans="2:35" x14ac:dyDescent="0.25">
      <c r="B30" s="165" t="s">
        <v>240</v>
      </c>
      <c r="C30" s="165" t="s">
        <v>121</v>
      </c>
      <c r="D30" s="165" t="s">
        <v>241</v>
      </c>
      <c r="E30" s="165" t="s">
        <v>123</v>
      </c>
      <c r="F30" s="165" t="s">
        <v>242</v>
      </c>
      <c r="G30" s="165" t="s">
        <v>243</v>
      </c>
      <c r="H30" s="165">
        <v>500</v>
      </c>
      <c r="K30" s="165" t="s">
        <v>159</v>
      </c>
      <c r="P30" s="165" t="s">
        <v>168</v>
      </c>
      <c r="Q30" s="165" t="s">
        <v>244</v>
      </c>
      <c r="R30" s="165" t="s">
        <v>245</v>
      </c>
      <c r="V30" s="165" t="s">
        <v>246</v>
      </c>
      <c r="W30" s="165" t="s">
        <v>170</v>
      </c>
    </row>
    <row r="31" spans="2:35" s="166" customFormat="1" x14ac:dyDescent="0.25">
      <c r="B31" s="166" t="s">
        <v>240</v>
      </c>
      <c r="C31" s="166" t="s">
        <v>121</v>
      </c>
      <c r="D31" s="166" t="s">
        <v>241</v>
      </c>
      <c r="E31" s="166" t="s">
        <v>123</v>
      </c>
      <c r="F31" s="166" t="s">
        <v>247</v>
      </c>
      <c r="G31" s="166" t="s">
        <v>248</v>
      </c>
      <c r="H31" s="166">
        <v>500</v>
      </c>
      <c r="K31" s="166" t="s">
        <v>159</v>
      </c>
      <c r="P31" s="166" t="s">
        <v>168</v>
      </c>
      <c r="Q31" s="166" t="s">
        <v>244</v>
      </c>
      <c r="R31" s="166" t="s">
        <v>249</v>
      </c>
      <c r="S31" s="167">
        <v>0.53500000000000003</v>
      </c>
      <c r="T31" s="167">
        <v>0.122</v>
      </c>
      <c r="U31" s="167">
        <v>0.34399999999999997</v>
      </c>
      <c r="V31" s="166" t="s">
        <v>250</v>
      </c>
      <c r="W31" s="166" t="s">
        <v>170</v>
      </c>
      <c r="Y31" s="168"/>
      <c r="Z31" s="168"/>
      <c r="AA31" s="168"/>
      <c r="AB31" s="168"/>
      <c r="AC31" s="168"/>
      <c r="AD31" s="168"/>
      <c r="AE31" s="168"/>
      <c r="AF31" s="168"/>
      <c r="AG31" s="168"/>
      <c r="AH31" s="168"/>
    </row>
    <row r="32" spans="2:35" s="166" customFormat="1" x14ac:dyDescent="0.25">
      <c r="B32" s="166" t="s">
        <v>240</v>
      </c>
      <c r="C32" s="166" t="s">
        <v>121</v>
      </c>
      <c r="D32" s="166" t="s">
        <v>241</v>
      </c>
      <c r="E32" s="166" t="s">
        <v>123</v>
      </c>
      <c r="F32" s="166" t="s">
        <v>251</v>
      </c>
      <c r="G32" s="166" t="s">
        <v>252</v>
      </c>
      <c r="H32" s="166">
        <v>500</v>
      </c>
      <c r="K32" s="166" t="s">
        <v>159</v>
      </c>
      <c r="P32" s="166" t="s">
        <v>168</v>
      </c>
      <c r="Q32" s="166" t="s">
        <v>244</v>
      </c>
      <c r="R32" s="166" t="s">
        <v>253</v>
      </c>
      <c r="S32" s="167">
        <v>0.57399999999999995</v>
      </c>
      <c r="T32" s="167">
        <v>0.123</v>
      </c>
      <c r="U32" s="167">
        <v>0.30299999999999999</v>
      </c>
      <c r="V32" s="166" t="s">
        <v>254</v>
      </c>
      <c r="W32" s="166" t="s">
        <v>170</v>
      </c>
      <c r="Y32" s="168"/>
      <c r="Z32" s="168"/>
      <c r="AA32" s="168"/>
      <c r="AB32" s="168"/>
      <c r="AC32" s="168"/>
      <c r="AD32" s="168"/>
      <c r="AE32" s="168"/>
      <c r="AF32" s="168"/>
      <c r="AG32" s="168"/>
      <c r="AH32" s="168"/>
    </row>
    <row r="33" spans="2:34" x14ac:dyDescent="0.25">
      <c r="B33" s="165" t="s">
        <v>240</v>
      </c>
      <c r="C33" s="165" t="s">
        <v>121</v>
      </c>
      <c r="D33" s="165" t="s">
        <v>241</v>
      </c>
      <c r="E33" s="165" t="s">
        <v>123</v>
      </c>
      <c r="F33" s="165" t="s">
        <v>255</v>
      </c>
      <c r="G33" s="165" t="s">
        <v>256</v>
      </c>
      <c r="H33" s="165">
        <v>500</v>
      </c>
      <c r="K33" s="165" t="s">
        <v>159</v>
      </c>
      <c r="P33" s="165" t="s">
        <v>168</v>
      </c>
      <c r="Q33" s="165" t="s">
        <v>244</v>
      </c>
      <c r="R33" s="165" t="s">
        <v>257</v>
      </c>
      <c r="V33" s="165" t="s">
        <v>258</v>
      </c>
      <c r="W33" s="165" t="s">
        <v>170</v>
      </c>
    </row>
    <row r="34" spans="2:34" s="166" customFormat="1" x14ac:dyDescent="0.25">
      <c r="B34" s="166" t="s">
        <v>259</v>
      </c>
      <c r="C34" s="166" t="s">
        <v>121</v>
      </c>
      <c r="D34" s="166" t="s">
        <v>260</v>
      </c>
      <c r="E34" s="166" t="s">
        <v>123</v>
      </c>
      <c r="F34" s="166" t="s">
        <v>261</v>
      </c>
      <c r="G34" s="166" t="s">
        <v>262</v>
      </c>
      <c r="H34" s="166">
        <v>600</v>
      </c>
      <c r="M34" s="166" t="s">
        <v>263</v>
      </c>
      <c r="N34" s="166" t="s">
        <v>264</v>
      </c>
      <c r="O34" s="166" t="s">
        <v>265</v>
      </c>
      <c r="P34" s="166" t="s">
        <v>168</v>
      </c>
      <c r="Q34" s="166" t="s">
        <v>244</v>
      </c>
      <c r="R34" s="166" t="s">
        <v>266</v>
      </c>
      <c r="S34" s="167">
        <v>0.83850000000000002</v>
      </c>
      <c r="T34" s="167">
        <v>1.4E-2</v>
      </c>
      <c r="U34" s="167">
        <v>0.14449999999999999</v>
      </c>
      <c r="V34" s="166" t="s">
        <v>267</v>
      </c>
      <c r="W34" s="166" t="s">
        <v>268</v>
      </c>
      <c r="X34" s="166" t="s">
        <v>170</v>
      </c>
      <c r="Y34" s="168"/>
      <c r="Z34" s="168"/>
      <c r="AA34" s="168"/>
      <c r="AB34" s="168"/>
      <c r="AC34" s="168"/>
      <c r="AD34" s="168"/>
      <c r="AE34" s="168"/>
      <c r="AF34" s="168"/>
      <c r="AG34" s="168"/>
      <c r="AH34" s="168"/>
    </row>
    <row r="35" spans="2:34" s="166" customFormat="1" x14ac:dyDescent="0.25">
      <c r="B35" s="166" t="s">
        <v>259</v>
      </c>
      <c r="C35" s="166" t="s">
        <v>121</v>
      </c>
      <c r="D35" s="166" t="s">
        <v>260</v>
      </c>
      <c r="E35" s="166" t="s">
        <v>123</v>
      </c>
      <c r="F35" s="166" t="s">
        <v>269</v>
      </c>
      <c r="G35" s="166" t="s">
        <v>270</v>
      </c>
      <c r="H35" s="166">
        <v>600</v>
      </c>
      <c r="M35" s="166" t="s">
        <v>263</v>
      </c>
      <c r="N35" s="166" t="s">
        <v>264</v>
      </c>
      <c r="O35" s="166" t="s">
        <v>265</v>
      </c>
      <c r="P35" s="166" t="s">
        <v>168</v>
      </c>
      <c r="Q35" s="166" t="s">
        <v>244</v>
      </c>
      <c r="R35" s="166" t="s">
        <v>271</v>
      </c>
      <c r="S35" s="167">
        <v>0.76500000000000001</v>
      </c>
      <c r="T35" s="167">
        <v>2.9499999999999998E-2</v>
      </c>
      <c r="U35" s="167">
        <v>0.20399999999999999</v>
      </c>
      <c r="V35" s="166" t="s">
        <v>272</v>
      </c>
      <c r="W35" s="166" t="s">
        <v>273</v>
      </c>
      <c r="X35" s="166" t="s">
        <v>170</v>
      </c>
      <c r="Y35" s="168"/>
      <c r="Z35" s="168"/>
      <c r="AA35" s="168"/>
      <c r="AB35" s="168"/>
      <c r="AC35" s="168"/>
      <c r="AD35" s="168"/>
      <c r="AE35" s="168"/>
      <c r="AF35" s="168"/>
      <c r="AG35" s="168"/>
      <c r="AH35" s="168"/>
    </row>
    <row r="36" spans="2:34" s="166" customFormat="1" x14ac:dyDescent="0.25">
      <c r="B36" s="166" t="s">
        <v>259</v>
      </c>
      <c r="C36" s="166" t="s">
        <v>121</v>
      </c>
      <c r="D36" s="166" t="s">
        <v>260</v>
      </c>
      <c r="E36" s="166" t="s">
        <v>123</v>
      </c>
      <c r="F36" s="166" t="s">
        <v>274</v>
      </c>
      <c r="G36" s="166" t="s">
        <v>275</v>
      </c>
      <c r="H36" s="166">
        <v>600</v>
      </c>
      <c r="M36" s="166" t="s">
        <v>263</v>
      </c>
      <c r="N36" s="166" t="s">
        <v>264</v>
      </c>
      <c r="O36" s="166" t="s">
        <v>265</v>
      </c>
      <c r="P36" s="166" t="s">
        <v>168</v>
      </c>
      <c r="Q36" s="166" t="s">
        <v>244</v>
      </c>
      <c r="R36" s="166" t="s">
        <v>276</v>
      </c>
      <c r="S36" s="167">
        <v>0.70599999999999996</v>
      </c>
      <c r="T36" s="167">
        <v>7.8E-2</v>
      </c>
      <c r="U36" s="167">
        <v>0.21049999999999999</v>
      </c>
      <c r="V36" s="166" t="s">
        <v>277</v>
      </c>
      <c r="W36" s="181" t="s">
        <v>278</v>
      </c>
      <c r="X36" s="166" t="s">
        <v>170</v>
      </c>
      <c r="Y36" s="168"/>
      <c r="Z36" s="168"/>
      <c r="AA36" s="168"/>
      <c r="AB36" s="168"/>
      <c r="AC36" s="168"/>
      <c r="AD36" s="168"/>
      <c r="AE36" s="168"/>
      <c r="AF36" s="168"/>
      <c r="AG36" s="168"/>
      <c r="AH36" s="168"/>
    </row>
    <row r="37" spans="2:34" s="166" customFormat="1" x14ac:dyDescent="0.25">
      <c r="B37" s="166" t="s">
        <v>279</v>
      </c>
      <c r="C37" s="166" t="s">
        <v>121</v>
      </c>
      <c r="D37" s="166" t="s">
        <v>185</v>
      </c>
      <c r="E37" s="166" t="s">
        <v>123</v>
      </c>
      <c r="F37" s="166" t="s">
        <v>280</v>
      </c>
      <c r="G37" s="166" t="s">
        <v>281</v>
      </c>
      <c r="H37" s="166">
        <v>500</v>
      </c>
      <c r="O37" s="166" t="s">
        <v>282</v>
      </c>
      <c r="P37" s="166" t="s">
        <v>168</v>
      </c>
      <c r="Q37" s="166" t="s">
        <v>244</v>
      </c>
      <c r="R37" s="166" t="s">
        <v>283</v>
      </c>
      <c r="S37" s="167">
        <v>0.60599999999999998</v>
      </c>
      <c r="T37" s="167">
        <v>7.0000000000000007E-2</v>
      </c>
      <c r="U37" s="167">
        <v>0.32</v>
      </c>
      <c r="V37" s="166" t="s">
        <v>284</v>
      </c>
      <c r="W37" s="166" t="s">
        <v>285</v>
      </c>
      <c r="Y37" s="168"/>
      <c r="Z37" s="168"/>
      <c r="AA37" s="168"/>
      <c r="AB37" s="168"/>
      <c r="AC37" s="168"/>
      <c r="AD37" s="168"/>
      <c r="AE37" s="168"/>
      <c r="AF37" s="168"/>
      <c r="AG37" s="168"/>
      <c r="AH37" s="168"/>
    </row>
    <row r="38" spans="2:34" s="166" customFormat="1" x14ac:dyDescent="0.25">
      <c r="B38" s="166" t="s">
        <v>279</v>
      </c>
      <c r="C38" s="166" t="s">
        <v>121</v>
      </c>
      <c r="D38" s="166" t="s">
        <v>185</v>
      </c>
      <c r="E38" s="166" t="s">
        <v>286</v>
      </c>
      <c r="F38" s="166" t="s">
        <v>280</v>
      </c>
      <c r="G38" s="166" t="s">
        <v>281</v>
      </c>
      <c r="H38" s="166">
        <v>500</v>
      </c>
      <c r="O38" s="166" t="s">
        <v>282</v>
      </c>
      <c r="P38" s="166" t="s">
        <v>168</v>
      </c>
      <c r="Q38" s="166" t="s">
        <v>244</v>
      </c>
      <c r="R38" s="166" t="s">
        <v>287</v>
      </c>
      <c r="S38" s="167">
        <v>0.59</v>
      </c>
      <c r="T38" s="167">
        <v>0.06</v>
      </c>
      <c r="U38" s="167">
        <v>0.36</v>
      </c>
      <c r="V38" s="166" t="s">
        <v>288</v>
      </c>
      <c r="W38" s="166" t="s">
        <v>289</v>
      </c>
      <c r="Y38" s="168"/>
      <c r="Z38" s="168"/>
      <c r="AA38" s="168"/>
      <c r="AB38" s="168"/>
      <c r="AC38" s="168"/>
      <c r="AD38" s="168"/>
      <c r="AE38" s="168"/>
      <c r="AF38" s="168"/>
      <c r="AG38" s="168"/>
      <c r="AH38" s="168"/>
    </row>
    <row r="39" spans="2:34" s="166" customFormat="1" x14ac:dyDescent="0.25">
      <c r="B39" s="166" t="s">
        <v>279</v>
      </c>
      <c r="C39" s="166" t="s">
        <v>121</v>
      </c>
      <c r="D39" s="166" t="s">
        <v>185</v>
      </c>
      <c r="E39" s="166" t="s">
        <v>290</v>
      </c>
      <c r="F39" s="166" t="s">
        <v>280</v>
      </c>
      <c r="G39" s="166" t="s">
        <v>281</v>
      </c>
      <c r="H39" s="166">
        <v>500</v>
      </c>
      <c r="O39" s="166" t="s">
        <v>282</v>
      </c>
      <c r="P39" s="166" t="s">
        <v>168</v>
      </c>
      <c r="Q39" s="166" t="s">
        <v>244</v>
      </c>
      <c r="R39" s="166" t="s">
        <v>291</v>
      </c>
      <c r="S39" s="167">
        <v>0.65400000000000003</v>
      </c>
      <c r="T39" s="167">
        <v>8.5000000000000006E-2</v>
      </c>
      <c r="U39" s="167">
        <v>0.27</v>
      </c>
      <c r="V39" s="166" t="s">
        <v>292</v>
      </c>
      <c r="W39" s="166" t="s">
        <v>293</v>
      </c>
      <c r="Y39" s="168"/>
      <c r="Z39" s="168"/>
      <c r="AA39" s="168"/>
      <c r="AB39" s="168"/>
      <c r="AC39" s="168"/>
      <c r="AD39" s="168"/>
      <c r="AE39" s="168"/>
      <c r="AF39" s="168"/>
      <c r="AG39" s="168"/>
      <c r="AH39" s="168"/>
    </row>
    <row r="40" spans="2:34" s="166" customFormat="1" x14ac:dyDescent="0.25">
      <c r="B40" s="166" t="s">
        <v>279</v>
      </c>
      <c r="C40" s="166" t="s">
        <v>121</v>
      </c>
      <c r="D40" s="166" t="s">
        <v>185</v>
      </c>
      <c r="E40" s="166" t="s">
        <v>294</v>
      </c>
      <c r="F40" s="166" t="s">
        <v>280</v>
      </c>
      <c r="G40" s="166" t="s">
        <v>281</v>
      </c>
      <c r="H40" s="166">
        <v>500</v>
      </c>
      <c r="O40" s="166" t="s">
        <v>282</v>
      </c>
      <c r="P40" s="166" t="s">
        <v>168</v>
      </c>
      <c r="Q40" s="166" t="s">
        <v>244</v>
      </c>
      <c r="R40" s="166" t="s">
        <v>295</v>
      </c>
      <c r="S40" s="167">
        <v>0.67900000000000005</v>
      </c>
      <c r="T40" s="167">
        <v>0.09</v>
      </c>
      <c r="U40" s="167">
        <v>0.24</v>
      </c>
      <c r="V40" s="166" t="s">
        <v>296</v>
      </c>
      <c r="W40" s="166" t="s">
        <v>297</v>
      </c>
      <c r="Y40" s="168"/>
      <c r="Z40" s="168"/>
      <c r="AA40" s="168"/>
      <c r="AB40" s="168"/>
      <c r="AC40" s="168"/>
      <c r="AD40" s="168"/>
      <c r="AE40" s="168"/>
      <c r="AF40" s="168"/>
      <c r="AG40" s="168"/>
      <c r="AH40" s="168"/>
    </row>
    <row r="41" spans="2:34" s="166" customFormat="1" x14ac:dyDescent="0.25">
      <c r="B41" s="166" t="s">
        <v>279</v>
      </c>
      <c r="C41" s="166" t="s">
        <v>121</v>
      </c>
      <c r="D41" s="166" t="s">
        <v>185</v>
      </c>
      <c r="E41" s="166" t="s">
        <v>298</v>
      </c>
      <c r="F41" s="166" t="s">
        <v>280</v>
      </c>
      <c r="G41" s="166" t="s">
        <v>281</v>
      </c>
      <c r="H41" s="166">
        <v>500</v>
      </c>
      <c r="O41" s="166" t="s">
        <v>282</v>
      </c>
      <c r="P41" s="166" t="s">
        <v>168</v>
      </c>
      <c r="Q41" s="166" t="s">
        <v>244</v>
      </c>
      <c r="R41" s="166" t="s">
        <v>299</v>
      </c>
      <c r="S41" s="167">
        <v>0.61399999999999999</v>
      </c>
      <c r="T41" s="167">
        <v>8.5999999999999993E-2</v>
      </c>
      <c r="U41" s="167">
        <v>0.3</v>
      </c>
      <c r="V41" s="166" t="s">
        <v>300</v>
      </c>
      <c r="W41" s="166" t="s">
        <v>301</v>
      </c>
      <c r="Y41" s="168"/>
      <c r="Z41" s="168"/>
      <c r="AA41" s="168"/>
      <c r="AB41" s="168"/>
      <c r="AC41" s="168"/>
      <c r="AD41" s="168"/>
      <c r="AE41" s="168"/>
      <c r="AF41" s="168"/>
      <c r="AG41" s="168"/>
      <c r="AH41" s="168"/>
    </row>
    <row r="42" spans="2:34" s="166" customFormat="1" x14ac:dyDescent="0.25">
      <c r="B42" s="166" t="s">
        <v>302</v>
      </c>
      <c r="C42" s="166" t="s">
        <v>121</v>
      </c>
      <c r="D42" s="166" t="s">
        <v>185</v>
      </c>
      <c r="E42" s="166" t="s">
        <v>123</v>
      </c>
      <c r="F42" s="166" t="s">
        <v>303</v>
      </c>
      <c r="G42" s="166" t="s">
        <v>304</v>
      </c>
      <c r="H42" s="166">
        <v>400</v>
      </c>
      <c r="K42" s="166" t="s">
        <v>159</v>
      </c>
      <c r="P42" s="166" t="s">
        <v>168</v>
      </c>
      <c r="Q42" s="166" t="s">
        <v>244</v>
      </c>
      <c r="R42" s="166" t="s">
        <v>305</v>
      </c>
      <c r="S42" s="167">
        <v>0.87</v>
      </c>
      <c r="T42" s="167">
        <v>0.02</v>
      </c>
      <c r="U42" s="167">
        <v>0.13</v>
      </c>
      <c r="V42" s="166" t="s">
        <v>306</v>
      </c>
      <c r="W42" s="166" t="s">
        <v>307</v>
      </c>
      <c r="Y42" s="168"/>
      <c r="Z42" s="168"/>
      <c r="AA42" s="168"/>
      <c r="AB42" s="168"/>
      <c r="AC42" s="168"/>
      <c r="AD42" s="168"/>
      <c r="AE42" s="168"/>
      <c r="AF42" s="168"/>
      <c r="AG42" s="168"/>
      <c r="AH42" s="168"/>
    </row>
    <row r="43" spans="2:34" s="166" customFormat="1" x14ac:dyDescent="0.25">
      <c r="B43" s="166" t="s">
        <v>302</v>
      </c>
      <c r="C43" s="166" t="s">
        <v>121</v>
      </c>
      <c r="D43" s="166" t="s">
        <v>185</v>
      </c>
      <c r="E43" s="166" t="s">
        <v>308</v>
      </c>
      <c r="F43" s="166" t="s">
        <v>303</v>
      </c>
      <c r="G43" s="166" t="s">
        <v>304</v>
      </c>
      <c r="H43" s="166">
        <v>400</v>
      </c>
      <c r="K43" s="166" t="s">
        <v>159</v>
      </c>
      <c r="P43" s="166" t="s">
        <v>168</v>
      </c>
      <c r="Q43" s="166" t="s">
        <v>244</v>
      </c>
      <c r="R43" s="166" t="s">
        <v>309</v>
      </c>
      <c r="S43" s="167">
        <v>0.85</v>
      </c>
      <c r="T43" s="167">
        <v>0.02</v>
      </c>
      <c r="U43" s="167">
        <v>0.122</v>
      </c>
      <c r="V43" s="166" t="s">
        <v>310</v>
      </c>
      <c r="W43" s="166" t="s">
        <v>311</v>
      </c>
      <c r="Y43" s="168"/>
      <c r="Z43" s="168"/>
      <c r="AA43" s="168"/>
      <c r="AB43" s="168"/>
      <c r="AC43" s="168"/>
      <c r="AD43" s="168"/>
      <c r="AE43" s="168"/>
      <c r="AF43" s="168"/>
      <c r="AG43" s="168"/>
      <c r="AH43" s="168"/>
    </row>
    <row r="44" spans="2:34" s="166" customFormat="1" x14ac:dyDescent="0.25">
      <c r="B44" s="166" t="s">
        <v>302</v>
      </c>
      <c r="C44" s="166" t="s">
        <v>121</v>
      </c>
      <c r="D44" s="166" t="s">
        <v>185</v>
      </c>
      <c r="E44" s="166" t="s">
        <v>312</v>
      </c>
      <c r="F44" s="166" t="s">
        <v>303</v>
      </c>
      <c r="G44" s="166" t="s">
        <v>304</v>
      </c>
      <c r="H44" s="166">
        <v>400</v>
      </c>
      <c r="K44" s="166" t="s">
        <v>159</v>
      </c>
      <c r="P44" s="166" t="s">
        <v>168</v>
      </c>
      <c r="Q44" s="166" t="s">
        <v>244</v>
      </c>
      <c r="R44" s="166" t="s">
        <v>313</v>
      </c>
      <c r="S44" s="167">
        <v>0.79</v>
      </c>
      <c r="T44" s="167">
        <v>2.5000000000000001E-2</v>
      </c>
      <c r="U44" s="167">
        <v>0.19</v>
      </c>
      <c r="V44" s="166" t="s">
        <v>314</v>
      </c>
      <c r="W44" s="166" t="s">
        <v>315</v>
      </c>
      <c r="Y44" s="168"/>
      <c r="Z44" s="168"/>
      <c r="AA44" s="168"/>
      <c r="AB44" s="168"/>
      <c r="AC44" s="168"/>
      <c r="AD44" s="168"/>
      <c r="AE44" s="168"/>
      <c r="AF44" s="168"/>
      <c r="AG44" s="168"/>
      <c r="AH44" s="168"/>
    </row>
    <row r="45" spans="2:34" s="166" customFormat="1" x14ac:dyDescent="0.25">
      <c r="B45" s="166" t="s">
        <v>302</v>
      </c>
      <c r="C45" s="166" t="s">
        <v>121</v>
      </c>
      <c r="D45" s="166" t="s">
        <v>185</v>
      </c>
      <c r="E45" s="166" t="s">
        <v>316</v>
      </c>
      <c r="F45" s="166" t="s">
        <v>303</v>
      </c>
      <c r="G45" s="166" t="s">
        <v>304</v>
      </c>
      <c r="H45" s="166">
        <v>400</v>
      </c>
      <c r="K45" s="166" t="s">
        <v>159</v>
      </c>
      <c r="P45" s="166" t="s">
        <v>168</v>
      </c>
      <c r="Q45" s="166" t="s">
        <v>244</v>
      </c>
      <c r="R45" s="166" t="s">
        <v>317</v>
      </c>
      <c r="S45" s="167">
        <v>0.85</v>
      </c>
      <c r="T45" s="167">
        <v>0.04</v>
      </c>
      <c r="U45" s="167">
        <v>0.114</v>
      </c>
      <c r="V45" s="166" t="s">
        <v>318</v>
      </c>
      <c r="W45" s="166" t="s">
        <v>319</v>
      </c>
      <c r="Y45" s="168"/>
      <c r="Z45" s="168"/>
      <c r="AA45" s="168"/>
      <c r="AB45" s="168"/>
      <c r="AC45" s="168"/>
      <c r="AD45" s="168"/>
      <c r="AE45" s="168"/>
      <c r="AF45" s="168"/>
      <c r="AG45" s="168"/>
      <c r="AH45" s="168"/>
    </row>
    <row r="46" spans="2:34" s="166" customFormat="1" x14ac:dyDescent="0.25">
      <c r="B46" s="166" t="s">
        <v>320</v>
      </c>
      <c r="C46" s="166" t="s">
        <v>121</v>
      </c>
      <c r="D46" s="166" t="s">
        <v>185</v>
      </c>
      <c r="E46" s="166" t="s">
        <v>123</v>
      </c>
      <c r="F46" s="166" t="s">
        <v>303</v>
      </c>
      <c r="G46" s="166" t="s">
        <v>304</v>
      </c>
      <c r="H46" s="166">
        <v>400</v>
      </c>
      <c r="K46" s="166" t="s">
        <v>159</v>
      </c>
      <c r="O46" s="166" t="s">
        <v>321</v>
      </c>
      <c r="P46" s="166" t="s">
        <v>168</v>
      </c>
      <c r="Q46" s="166" t="s">
        <v>244</v>
      </c>
      <c r="R46" s="166" t="s">
        <v>322</v>
      </c>
      <c r="S46" s="167">
        <v>0.86</v>
      </c>
      <c r="T46" s="167">
        <v>0.03</v>
      </c>
      <c r="U46" s="167">
        <v>0.109</v>
      </c>
      <c r="V46" s="166" t="s">
        <v>323</v>
      </c>
      <c r="W46" s="166" t="s">
        <v>324</v>
      </c>
      <c r="X46" s="166" t="s">
        <v>325</v>
      </c>
      <c r="Y46" s="168"/>
      <c r="Z46" s="168">
        <v>0.749</v>
      </c>
      <c r="AA46" s="168">
        <v>1.7000000000000001E-2</v>
      </c>
      <c r="AB46" s="168">
        <v>8.5999999999999993E-2</v>
      </c>
      <c r="AC46" s="168">
        <v>2.7799999999999998E-2</v>
      </c>
      <c r="AD46" s="168"/>
      <c r="AE46" s="168"/>
      <c r="AF46" s="168"/>
      <c r="AG46" s="168"/>
      <c r="AH46" s="168"/>
    </row>
    <row r="47" spans="2:34" s="166" customFormat="1" x14ac:dyDescent="0.25">
      <c r="B47" s="166" t="s">
        <v>320</v>
      </c>
      <c r="C47" s="166" t="s">
        <v>121</v>
      </c>
      <c r="D47" s="166" t="s">
        <v>185</v>
      </c>
      <c r="E47" s="166" t="s">
        <v>326</v>
      </c>
      <c r="F47" s="166" t="s">
        <v>303</v>
      </c>
      <c r="G47" s="166" t="s">
        <v>304</v>
      </c>
      <c r="H47" s="166">
        <v>400</v>
      </c>
      <c r="K47" s="166" t="s">
        <v>159</v>
      </c>
      <c r="O47" s="166" t="s">
        <v>321</v>
      </c>
      <c r="P47" s="166" t="s">
        <v>168</v>
      </c>
      <c r="Q47" s="166" t="s">
        <v>244</v>
      </c>
      <c r="R47" s="166" t="s">
        <v>327</v>
      </c>
      <c r="S47" s="167">
        <v>0.91</v>
      </c>
      <c r="T47" s="167">
        <v>0.02</v>
      </c>
      <c r="U47" s="167">
        <v>7.0999999999999994E-2</v>
      </c>
      <c r="V47" s="166" t="s">
        <v>328</v>
      </c>
      <c r="W47" s="166" t="s">
        <v>329</v>
      </c>
      <c r="X47" s="166" t="s">
        <v>330</v>
      </c>
      <c r="Y47" s="168"/>
      <c r="Z47" s="168">
        <v>0.183</v>
      </c>
      <c r="AA47" s="168">
        <v>8.3000000000000001E-3</v>
      </c>
      <c r="AB47" s="168">
        <v>2.4E-2</v>
      </c>
      <c r="AC47" s="168">
        <v>8.2000000000000007E-3</v>
      </c>
      <c r="AD47" s="168"/>
      <c r="AE47" s="168"/>
      <c r="AF47" s="168"/>
      <c r="AG47" s="168"/>
      <c r="AH47" s="168"/>
    </row>
    <row r="48" spans="2:34" s="166" customFormat="1" x14ac:dyDescent="0.25">
      <c r="B48" s="166" t="s">
        <v>320</v>
      </c>
      <c r="C48" s="166" t="s">
        <v>121</v>
      </c>
      <c r="D48" s="166" t="s">
        <v>185</v>
      </c>
      <c r="E48" s="166" t="s">
        <v>331</v>
      </c>
      <c r="F48" s="166" t="s">
        <v>303</v>
      </c>
      <c r="G48" s="166" t="s">
        <v>304</v>
      </c>
      <c r="H48" s="166">
        <v>400</v>
      </c>
      <c r="K48" s="166" t="s">
        <v>159</v>
      </c>
      <c r="O48" s="166" t="s">
        <v>321</v>
      </c>
      <c r="P48" s="166" t="s">
        <v>168</v>
      </c>
      <c r="Q48" s="166" t="s">
        <v>244</v>
      </c>
      <c r="R48" s="166" t="s">
        <v>332</v>
      </c>
      <c r="S48" s="167">
        <v>0.83</v>
      </c>
      <c r="T48" s="167">
        <v>0.03</v>
      </c>
      <c r="U48" s="167">
        <v>0.13200000000000001</v>
      </c>
      <c r="V48" s="166" t="s">
        <v>333</v>
      </c>
      <c r="W48" s="166" t="s">
        <v>334</v>
      </c>
      <c r="X48" s="166" t="s">
        <v>335</v>
      </c>
      <c r="Y48" s="168"/>
      <c r="Z48" s="168">
        <v>0.27200000000000002</v>
      </c>
      <c r="AA48" s="168">
        <v>1.2200000000000001E-2</v>
      </c>
      <c r="AB48" s="168">
        <v>0.03</v>
      </c>
      <c r="AC48" s="168">
        <v>9.5999999999999992E-3</v>
      </c>
      <c r="AD48" s="168"/>
      <c r="AE48" s="168"/>
      <c r="AF48" s="168"/>
      <c r="AG48" s="168"/>
      <c r="AH48" s="168"/>
    </row>
    <row r="49" spans="2:35" s="166" customFormat="1" x14ac:dyDescent="0.25">
      <c r="B49" s="166" t="s">
        <v>336</v>
      </c>
      <c r="C49" s="166" t="s">
        <v>121</v>
      </c>
      <c r="D49" s="166" t="s">
        <v>337</v>
      </c>
      <c r="E49" s="166" t="s">
        <v>123</v>
      </c>
      <c r="F49" s="166" t="s">
        <v>261</v>
      </c>
      <c r="G49" s="166" t="s">
        <v>338</v>
      </c>
      <c r="H49" s="166">
        <v>500</v>
      </c>
      <c r="K49" s="166" t="s">
        <v>159</v>
      </c>
      <c r="M49" s="166" t="s">
        <v>339</v>
      </c>
      <c r="N49" s="166" t="s">
        <v>340</v>
      </c>
      <c r="O49" s="166" t="s">
        <v>341</v>
      </c>
      <c r="P49" s="166" t="s">
        <v>168</v>
      </c>
      <c r="Q49" s="166" t="s">
        <v>244</v>
      </c>
      <c r="R49" s="166" t="s">
        <v>342</v>
      </c>
      <c r="S49" s="167">
        <v>0.84</v>
      </c>
      <c r="T49" s="167">
        <v>0.1</v>
      </c>
      <c r="U49" s="167">
        <v>0.06</v>
      </c>
      <c r="Y49" s="168"/>
      <c r="Z49" s="168"/>
      <c r="AA49" s="168"/>
      <c r="AB49" s="168"/>
      <c r="AC49" s="168"/>
      <c r="AD49" s="168"/>
      <c r="AE49" s="168"/>
      <c r="AF49" s="168"/>
      <c r="AG49" s="168"/>
      <c r="AH49" s="168"/>
      <c r="AI49" s="166" t="s">
        <v>343</v>
      </c>
    </row>
    <row r="50" spans="2:35" s="166" customFormat="1" x14ac:dyDescent="0.25">
      <c r="B50" s="166" t="s">
        <v>336</v>
      </c>
      <c r="C50" s="166" t="s">
        <v>121</v>
      </c>
      <c r="D50" s="166" t="s">
        <v>337</v>
      </c>
      <c r="E50" s="166" t="s">
        <v>123</v>
      </c>
      <c r="F50" s="166" t="s">
        <v>344</v>
      </c>
      <c r="G50" s="166" t="s">
        <v>345</v>
      </c>
      <c r="H50" s="166">
        <v>500</v>
      </c>
      <c r="K50" s="166" t="s">
        <v>159</v>
      </c>
      <c r="M50" s="166" t="s">
        <v>339</v>
      </c>
      <c r="N50" s="166" t="s">
        <v>340</v>
      </c>
      <c r="O50" s="166" t="s">
        <v>341</v>
      </c>
      <c r="P50" s="166" t="s">
        <v>168</v>
      </c>
      <c r="Q50" s="166" t="s">
        <v>244</v>
      </c>
      <c r="R50" s="166" t="s">
        <v>346</v>
      </c>
      <c r="S50" s="167">
        <v>0.83</v>
      </c>
      <c r="T50" s="167">
        <v>0.1</v>
      </c>
      <c r="U50" s="167">
        <v>7.0000000000000007E-2</v>
      </c>
      <c r="Y50" s="168"/>
      <c r="Z50" s="168"/>
      <c r="AA50" s="168"/>
      <c r="AB50" s="168"/>
      <c r="AC50" s="168"/>
      <c r="AD50" s="168"/>
      <c r="AE50" s="168"/>
      <c r="AF50" s="168"/>
      <c r="AG50" s="168"/>
      <c r="AH50" s="168"/>
      <c r="AI50" s="166" t="s">
        <v>343</v>
      </c>
    </row>
    <row r="51" spans="2:35" s="166" customFormat="1" x14ac:dyDescent="0.25">
      <c r="B51" s="166" t="s">
        <v>336</v>
      </c>
      <c r="C51" s="166" t="s">
        <v>121</v>
      </c>
      <c r="D51" s="166" t="s">
        <v>337</v>
      </c>
      <c r="E51" s="166" t="s">
        <v>347</v>
      </c>
      <c r="F51" s="166" t="s">
        <v>261</v>
      </c>
      <c r="G51" s="166" t="s">
        <v>338</v>
      </c>
      <c r="H51" s="166">
        <v>500</v>
      </c>
      <c r="K51" s="166" t="s">
        <v>159</v>
      </c>
      <c r="M51" s="166" t="s">
        <v>339</v>
      </c>
      <c r="N51" s="166" t="s">
        <v>340</v>
      </c>
      <c r="O51" s="166" t="s">
        <v>341</v>
      </c>
      <c r="P51" s="166" t="s">
        <v>168</v>
      </c>
      <c r="Q51" s="166" t="s">
        <v>244</v>
      </c>
      <c r="R51" s="166" t="s">
        <v>348</v>
      </c>
      <c r="S51" s="167">
        <v>0.8</v>
      </c>
      <c r="T51" s="167">
        <v>0.17</v>
      </c>
      <c r="U51" s="167">
        <v>0.03</v>
      </c>
      <c r="Y51" s="168"/>
      <c r="Z51" s="168"/>
      <c r="AA51" s="168"/>
      <c r="AB51" s="168"/>
      <c r="AC51" s="168"/>
      <c r="AD51" s="168"/>
      <c r="AE51" s="168"/>
      <c r="AF51" s="168"/>
      <c r="AG51" s="168"/>
      <c r="AH51" s="168"/>
      <c r="AI51" s="166" t="s">
        <v>343</v>
      </c>
    </row>
    <row r="52" spans="2:35" s="166" customFormat="1" x14ac:dyDescent="0.25">
      <c r="B52" s="166" t="s">
        <v>336</v>
      </c>
      <c r="C52" s="166" t="s">
        <v>121</v>
      </c>
      <c r="D52" s="166" t="s">
        <v>337</v>
      </c>
      <c r="E52" s="166" t="s">
        <v>347</v>
      </c>
      <c r="F52" s="166" t="s">
        <v>344</v>
      </c>
      <c r="G52" s="166" t="s">
        <v>345</v>
      </c>
      <c r="H52" s="166">
        <v>500</v>
      </c>
      <c r="K52" s="166" t="s">
        <v>159</v>
      </c>
      <c r="M52" s="166" t="s">
        <v>339</v>
      </c>
      <c r="N52" s="166" t="s">
        <v>340</v>
      </c>
      <c r="O52" s="166" t="s">
        <v>341</v>
      </c>
      <c r="P52" s="166" t="s">
        <v>168</v>
      </c>
      <c r="Q52" s="166" t="s">
        <v>244</v>
      </c>
      <c r="R52" s="166" t="s">
        <v>349</v>
      </c>
      <c r="S52" s="167">
        <v>0.65</v>
      </c>
      <c r="T52" s="167">
        <v>0.18</v>
      </c>
      <c r="U52" s="167">
        <v>0.17</v>
      </c>
      <c r="Y52" s="168"/>
      <c r="Z52" s="168"/>
      <c r="AA52" s="168"/>
      <c r="AB52" s="168"/>
      <c r="AC52" s="168"/>
      <c r="AD52" s="168"/>
      <c r="AE52" s="168"/>
      <c r="AF52" s="168"/>
      <c r="AG52" s="168"/>
      <c r="AH52" s="168"/>
      <c r="AI52" s="166" t="s">
        <v>343</v>
      </c>
    </row>
    <row r="53" spans="2:35" s="166" customFormat="1" x14ac:dyDescent="0.25">
      <c r="B53" s="166" t="s">
        <v>336</v>
      </c>
      <c r="C53" s="166" t="s">
        <v>121</v>
      </c>
      <c r="D53" s="166" t="s">
        <v>337</v>
      </c>
      <c r="E53" s="166" t="s">
        <v>350</v>
      </c>
      <c r="F53" s="166" t="s">
        <v>261</v>
      </c>
      <c r="G53" s="166" t="s">
        <v>338</v>
      </c>
      <c r="H53" s="166">
        <v>500</v>
      </c>
      <c r="K53" s="166" t="s">
        <v>159</v>
      </c>
      <c r="M53" s="166" t="s">
        <v>339</v>
      </c>
      <c r="N53" s="166" t="s">
        <v>340</v>
      </c>
      <c r="O53" s="166" t="s">
        <v>341</v>
      </c>
      <c r="P53" s="166" t="s">
        <v>168</v>
      </c>
      <c r="Q53" s="166" t="s">
        <v>244</v>
      </c>
      <c r="R53" s="166" t="s">
        <v>351</v>
      </c>
      <c r="S53" s="167">
        <v>0.77500000000000002</v>
      </c>
      <c r="T53" s="167">
        <v>0.16</v>
      </c>
      <c r="U53" s="167">
        <v>6.5000000000000002E-2</v>
      </c>
      <c r="Y53" s="168"/>
      <c r="Z53" s="168"/>
      <c r="AA53" s="168"/>
      <c r="AB53" s="168"/>
      <c r="AC53" s="168"/>
      <c r="AD53" s="168"/>
      <c r="AE53" s="168"/>
      <c r="AF53" s="168"/>
      <c r="AG53" s="168"/>
      <c r="AH53" s="168"/>
      <c r="AI53" s="166" t="s">
        <v>343</v>
      </c>
    </row>
    <row r="54" spans="2:35" s="166" customFormat="1" x14ac:dyDescent="0.25">
      <c r="B54" s="166" t="s">
        <v>336</v>
      </c>
      <c r="C54" s="166" t="s">
        <v>121</v>
      </c>
      <c r="D54" s="166" t="s">
        <v>337</v>
      </c>
      <c r="E54" s="166" t="s">
        <v>350</v>
      </c>
      <c r="F54" s="166" t="s">
        <v>344</v>
      </c>
      <c r="G54" s="166" t="s">
        <v>345</v>
      </c>
      <c r="H54" s="166">
        <v>500</v>
      </c>
      <c r="K54" s="166" t="s">
        <v>159</v>
      </c>
      <c r="M54" s="166" t="s">
        <v>339</v>
      </c>
      <c r="N54" s="166" t="s">
        <v>340</v>
      </c>
      <c r="O54" s="166" t="s">
        <v>341</v>
      </c>
      <c r="P54" s="166" t="s">
        <v>168</v>
      </c>
      <c r="Q54" s="166" t="s">
        <v>244</v>
      </c>
      <c r="R54" s="166" t="s">
        <v>352</v>
      </c>
      <c r="S54" s="167">
        <v>0.64</v>
      </c>
      <c r="T54" s="167">
        <v>0.18</v>
      </c>
      <c r="U54" s="167">
        <v>0.18</v>
      </c>
      <c r="Y54" s="168"/>
      <c r="Z54" s="168"/>
      <c r="AA54" s="168"/>
      <c r="AB54" s="168"/>
      <c r="AC54" s="168"/>
      <c r="AD54" s="168"/>
      <c r="AE54" s="168"/>
      <c r="AF54" s="168"/>
      <c r="AG54" s="168"/>
      <c r="AH54" s="168"/>
      <c r="AI54" s="166" t="s">
        <v>343</v>
      </c>
    </row>
    <row r="56" spans="2:35" s="166" customFormat="1" x14ac:dyDescent="0.25">
      <c r="B56" s="166" t="s">
        <v>353</v>
      </c>
      <c r="C56" s="166" t="s">
        <v>121</v>
      </c>
      <c r="D56" s="166" t="s">
        <v>354</v>
      </c>
      <c r="E56" s="166" t="s">
        <v>123</v>
      </c>
      <c r="F56" s="166" t="s">
        <v>355</v>
      </c>
      <c r="G56" s="166" t="s">
        <v>356</v>
      </c>
      <c r="H56" s="166">
        <v>550</v>
      </c>
      <c r="K56" s="166" t="s">
        <v>159</v>
      </c>
      <c r="M56" s="166" t="s">
        <v>357</v>
      </c>
      <c r="N56" s="166" t="s">
        <v>358</v>
      </c>
      <c r="O56" s="166" t="s">
        <v>359</v>
      </c>
      <c r="P56" s="166" t="s">
        <v>360</v>
      </c>
      <c r="Q56" s="166" t="s">
        <v>244</v>
      </c>
      <c r="R56" s="166" t="s">
        <v>361</v>
      </c>
      <c r="S56" s="167">
        <v>0.35</v>
      </c>
      <c r="T56" s="167">
        <v>0.31</v>
      </c>
      <c r="U56" s="167">
        <v>0.34</v>
      </c>
      <c r="W56" s="166" t="s">
        <v>362</v>
      </c>
      <c r="X56" s="166" t="s">
        <v>363</v>
      </c>
      <c r="Y56" s="168"/>
      <c r="Z56" s="168">
        <v>0.39</v>
      </c>
      <c r="AA56" s="168">
        <v>1.2500000000000001E-2</v>
      </c>
      <c r="AB56" s="168"/>
      <c r="AC56" s="168">
        <v>1.5900000000000001E-2</v>
      </c>
      <c r="AD56" s="168">
        <v>2.8799999999999999E-2</v>
      </c>
      <c r="AE56" s="168">
        <v>4.0000000000000002E-4</v>
      </c>
      <c r="AF56" s="168">
        <v>4.0000000000000002E-4</v>
      </c>
      <c r="AG56" s="168">
        <v>3.7000000000000002E-3</v>
      </c>
      <c r="AH56" s="168"/>
    </row>
    <row r="57" spans="2:35" s="166" customFormat="1" x14ac:dyDescent="0.25">
      <c r="B57" s="166" t="s">
        <v>364</v>
      </c>
      <c r="C57" s="166" t="s">
        <v>121</v>
      </c>
      <c r="D57" s="166" t="s">
        <v>365</v>
      </c>
      <c r="E57" s="166" t="s">
        <v>123</v>
      </c>
      <c r="F57" s="166" t="s">
        <v>355</v>
      </c>
      <c r="G57" s="166" t="s">
        <v>366</v>
      </c>
      <c r="H57" s="166">
        <v>550</v>
      </c>
      <c r="K57" s="166" t="s">
        <v>159</v>
      </c>
      <c r="M57" s="166" t="s">
        <v>367</v>
      </c>
      <c r="N57" s="166" t="s">
        <v>368</v>
      </c>
      <c r="O57" s="166" t="s">
        <v>369</v>
      </c>
      <c r="P57" s="166" t="s">
        <v>168</v>
      </c>
      <c r="Q57" s="166" t="s">
        <v>244</v>
      </c>
      <c r="R57" s="166" t="s">
        <v>370</v>
      </c>
      <c r="S57" s="167">
        <v>0.3</v>
      </c>
      <c r="T57" s="167">
        <v>0.4</v>
      </c>
      <c r="U57" s="167">
        <v>0.3</v>
      </c>
      <c r="X57" s="166" t="s">
        <v>371</v>
      </c>
      <c r="Y57" s="168"/>
      <c r="Z57" s="168">
        <v>0.49559999999999998</v>
      </c>
      <c r="AA57" s="168">
        <v>1.9900000000000001E-2</v>
      </c>
      <c r="AB57" s="168">
        <v>5.6099999999999997E-2</v>
      </c>
      <c r="AC57" s="168">
        <v>7.0000000000000001E-3</v>
      </c>
      <c r="AD57" s="168"/>
      <c r="AE57" s="168"/>
      <c r="AF57" s="168"/>
      <c r="AG57" s="168">
        <v>1.12E-2</v>
      </c>
      <c r="AH57" s="168">
        <v>0.41020000000000001</v>
      </c>
    </row>
    <row r="58" spans="2:35" s="166" customFormat="1" x14ac:dyDescent="0.25">
      <c r="B58" s="166" t="s">
        <v>364</v>
      </c>
      <c r="C58" s="166" t="s">
        <v>121</v>
      </c>
      <c r="D58" s="166" t="s">
        <v>365</v>
      </c>
      <c r="E58" s="166" t="s">
        <v>123</v>
      </c>
      <c r="F58" s="166" t="s">
        <v>355</v>
      </c>
      <c r="G58" s="166" t="s">
        <v>366</v>
      </c>
      <c r="H58" s="166">
        <v>600</v>
      </c>
      <c r="K58" s="166" t="s">
        <v>159</v>
      </c>
      <c r="M58" s="166" t="s">
        <v>367</v>
      </c>
      <c r="N58" s="166" t="s">
        <v>368</v>
      </c>
      <c r="O58" s="166" t="s">
        <v>369</v>
      </c>
      <c r="P58" s="166" t="s">
        <v>168</v>
      </c>
      <c r="Q58" s="166" t="s">
        <v>244</v>
      </c>
      <c r="R58" s="166" t="s">
        <v>372</v>
      </c>
      <c r="S58" s="167">
        <v>0.18</v>
      </c>
      <c r="T58" s="167">
        <v>0.48</v>
      </c>
      <c r="U58" s="167">
        <v>0.34</v>
      </c>
      <c r="W58" s="166" t="s">
        <v>373</v>
      </c>
      <c r="X58" s="166" t="s">
        <v>374</v>
      </c>
      <c r="Y58" s="168"/>
      <c r="Z58" s="168">
        <v>0.4093</v>
      </c>
      <c r="AA58" s="168">
        <v>1.11E-2</v>
      </c>
      <c r="AB58" s="168">
        <v>0.10050000000000001</v>
      </c>
      <c r="AC58" s="168">
        <v>5.7000000000000002E-3</v>
      </c>
      <c r="AD58" s="168"/>
      <c r="AE58" s="168"/>
      <c r="AF58" s="168"/>
      <c r="AG58" s="168">
        <v>1.66E-2</v>
      </c>
      <c r="AH58" s="168">
        <v>0.45679999999999998</v>
      </c>
    </row>
    <row r="59" spans="2:35" s="166" customFormat="1" x14ac:dyDescent="0.25">
      <c r="B59" s="166" t="s">
        <v>364</v>
      </c>
      <c r="C59" s="166" t="s">
        <v>121</v>
      </c>
      <c r="D59" s="166" t="s">
        <v>365</v>
      </c>
      <c r="E59" s="166" t="s">
        <v>123</v>
      </c>
      <c r="F59" s="166" t="s">
        <v>355</v>
      </c>
      <c r="G59" s="166" t="s">
        <v>366</v>
      </c>
      <c r="H59" s="166">
        <v>650</v>
      </c>
      <c r="K59" s="166" t="s">
        <v>159</v>
      </c>
      <c r="M59" s="166" t="s">
        <v>367</v>
      </c>
      <c r="N59" s="166" t="s">
        <v>368</v>
      </c>
      <c r="O59" s="166" t="s">
        <v>369</v>
      </c>
      <c r="P59" s="166" t="s">
        <v>168</v>
      </c>
      <c r="Q59" s="166" t="s">
        <v>244</v>
      </c>
      <c r="R59" s="166" t="s">
        <v>375</v>
      </c>
      <c r="S59" s="167">
        <v>0.17</v>
      </c>
      <c r="T59" s="167">
        <v>0.51</v>
      </c>
      <c r="U59" s="167">
        <v>0.32</v>
      </c>
      <c r="W59" s="166" t="s">
        <v>376</v>
      </c>
      <c r="X59" s="166" t="s">
        <v>377</v>
      </c>
      <c r="Y59" s="168"/>
      <c r="Z59" s="168">
        <v>0.45960000000000001</v>
      </c>
      <c r="AA59" s="168">
        <v>8.8999999999999999E-3</v>
      </c>
      <c r="AB59" s="168">
        <v>4.2900000000000001E-2</v>
      </c>
      <c r="AC59" s="168">
        <v>4.5999999999999999E-3</v>
      </c>
      <c r="AD59" s="168"/>
      <c r="AE59" s="168"/>
      <c r="AF59" s="168"/>
      <c r="AG59" s="168">
        <v>1.6799999999999999E-2</v>
      </c>
      <c r="AH59" s="168">
        <v>0.4672</v>
      </c>
    </row>
    <row r="60" spans="2:35" s="166" customFormat="1" x14ac:dyDescent="0.25">
      <c r="B60" s="166" t="s">
        <v>364</v>
      </c>
      <c r="C60" s="166" t="s">
        <v>121</v>
      </c>
      <c r="D60" s="166" t="s">
        <v>365</v>
      </c>
      <c r="E60" s="166" t="s">
        <v>123</v>
      </c>
      <c r="F60" s="166" t="s">
        <v>355</v>
      </c>
      <c r="G60" s="166" t="s">
        <v>366</v>
      </c>
      <c r="H60" s="166">
        <v>700</v>
      </c>
      <c r="K60" s="166" t="s">
        <v>159</v>
      </c>
      <c r="M60" s="166" t="s">
        <v>367</v>
      </c>
      <c r="N60" s="166" t="s">
        <v>368</v>
      </c>
      <c r="O60" s="166" t="s">
        <v>369</v>
      </c>
      <c r="P60" s="166" t="s">
        <v>168</v>
      </c>
      <c r="Q60" s="166" t="s">
        <v>244</v>
      </c>
      <c r="R60" s="166" t="s">
        <v>378</v>
      </c>
      <c r="S60" s="167">
        <v>0.15</v>
      </c>
      <c r="T60" s="167">
        <v>0.55000000000000004</v>
      </c>
      <c r="U60" s="167">
        <v>0.3</v>
      </c>
      <c r="W60" s="166" t="s">
        <v>379</v>
      </c>
      <c r="X60" s="166" t="s">
        <v>380</v>
      </c>
      <c r="Y60" s="168"/>
      <c r="Z60" s="168">
        <v>0.4516</v>
      </c>
      <c r="AA60" s="168">
        <v>7.0000000000000001E-3</v>
      </c>
      <c r="AB60" s="168">
        <v>3.85E-2</v>
      </c>
      <c r="AC60" s="168">
        <v>5.1000000000000004E-3</v>
      </c>
      <c r="AD60" s="168"/>
      <c r="AE60" s="168"/>
      <c r="AF60" s="168"/>
      <c r="AG60" s="168">
        <v>2.5600000000000001E-2</v>
      </c>
      <c r="AH60" s="168">
        <v>0.47220000000000001</v>
      </c>
    </row>
    <row r="61" spans="2:35" s="166" customFormat="1" x14ac:dyDescent="0.25">
      <c r="B61" s="166" t="s">
        <v>364</v>
      </c>
      <c r="C61" s="166" t="s">
        <v>121</v>
      </c>
      <c r="D61" s="166" t="s">
        <v>365</v>
      </c>
      <c r="E61" s="166" t="s">
        <v>123</v>
      </c>
      <c r="F61" s="166" t="s">
        <v>355</v>
      </c>
      <c r="G61" s="166" t="s">
        <v>366</v>
      </c>
      <c r="H61" s="166">
        <v>750</v>
      </c>
      <c r="K61" s="166" t="s">
        <v>159</v>
      </c>
      <c r="M61" s="166" t="s">
        <v>367</v>
      </c>
      <c r="N61" s="166" t="s">
        <v>368</v>
      </c>
      <c r="O61" s="166" t="s">
        <v>369</v>
      </c>
      <c r="P61" s="166" t="s">
        <v>168</v>
      </c>
      <c r="Q61" s="166" t="s">
        <v>244</v>
      </c>
      <c r="R61" s="166" t="s">
        <v>381</v>
      </c>
      <c r="S61" s="167">
        <v>0.14000000000000001</v>
      </c>
      <c r="T61" s="167">
        <v>0.56000000000000005</v>
      </c>
      <c r="U61" s="167">
        <v>0.3</v>
      </c>
      <c r="W61" s="166" t="s">
        <v>382</v>
      </c>
      <c r="X61" s="166" t="s">
        <v>383</v>
      </c>
      <c r="Y61" s="168"/>
      <c r="Z61" s="168">
        <v>0.4325</v>
      </c>
      <c r="AA61" s="168">
        <v>2.0999999999999999E-3</v>
      </c>
      <c r="AB61" s="168">
        <v>6.4500000000000002E-2</v>
      </c>
      <c r="AC61" s="168">
        <v>4.1999999999999997E-3</v>
      </c>
      <c r="AD61" s="168"/>
      <c r="AE61" s="168"/>
      <c r="AF61" s="168"/>
      <c r="AG61" s="168">
        <v>2.6200000000000001E-2</v>
      </c>
      <c r="AH61" s="168">
        <v>0.47060000000000002</v>
      </c>
    </row>
    <row r="62" spans="2:35" s="166" customFormat="1" x14ac:dyDescent="0.25">
      <c r="B62" s="166" t="s">
        <v>364</v>
      </c>
      <c r="C62" s="166" t="s">
        <v>121</v>
      </c>
      <c r="D62" s="166" t="s">
        <v>365</v>
      </c>
      <c r="E62" s="166" t="s">
        <v>123</v>
      </c>
      <c r="F62" s="166" t="s">
        <v>355</v>
      </c>
      <c r="G62" s="166" t="s">
        <v>366</v>
      </c>
      <c r="H62" s="166">
        <v>800</v>
      </c>
      <c r="K62" s="166" t="s">
        <v>159</v>
      </c>
      <c r="M62" s="166" t="s">
        <v>367</v>
      </c>
      <c r="N62" s="166" t="s">
        <v>368</v>
      </c>
      <c r="O62" s="166" t="s">
        <v>369</v>
      </c>
      <c r="P62" s="166" t="s">
        <v>168</v>
      </c>
      <c r="Q62" s="166" t="s">
        <v>244</v>
      </c>
      <c r="R62" s="166" t="s">
        <v>384</v>
      </c>
      <c r="S62" s="167">
        <v>0.08</v>
      </c>
      <c r="T62" s="167">
        <v>0.64</v>
      </c>
      <c r="U62" s="167">
        <v>0.28000000000000003</v>
      </c>
      <c r="W62" s="166" t="s">
        <v>385</v>
      </c>
      <c r="X62" s="166" t="s">
        <v>386</v>
      </c>
      <c r="Y62" s="168"/>
      <c r="Z62" s="168">
        <v>0.47949999999999998</v>
      </c>
      <c r="AA62" s="168">
        <v>2.5999999999999999E-3</v>
      </c>
      <c r="AB62" s="168">
        <v>1.9E-2</v>
      </c>
      <c r="AC62" s="168">
        <v>4.1999999999999997E-3</v>
      </c>
      <c r="AD62" s="168"/>
      <c r="AE62" s="168"/>
      <c r="AF62" s="168"/>
      <c r="AG62" s="168">
        <v>2.3099999999999999E-2</v>
      </c>
      <c r="AH62" s="168">
        <v>0.47160000000000002</v>
      </c>
    </row>
    <row r="63" spans="2:35" x14ac:dyDescent="0.25">
      <c r="B63" s="165" t="s">
        <v>387</v>
      </c>
      <c r="C63" s="165" t="s">
        <v>121</v>
      </c>
      <c r="D63" s="165" t="s">
        <v>388</v>
      </c>
      <c r="E63" s="165" t="s">
        <v>123</v>
      </c>
      <c r="F63" s="165" t="s">
        <v>355</v>
      </c>
      <c r="G63" s="165" t="s">
        <v>389</v>
      </c>
      <c r="H63" s="165">
        <v>500</v>
      </c>
      <c r="M63" s="165" t="s">
        <v>390</v>
      </c>
      <c r="N63" s="165" t="s">
        <v>368</v>
      </c>
      <c r="O63" s="165" t="s">
        <v>391</v>
      </c>
      <c r="P63" s="165" t="s">
        <v>168</v>
      </c>
      <c r="Q63" s="165" t="s">
        <v>244</v>
      </c>
      <c r="R63" s="165" t="s">
        <v>392</v>
      </c>
      <c r="W63" s="165" t="s">
        <v>393</v>
      </c>
    </row>
    <row r="64" spans="2:35" x14ac:dyDescent="0.25">
      <c r="B64" s="165" t="s">
        <v>387</v>
      </c>
      <c r="C64" s="165" t="s">
        <v>121</v>
      </c>
      <c r="D64" s="165" t="s">
        <v>388</v>
      </c>
      <c r="E64" s="165" t="s">
        <v>123</v>
      </c>
      <c r="F64" s="165" t="s">
        <v>355</v>
      </c>
      <c r="G64" s="165" t="s">
        <v>389</v>
      </c>
      <c r="H64" s="165">
        <v>600</v>
      </c>
      <c r="M64" s="165" t="s">
        <v>390</v>
      </c>
      <c r="N64" s="165" t="s">
        <v>368</v>
      </c>
      <c r="O64" s="165" t="s">
        <v>391</v>
      </c>
      <c r="P64" s="165" t="s">
        <v>168</v>
      </c>
      <c r="Q64" s="165" t="s">
        <v>244</v>
      </c>
      <c r="R64" s="165" t="s">
        <v>394</v>
      </c>
      <c r="W64" s="165" t="s">
        <v>395</v>
      </c>
    </row>
    <row r="65" spans="2:35" x14ac:dyDescent="0.25">
      <c r="B65" s="165" t="s">
        <v>387</v>
      </c>
      <c r="C65" s="165" t="s">
        <v>121</v>
      </c>
      <c r="D65" s="165" t="s">
        <v>388</v>
      </c>
      <c r="E65" s="165" t="s">
        <v>123</v>
      </c>
      <c r="F65" s="165" t="s">
        <v>355</v>
      </c>
      <c r="G65" s="165" t="s">
        <v>389</v>
      </c>
      <c r="H65" s="165">
        <v>700</v>
      </c>
      <c r="M65" s="165" t="s">
        <v>390</v>
      </c>
      <c r="N65" s="165" t="s">
        <v>368</v>
      </c>
      <c r="O65" s="165" t="s">
        <v>391</v>
      </c>
      <c r="P65" s="165" t="s">
        <v>168</v>
      </c>
      <c r="Q65" s="165" t="s">
        <v>244</v>
      </c>
      <c r="R65" s="165" t="s">
        <v>396</v>
      </c>
      <c r="W65" s="165" t="s">
        <v>397</v>
      </c>
    </row>
    <row r="66" spans="2:35" x14ac:dyDescent="0.25">
      <c r="B66" s="165" t="s">
        <v>398</v>
      </c>
      <c r="C66" s="165" t="s">
        <v>121</v>
      </c>
      <c r="D66" s="165" t="s">
        <v>399</v>
      </c>
      <c r="E66" s="165" t="s">
        <v>123</v>
      </c>
      <c r="F66" s="165" t="s">
        <v>400</v>
      </c>
      <c r="G66" s="165" t="s">
        <v>401</v>
      </c>
      <c r="H66" s="165">
        <v>500</v>
      </c>
      <c r="K66" s="165" t="s">
        <v>159</v>
      </c>
      <c r="M66" s="165" t="s">
        <v>390</v>
      </c>
      <c r="P66" s="165" t="s">
        <v>168</v>
      </c>
      <c r="Q66" s="165" t="s">
        <v>244</v>
      </c>
      <c r="R66" s="165" t="s">
        <v>402</v>
      </c>
      <c r="V66" s="165" t="s">
        <v>403</v>
      </c>
      <c r="W66" s="165" t="s">
        <v>404</v>
      </c>
      <c r="X66" s="165" t="s">
        <v>405</v>
      </c>
    </row>
    <row r="67" spans="2:35" s="166" customFormat="1" x14ac:dyDescent="0.25">
      <c r="B67" s="166" t="s">
        <v>398</v>
      </c>
      <c r="C67" s="166" t="s">
        <v>121</v>
      </c>
      <c r="D67" s="166" t="s">
        <v>399</v>
      </c>
      <c r="E67" s="166" t="s">
        <v>123</v>
      </c>
      <c r="F67" s="166" t="s">
        <v>406</v>
      </c>
      <c r="G67" s="181" t="s">
        <v>407</v>
      </c>
      <c r="H67" s="166">
        <v>500</v>
      </c>
      <c r="K67" s="166" t="s">
        <v>159</v>
      </c>
      <c r="M67" s="166" t="s">
        <v>390</v>
      </c>
      <c r="P67" s="166" t="s">
        <v>168</v>
      </c>
      <c r="Q67" s="166" t="s">
        <v>244</v>
      </c>
      <c r="R67" s="166" t="s">
        <v>408</v>
      </c>
      <c r="S67" s="167">
        <v>0.28999999999999998</v>
      </c>
      <c r="T67" s="167">
        <v>0.316</v>
      </c>
      <c r="U67" s="167">
        <v>0.39400000000000002</v>
      </c>
      <c r="V67" s="166" t="s">
        <v>409</v>
      </c>
      <c r="W67" s="166" t="s">
        <v>410</v>
      </c>
      <c r="X67" s="166" t="s">
        <v>411</v>
      </c>
      <c r="Y67" s="168"/>
      <c r="Z67" s="168">
        <v>0.504</v>
      </c>
      <c r="AA67" s="168">
        <v>1.4999999999999999E-2</v>
      </c>
      <c r="AB67" s="168"/>
      <c r="AC67" s="168">
        <v>1.0999999999999999E-2</v>
      </c>
      <c r="AD67" s="168"/>
      <c r="AE67" s="168"/>
      <c r="AF67" s="168"/>
      <c r="AG67" s="168">
        <v>8.9999999999999993E-3</v>
      </c>
      <c r="AH67" s="168">
        <v>0.44700000000000001</v>
      </c>
    </row>
    <row r="69" spans="2:35" x14ac:dyDescent="0.25">
      <c r="B69" s="165" t="s">
        <v>412</v>
      </c>
      <c r="S69" s="169">
        <f>_xlfn.QUARTILE.INC(S2:S67,0)</f>
        <v>0.08</v>
      </c>
      <c r="T69" s="169">
        <f>_xlfn.QUARTILE.INC(T2:T67,0)</f>
        <v>1.4E-2</v>
      </c>
      <c r="U69" s="169">
        <f>_xlfn.QUARTILE.INC(U2:U67,0)</f>
        <v>6.0000000000000001E-3</v>
      </c>
      <c r="Y69" s="169">
        <f t="shared" ref="Y69:AH69" si="0">_xlfn.QUARTILE.INC(Y2:Y67,0)</f>
        <v>0.55600000000000005</v>
      </c>
      <c r="Z69" s="169">
        <f t="shared" si="0"/>
        <v>0.13900000000000001</v>
      </c>
      <c r="AA69" s="169">
        <f t="shared" si="0"/>
        <v>2.0999999999999999E-3</v>
      </c>
      <c r="AB69" s="169">
        <f t="shared" si="0"/>
        <v>1.9E-2</v>
      </c>
      <c r="AC69" s="169">
        <f t="shared" si="0"/>
        <v>4.1999999999999997E-3</v>
      </c>
      <c r="AD69" s="169">
        <f t="shared" si="0"/>
        <v>3.0000000000000001E-3</v>
      </c>
      <c r="AE69" s="182">
        <f t="shared" si="0"/>
        <v>4.0000000000000002E-4</v>
      </c>
      <c r="AF69" s="182">
        <f t="shared" si="0"/>
        <v>4.0000000000000002E-4</v>
      </c>
      <c r="AG69" s="169">
        <f t="shared" si="0"/>
        <v>3.7000000000000002E-3</v>
      </c>
      <c r="AH69" s="169">
        <f t="shared" si="0"/>
        <v>2.3E-2</v>
      </c>
    </row>
    <row r="70" spans="2:35" x14ac:dyDescent="0.25">
      <c r="B70" s="165" t="s">
        <v>413</v>
      </c>
      <c r="S70" s="169">
        <f>_xlfn.QUARTILE.INC(S2:S67,1)</f>
        <v>0.36499999999999999</v>
      </c>
      <c r="T70" s="169">
        <f>_xlfn.QUARTILE.INC(T2:T67,1)</f>
        <v>6.5500000000000003E-2</v>
      </c>
      <c r="U70" s="169">
        <f>_xlfn.QUARTILE.INC(U2:U67,1)</f>
        <v>0.10250000000000001</v>
      </c>
      <c r="Y70" s="169">
        <f t="shared" ref="Y70:AH70" si="1">_xlfn.QUARTILE.INC(Y2:Y67,1)</f>
        <v>0.7330000000000001</v>
      </c>
      <c r="Z70" s="169">
        <f t="shared" si="1"/>
        <v>0.34150000000000003</v>
      </c>
      <c r="AA70" s="169">
        <f t="shared" si="1"/>
        <v>7.6500000000000005E-3</v>
      </c>
      <c r="AB70" s="169">
        <f t="shared" si="1"/>
        <v>0.03</v>
      </c>
      <c r="AC70" s="169">
        <f t="shared" si="1"/>
        <v>5.1000000000000004E-3</v>
      </c>
      <c r="AD70" s="169">
        <f t="shared" si="1"/>
        <v>2.8799999999999999E-2</v>
      </c>
      <c r="AE70" s="182">
        <f t="shared" si="1"/>
        <v>4.0000000000000002E-4</v>
      </c>
      <c r="AF70" s="182">
        <f t="shared" si="1"/>
        <v>4.0000000000000002E-4</v>
      </c>
      <c r="AG70" s="169">
        <f t="shared" si="1"/>
        <v>1.065E-2</v>
      </c>
      <c r="AH70" s="169">
        <f t="shared" si="1"/>
        <v>0.45100000000000001</v>
      </c>
    </row>
    <row r="71" spans="2:35" x14ac:dyDescent="0.25">
      <c r="B71" s="165" t="s">
        <v>414</v>
      </c>
      <c r="S71" s="169">
        <f>_xlfn.QUARTILE.INC(S2:S67,2)</f>
        <v>0.59</v>
      </c>
      <c r="T71" s="169">
        <f>_xlfn.QUARTILE.INC(T2:T67,2)</f>
        <v>0.18</v>
      </c>
      <c r="U71" s="169">
        <f>_xlfn.QUARTILE.INC(U2:U67,2)</f>
        <v>0.17</v>
      </c>
      <c r="Y71" s="169">
        <f t="shared" ref="Y71:AH71" si="2">_xlfn.QUARTILE.INC(Y2:Y67,2)</f>
        <v>0.85950000000000004</v>
      </c>
      <c r="Z71" s="169">
        <f t="shared" si="2"/>
        <v>0.4516</v>
      </c>
      <c r="AA71" s="169">
        <f t="shared" si="2"/>
        <v>1.2E-2</v>
      </c>
      <c r="AB71" s="169">
        <f t="shared" si="2"/>
        <v>4.2900000000000001E-2</v>
      </c>
      <c r="AC71" s="169">
        <f t="shared" si="2"/>
        <v>8.2000000000000007E-3</v>
      </c>
      <c r="AD71" s="169">
        <f t="shared" si="2"/>
        <v>3.6999999999999998E-2</v>
      </c>
      <c r="AE71" s="182">
        <f t="shared" si="2"/>
        <v>4.0000000000000002E-4</v>
      </c>
      <c r="AF71" s="182">
        <f t="shared" si="2"/>
        <v>4.0000000000000002E-4</v>
      </c>
      <c r="AG71" s="169">
        <f t="shared" si="2"/>
        <v>1.67E-2</v>
      </c>
      <c r="AH71" s="169">
        <f t="shared" si="2"/>
        <v>0.4672</v>
      </c>
      <c r="AI71" s="169"/>
    </row>
    <row r="72" spans="2:35" x14ac:dyDescent="0.25">
      <c r="B72" s="165" t="s">
        <v>415</v>
      </c>
      <c r="S72" s="169">
        <f>_xlfn.QUARTILE.INC(S2:S67,3)</f>
        <v>0.77</v>
      </c>
      <c r="T72" s="169">
        <f>_xlfn.QUARTILE.INC(T2:T67,3)</f>
        <v>0.39</v>
      </c>
      <c r="U72" s="169">
        <f>_xlfn.QUARTILE.INC(U2:U67,3)</f>
        <v>0.3</v>
      </c>
      <c r="Y72" s="169">
        <f t="shared" ref="Y72:AH72" si="3">_xlfn.QUARTILE.INC(Y2:Y67,3)</f>
        <v>0.94525000000000003</v>
      </c>
      <c r="Z72" s="169">
        <f t="shared" si="3"/>
        <v>0.48780000000000001</v>
      </c>
      <c r="AA72" s="169">
        <f t="shared" si="3"/>
        <v>1.6E-2</v>
      </c>
      <c r="AB72" s="169">
        <f t="shared" si="3"/>
        <v>6.4500000000000002E-2</v>
      </c>
      <c r="AC72" s="169">
        <f t="shared" si="3"/>
        <v>1.0999999999999999E-2</v>
      </c>
      <c r="AD72" s="169">
        <f t="shared" si="3"/>
        <v>3.6999999999999998E-2</v>
      </c>
      <c r="AE72" s="182">
        <f t="shared" si="3"/>
        <v>4.0000000000000002E-4</v>
      </c>
      <c r="AF72" s="182">
        <f t="shared" si="3"/>
        <v>4.0000000000000002E-4</v>
      </c>
      <c r="AG72" s="169">
        <f t="shared" si="3"/>
        <v>2.3725E-2</v>
      </c>
      <c r="AH72" s="169">
        <f t="shared" si="3"/>
        <v>0.47189999999999999</v>
      </c>
    </row>
    <row r="73" spans="2:35" x14ac:dyDescent="0.25">
      <c r="B73" s="165" t="s">
        <v>416</v>
      </c>
      <c r="S73" s="169">
        <f>_xlfn.QUARTILE.INC(S2:S67,4)</f>
        <v>0.91</v>
      </c>
      <c r="T73" s="169">
        <f>_xlfn.QUARTILE.INC(T2:T67,4)</f>
        <v>0.76</v>
      </c>
      <c r="U73" s="169">
        <f>_xlfn.QUARTILE.INC(U2:U67,4)</f>
        <v>0.73899999999999999</v>
      </c>
      <c r="Y73" s="169">
        <f t="shared" ref="Y73:AH73" si="4">_xlfn.QUARTILE.INC(Y2:Y67,4)</f>
        <v>1</v>
      </c>
      <c r="Z73" s="169">
        <f t="shared" si="4"/>
        <v>0.93700000000000006</v>
      </c>
      <c r="AA73" s="169">
        <f t="shared" si="4"/>
        <v>3.5000000000000003E-2</v>
      </c>
      <c r="AB73" s="169">
        <f t="shared" si="4"/>
        <v>0.10050000000000001</v>
      </c>
      <c r="AC73" s="169">
        <f t="shared" si="4"/>
        <v>2.7799999999999998E-2</v>
      </c>
      <c r="AD73" s="169">
        <f t="shared" si="4"/>
        <v>4.7E-2</v>
      </c>
      <c r="AE73" s="182">
        <f t="shared" si="4"/>
        <v>4.0000000000000002E-4</v>
      </c>
      <c r="AF73" s="182">
        <f t="shared" si="4"/>
        <v>4.0000000000000002E-4</v>
      </c>
      <c r="AG73" s="169">
        <f t="shared" si="4"/>
        <v>2.6200000000000001E-2</v>
      </c>
      <c r="AH73" s="169">
        <f t="shared" si="4"/>
        <v>0.80800000000000005</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33F46-F3F0-4D32-B25E-724B5E207709}">
  <sheetPr>
    <tabColor rgb="FF663300"/>
  </sheetPr>
  <dimension ref="B1:W98"/>
  <sheetViews>
    <sheetView zoomScale="70" zoomScaleNormal="70" workbookViewId="0">
      <selection activeCell="C68" sqref="C68"/>
    </sheetView>
  </sheetViews>
  <sheetFormatPr defaultColWidth="9" defaultRowHeight="14.25" x14ac:dyDescent="0.2"/>
  <cols>
    <col min="1" max="1" width="9" style="184"/>
    <col min="2" max="2" width="20.42578125" style="184" customWidth="1"/>
    <col min="3" max="5" width="11" style="184" customWidth="1"/>
    <col min="6" max="15" width="9" style="184"/>
    <col min="16" max="16" width="11.85546875" style="184" customWidth="1"/>
    <col min="17" max="20" width="9" style="184"/>
    <col min="21" max="21" width="11.85546875" style="184" customWidth="1"/>
    <col min="22" max="16384" width="9" style="184"/>
  </cols>
  <sheetData>
    <row r="1" spans="2:12" ht="20.85" customHeight="1" x14ac:dyDescent="0.2"/>
    <row r="2" spans="2:12" s="218" customFormat="1" ht="20.85" customHeight="1" x14ac:dyDescent="0.3">
      <c r="B2" s="786" t="s">
        <v>1525</v>
      </c>
      <c r="L2" s="760" t="s">
        <v>1224</v>
      </c>
    </row>
    <row r="3" spans="2:12" s="218" customFormat="1" ht="20.85" customHeight="1" x14ac:dyDescent="0.25">
      <c r="B3" s="760"/>
    </row>
    <row r="4" spans="2:12" s="218" customFormat="1" ht="20.85" customHeight="1" x14ac:dyDescent="0.25">
      <c r="B4" s="765" t="s">
        <v>1739</v>
      </c>
    </row>
    <row r="5" spans="2:12" s="218" customFormat="1" ht="15" x14ac:dyDescent="0.25">
      <c r="C5" s="761"/>
      <c r="E5" s="1432" t="s">
        <v>1727</v>
      </c>
      <c r="F5" s="1432"/>
      <c r="G5" s="216" t="s">
        <v>1722</v>
      </c>
    </row>
    <row r="6" spans="2:12" ht="27" customHeight="1" x14ac:dyDescent="0.2">
      <c r="B6" s="211" t="s">
        <v>1709</v>
      </c>
    </row>
    <row r="7" spans="2:12" x14ac:dyDescent="0.2">
      <c r="B7" s="1431" t="s">
        <v>1527</v>
      </c>
      <c r="C7" s="184">
        <v>2.5</v>
      </c>
      <c r="D7" s="184" t="s">
        <v>1436</v>
      </c>
      <c r="E7" s="766">
        <f>C7/3.6</f>
        <v>0.69444444444444442</v>
      </c>
      <c r="F7" s="184" t="s">
        <v>1526</v>
      </c>
      <c r="G7" s="184" t="s">
        <v>1710</v>
      </c>
    </row>
    <row r="8" spans="2:12" x14ac:dyDescent="0.2">
      <c r="B8" s="1431"/>
      <c r="C8" s="184">
        <v>1.5</v>
      </c>
      <c r="D8" s="184" t="s">
        <v>1436</v>
      </c>
      <c r="E8" s="766">
        <f>C8/3.6</f>
        <v>0.41666666666666663</v>
      </c>
      <c r="F8" s="184" t="s">
        <v>1526</v>
      </c>
      <c r="G8" s="184" t="s">
        <v>1711</v>
      </c>
    </row>
    <row r="9" spans="2:12" x14ac:dyDescent="0.2">
      <c r="B9" s="184" t="s">
        <v>390</v>
      </c>
      <c r="E9" s="767">
        <v>2.4E-2</v>
      </c>
      <c r="F9" s="184" t="s">
        <v>1526</v>
      </c>
    </row>
    <row r="10" spans="2:12" ht="15" x14ac:dyDescent="0.25">
      <c r="B10" s="217" t="s">
        <v>1703</v>
      </c>
      <c r="E10" s="768">
        <f>E7+$E$9</f>
        <v>0.71844444444444444</v>
      </c>
      <c r="F10" s="217" t="s">
        <v>1526</v>
      </c>
    </row>
    <row r="11" spans="2:12" ht="15" x14ac:dyDescent="0.25">
      <c r="B11" s="217" t="s">
        <v>1704</v>
      </c>
      <c r="E11" s="768">
        <f>E8+$E$9</f>
        <v>0.44066666666666665</v>
      </c>
      <c r="F11" s="217" t="s">
        <v>1526</v>
      </c>
    </row>
    <row r="12" spans="2:12" ht="15" x14ac:dyDescent="0.25">
      <c r="B12" s="217" t="s">
        <v>1705</v>
      </c>
      <c r="E12" s="768">
        <f>SUM(E9,AVERAGE(E7:E8))</f>
        <v>0.5795555555555556</v>
      </c>
      <c r="F12" s="217" t="s">
        <v>1526</v>
      </c>
    </row>
    <row r="13" spans="2:12" ht="27" customHeight="1" x14ac:dyDescent="0.2">
      <c r="B13" s="211" t="s">
        <v>1721</v>
      </c>
      <c r="E13" s="218"/>
    </row>
    <row r="14" spans="2:12" x14ac:dyDescent="0.2">
      <c r="B14" s="184" t="s">
        <v>1527</v>
      </c>
      <c r="C14" s="762">
        <f>(1913+2476)/1000</f>
        <v>4.3890000000000002</v>
      </c>
      <c r="D14" s="184" t="s">
        <v>1436</v>
      </c>
      <c r="E14" s="766">
        <f>C14/3.6</f>
        <v>1.2191666666666667</v>
      </c>
      <c r="F14" s="184" t="s">
        <v>1526</v>
      </c>
      <c r="G14" s="762" t="s">
        <v>1724</v>
      </c>
    </row>
    <row r="15" spans="2:12" x14ac:dyDescent="0.2">
      <c r="B15" s="184" t="s">
        <v>390</v>
      </c>
      <c r="E15" s="766">
        <f>(600+2)/1000</f>
        <v>0.60199999999999998</v>
      </c>
      <c r="F15" s="184" t="s">
        <v>1526</v>
      </c>
      <c r="G15" s="184" t="s">
        <v>1723</v>
      </c>
    </row>
    <row r="16" spans="2:12" ht="15" x14ac:dyDescent="0.25">
      <c r="B16" s="217" t="s">
        <v>45</v>
      </c>
      <c r="E16" s="769">
        <f>SUM(E14,E15)</f>
        <v>1.8211666666666666</v>
      </c>
      <c r="F16" s="217" t="s">
        <v>1526</v>
      </c>
    </row>
    <row r="17" spans="2:9" ht="27" customHeight="1" x14ac:dyDescent="0.2">
      <c r="B17" s="211" t="s">
        <v>1725</v>
      </c>
      <c r="E17" s="218"/>
    </row>
    <row r="18" spans="2:9" x14ac:dyDescent="0.2">
      <c r="B18" s="184" t="s">
        <v>1529</v>
      </c>
      <c r="C18" s="459">
        <f>18.3/1000</f>
        <v>1.83E-2</v>
      </c>
      <c r="D18" s="184" t="s">
        <v>1436</v>
      </c>
      <c r="E18" s="770">
        <f>C18/3.6</f>
        <v>5.0833333333333329E-3</v>
      </c>
      <c r="F18" s="184" t="s">
        <v>1526</v>
      </c>
      <c r="G18" s="459" t="s">
        <v>1530</v>
      </c>
    </row>
    <row r="19" spans="2:9" x14ac:dyDescent="0.2">
      <c r="B19" s="184" t="s">
        <v>1726</v>
      </c>
      <c r="E19" s="766">
        <f>(1000-650-65)/1000*42.9/3.6</f>
        <v>3.3962499999999993</v>
      </c>
      <c r="F19" s="184" t="s">
        <v>1526</v>
      </c>
      <c r="G19" s="459" t="s">
        <v>1728</v>
      </c>
      <c r="H19" s="218"/>
    </row>
    <row r="20" spans="2:9" x14ac:dyDescent="0.2">
      <c r="B20" s="184" t="s">
        <v>1706</v>
      </c>
      <c r="E20" s="766">
        <f>E18+E19</f>
        <v>3.4013333333333327</v>
      </c>
      <c r="G20" s="459"/>
      <c r="H20" s="218"/>
    </row>
    <row r="21" spans="2:9" x14ac:dyDescent="0.2">
      <c r="B21" s="184" t="s">
        <v>390</v>
      </c>
      <c r="C21" s="184">
        <f>106/1000</f>
        <v>0.106</v>
      </c>
      <c r="D21" s="184" t="s">
        <v>1436</v>
      </c>
      <c r="E21" s="770">
        <f>C21/3.6</f>
        <v>2.9444444444444443E-2</v>
      </c>
      <c r="F21" s="184" t="s">
        <v>1526</v>
      </c>
      <c r="G21" s="459"/>
    </row>
    <row r="22" spans="2:9" ht="15" x14ac:dyDescent="0.25">
      <c r="B22" s="217" t="s">
        <v>45</v>
      </c>
      <c r="E22" s="769">
        <f>SUM(E20:E21)</f>
        <v>3.4307777777777773</v>
      </c>
      <c r="F22" s="217" t="s">
        <v>1526</v>
      </c>
      <c r="G22" s="459"/>
      <c r="H22" s="218"/>
    </row>
    <row r="23" spans="2:9" ht="27" customHeight="1" x14ac:dyDescent="0.2">
      <c r="B23" s="211" t="s">
        <v>1729</v>
      </c>
      <c r="E23" s="218"/>
    </row>
    <row r="24" spans="2:9" x14ac:dyDescent="0.2">
      <c r="B24" s="184" t="s">
        <v>1529</v>
      </c>
      <c r="C24" s="184">
        <f>0.131</f>
        <v>0.13100000000000001</v>
      </c>
      <c r="D24" s="184" t="s">
        <v>1436</v>
      </c>
      <c r="E24" s="770">
        <f>C24/3.6</f>
        <v>3.6388888888888887E-2</v>
      </c>
      <c r="F24" s="184" t="s">
        <v>1526</v>
      </c>
      <c r="G24" s="459" t="s">
        <v>435</v>
      </c>
      <c r="H24" s="218"/>
      <c r="I24" s="728"/>
    </row>
    <row r="25" spans="2:9" x14ac:dyDescent="0.2">
      <c r="B25" s="257" t="s">
        <v>1726</v>
      </c>
      <c r="E25" s="766">
        <f>0.125*42.9/3.6</f>
        <v>1.4895833333333333</v>
      </c>
      <c r="F25" s="184" t="s">
        <v>1526</v>
      </c>
      <c r="G25" s="184" t="s">
        <v>1730</v>
      </c>
      <c r="H25" s="218"/>
      <c r="I25" s="728"/>
    </row>
    <row r="26" spans="2:9" x14ac:dyDescent="0.2">
      <c r="B26" s="257" t="s">
        <v>1706</v>
      </c>
      <c r="E26" s="766">
        <f>SUM(E24:E25)</f>
        <v>1.5259722222222221</v>
      </c>
      <c r="F26" s="218"/>
      <c r="H26" s="218"/>
      <c r="I26" s="728"/>
    </row>
    <row r="27" spans="2:9" x14ac:dyDescent="0.2">
      <c r="B27" s="184" t="s">
        <v>390</v>
      </c>
      <c r="C27" s="184">
        <f>0.212</f>
        <v>0.21199999999999999</v>
      </c>
      <c r="D27" s="184" t="s">
        <v>1436</v>
      </c>
      <c r="E27" s="766">
        <f>C27/3.6</f>
        <v>5.8888888888888886E-2</v>
      </c>
      <c r="F27" s="184" t="s">
        <v>1526</v>
      </c>
      <c r="G27" s="459"/>
      <c r="H27" s="218"/>
      <c r="I27" s="728"/>
    </row>
    <row r="28" spans="2:9" ht="15" x14ac:dyDescent="0.25">
      <c r="B28" s="217" t="s">
        <v>45</v>
      </c>
      <c r="E28" s="769">
        <f>SUM(E26:E27)</f>
        <v>1.5848611111111111</v>
      </c>
      <c r="F28" s="217" t="s">
        <v>1526</v>
      </c>
    </row>
    <row r="29" spans="2:9" ht="27" customHeight="1" x14ac:dyDescent="0.2">
      <c r="B29" s="211" t="s">
        <v>1731</v>
      </c>
      <c r="E29" s="218"/>
    </row>
    <row r="30" spans="2:9" x14ac:dyDescent="0.2">
      <c r="B30" s="184" t="s">
        <v>1527</v>
      </c>
      <c r="C30" s="184">
        <f>0.222/(2.17/3600)/1000</f>
        <v>0.36829493087557608</v>
      </c>
      <c r="D30" s="184" t="s">
        <v>1436</v>
      </c>
      <c r="E30" s="766">
        <f>C30/3.6</f>
        <v>0.1023041474654378</v>
      </c>
      <c r="F30" s="184" t="s">
        <v>1526</v>
      </c>
      <c r="G30" s="184" t="s">
        <v>1733</v>
      </c>
    </row>
    <row r="31" spans="2:9" x14ac:dyDescent="0.2">
      <c r="B31" s="184" t="s">
        <v>1527</v>
      </c>
      <c r="C31" s="184">
        <f>3.201/(2.17/3600)/1000</f>
        <v>5.3104147465437794</v>
      </c>
      <c r="D31" s="184" t="s">
        <v>1436</v>
      </c>
      <c r="E31" s="766">
        <f>C31/3.6</f>
        <v>1.4751152073732721</v>
      </c>
      <c r="F31" s="184" t="s">
        <v>1526</v>
      </c>
      <c r="G31" s="459" t="s">
        <v>1541</v>
      </c>
    </row>
    <row r="32" spans="2:9" x14ac:dyDescent="0.2">
      <c r="B32" s="184" t="s">
        <v>1736</v>
      </c>
      <c r="C32" s="184" t="s">
        <v>3</v>
      </c>
      <c r="E32" s="766">
        <f>SUM(E30,E31)-E38</f>
        <v>1.4753029527223078</v>
      </c>
      <c r="G32" s="459"/>
    </row>
    <row r="33" spans="2:21" x14ac:dyDescent="0.2">
      <c r="B33" s="184" t="s">
        <v>390</v>
      </c>
      <c r="C33" s="184">
        <f>0.454/(2.17/3600)/1000</f>
        <v>0.75317972350230422</v>
      </c>
      <c r="D33" s="184" t="s">
        <v>1436</v>
      </c>
      <c r="E33" s="766">
        <f>C33/3.6</f>
        <v>0.20921658986175118</v>
      </c>
      <c r="F33" s="184" t="s">
        <v>1526</v>
      </c>
      <c r="G33" s="459" t="s">
        <v>1732</v>
      </c>
    </row>
    <row r="34" spans="2:21" ht="15" x14ac:dyDescent="0.25">
      <c r="B34" s="217" t="s">
        <v>45</v>
      </c>
      <c r="E34" s="769">
        <f>SUM(E33,E32)</f>
        <v>1.6845195425840589</v>
      </c>
      <c r="F34" s="217"/>
      <c r="G34" s="459"/>
      <c r="I34" s="762"/>
    </row>
    <row r="35" spans="2:21" ht="20.85" customHeight="1" x14ac:dyDescent="0.25">
      <c r="B35" s="217"/>
      <c r="E35" s="769"/>
      <c r="G35" s="459"/>
    </row>
    <row r="36" spans="2:21" ht="20.85" customHeight="1" x14ac:dyDescent="0.25">
      <c r="B36" s="765" t="s">
        <v>1740</v>
      </c>
      <c r="E36" s="218"/>
    </row>
    <row r="37" spans="2:21" x14ac:dyDescent="0.2">
      <c r="E37" s="218"/>
    </row>
    <row r="38" spans="2:21" x14ac:dyDescent="0.2">
      <c r="B38" s="184" t="s">
        <v>1737</v>
      </c>
      <c r="C38" s="459">
        <f>(0.71+0.02+1.2)/(18900/3600)</f>
        <v>0.36761904761904762</v>
      </c>
      <c r="D38" s="218" t="s">
        <v>1436</v>
      </c>
      <c r="E38" s="770">
        <f>C38/3.6</f>
        <v>0.10211640211640212</v>
      </c>
      <c r="F38" s="184" t="s">
        <v>1997</v>
      </c>
      <c r="G38" s="184" t="s">
        <v>1735</v>
      </c>
    </row>
    <row r="39" spans="2:21" ht="15" x14ac:dyDescent="0.25">
      <c r="B39" s="184" t="s">
        <v>1738</v>
      </c>
      <c r="C39" s="184" t="s">
        <v>3</v>
      </c>
      <c r="E39" s="768">
        <f>E38/4*13</f>
        <v>0.33187830687830688</v>
      </c>
      <c r="F39" s="217" t="s">
        <v>1997</v>
      </c>
      <c r="G39" s="184" t="s">
        <v>1734</v>
      </c>
    </row>
    <row r="40" spans="2:21" ht="15" x14ac:dyDescent="0.25">
      <c r="B40" s="184" t="s">
        <v>1779</v>
      </c>
      <c r="C40" s="184" t="s">
        <v>3</v>
      </c>
      <c r="E40" s="768">
        <f>E38/4*9</f>
        <v>0.22976190476190478</v>
      </c>
      <c r="F40" s="217" t="s">
        <v>1997</v>
      </c>
      <c r="G40" s="184" t="s">
        <v>1734</v>
      </c>
      <c r="H40" s="218"/>
    </row>
    <row r="41" spans="2:21" ht="15" x14ac:dyDescent="0.25">
      <c r="B41" s="184" t="s">
        <v>1781</v>
      </c>
      <c r="C41" s="184" t="s">
        <v>3</v>
      </c>
      <c r="E41" s="768">
        <f>'S2.1.3 Gas_imp'!C61*SUM('S2.2.3 Pyro_cred'!I36,'S2.2.3 Pyro_cred'!I44,'S2.2.3 Pyro_cred'!I47)</f>
        <v>0.15032766149583121</v>
      </c>
      <c r="F41" s="217" t="s">
        <v>1997</v>
      </c>
      <c r="G41" s="184" t="s">
        <v>1780</v>
      </c>
      <c r="H41" s="218"/>
    </row>
    <row r="42" spans="2:21" ht="20.85" customHeight="1" x14ac:dyDescent="0.25">
      <c r="B42" s="217"/>
      <c r="E42" s="764"/>
      <c r="G42" s="459"/>
    </row>
    <row r="43" spans="2:21" ht="20.85" customHeight="1" x14ac:dyDescent="0.25">
      <c r="B43" s="765" t="s">
        <v>45</v>
      </c>
    </row>
    <row r="44" spans="2:21" ht="15" x14ac:dyDescent="0.25">
      <c r="E44" s="763"/>
      <c r="F44" s="217"/>
      <c r="L44" s="459"/>
      <c r="M44" s="1394" t="s">
        <v>1147</v>
      </c>
      <c r="N44" s="1394"/>
      <c r="O44" s="1394"/>
      <c r="R44" s="1394" t="s">
        <v>1148</v>
      </c>
      <c r="S44" s="1394"/>
      <c r="T44" s="1394"/>
    </row>
    <row r="45" spans="2:21" ht="15" customHeight="1" x14ac:dyDescent="0.25">
      <c r="B45" s="761" t="s">
        <v>1542</v>
      </c>
      <c r="C45" s="218"/>
      <c r="D45" s="218"/>
      <c r="E45" s="769"/>
      <c r="L45" s="459"/>
      <c r="Q45" s="459"/>
    </row>
    <row r="46" spans="2:21" ht="15" x14ac:dyDescent="0.25">
      <c r="B46" s="774"/>
      <c r="C46" s="784" t="s">
        <v>412</v>
      </c>
      <c r="D46" s="784" t="s">
        <v>1697</v>
      </c>
      <c r="E46" s="785" t="s">
        <v>416</v>
      </c>
      <c r="M46" s="216" t="s">
        <v>412</v>
      </c>
      <c r="N46" s="216" t="s">
        <v>422</v>
      </c>
      <c r="O46" s="216" t="s">
        <v>416</v>
      </c>
      <c r="P46" s="1433" t="s">
        <v>1752</v>
      </c>
      <c r="R46" s="216" t="s">
        <v>412</v>
      </c>
      <c r="S46" s="216" t="s">
        <v>422</v>
      </c>
      <c r="T46" s="216" t="s">
        <v>416</v>
      </c>
      <c r="U46" s="1433" t="s">
        <v>1707</v>
      </c>
    </row>
    <row r="47" spans="2:21" x14ac:dyDescent="0.2">
      <c r="B47" s="775" t="s">
        <v>45</v>
      </c>
      <c r="C47" s="776">
        <f>MIN(E10,E11,E16,E22,E28,E34)</f>
        <v>0.44066666666666665</v>
      </c>
      <c r="D47" s="776">
        <f>AVERAGE(E10,E11,E16,E22,E28,E34)</f>
        <v>1.6134060348751209</v>
      </c>
      <c r="E47" s="777">
        <f>MAX(E10,E11,E16,E22,E28,E34)</f>
        <v>3.4307777777777773</v>
      </c>
      <c r="L47" s="771" t="s">
        <v>45</v>
      </c>
      <c r="M47" s="459">
        <f>SUM(M48:M49)</f>
        <v>0.11268503797950044</v>
      </c>
      <c r="N47" s="459">
        <f>SUM(N48:N49)</f>
        <v>0.4355201418540886</v>
      </c>
      <c r="O47" s="459">
        <f>SUM(O48:O49)</f>
        <v>1.0885200987868595</v>
      </c>
      <c r="P47" s="1433"/>
      <c r="Q47" s="771" t="s">
        <v>45</v>
      </c>
      <c r="R47" s="459">
        <f>SUM(R48:R49)</f>
        <v>2.7651346513603198E-2</v>
      </c>
      <c r="S47" s="459">
        <f>SUM(S48:S49)</f>
        <v>0.10274033107653689</v>
      </c>
      <c r="T47" s="459">
        <f>SUM(T48:T49)</f>
        <v>0.2504807565115979</v>
      </c>
      <c r="U47" s="1433"/>
    </row>
    <row r="48" spans="2:21" ht="15" x14ac:dyDescent="0.25">
      <c r="B48" s="778" t="s">
        <v>1527</v>
      </c>
      <c r="C48" s="779">
        <f>MIN(E7,E8,E14,E20,E26,E32)</f>
        <v>0.41666666666666663</v>
      </c>
      <c r="D48" s="779">
        <f>AVERAGE(E7,E8,E14,E20,E26,E32)</f>
        <v>1.4554810476759401</v>
      </c>
      <c r="E48" s="780">
        <f>MAX(E7,E8,E14,E20,E26,E32)</f>
        <v>3.4013333333333327</v>
      </c>
      <c r="L48" s="771" t="s">
        <v>1527</v>
      </c>
      <c r="M48" s="459">
        <f>C48*'S2.5 energy supply scenarios'!$B$6*'S2.5 energy supply scenarios'!$B$11</f>
        <v>0.10271764626750043</v>
      </c>
      <c r="N48" s="459">
        <f>D48*'S2.5 energy supply scenarios'!$B$6*'S2.5 energy supply scenarios'!$B$11</f>
        <v>0.35880860977014761</v>
      </c>
      <c r="O48" s="459">
        <f>E48*'S2.5 energy supply scenarios'!$B$6*'S2.5 energy supply scenarios'!$B$11</f>
        <v>0.83850469001085959</v>
      </c>
      <c r="P48" s="1433"/>
      <c r="Q48" s="771" t="s">
        <v>1527</v>
      </c>
      <c r="R48" s="459">
        <f>C48*'S2.5 energy supply scenarios'!$B$40</f>
        <v>2.6188161551403199E-2</v>
      </c>
      <c r="S48" s="459">
        <f>D48*'S2.5 energy supply scenarios'!$B$40</f>
        <v>9.1479294747703457E-2</v>
      </c>
      <c r="T48" s="459">
        <f>E48*'S2.5 energy supply scenarios'!$B$40</f>
        <v>0.21377920037641457</v>
      </c>
      <c r="U48" s="1433"/>
    </row>
    <row r="49" spans="2:21" ht="15" x14ac:dyDescent="0.25">
      <c r="B49" s="781" t="s">
        <v>390</v>
      </c>
      <c r="C49" s="782">
        <f>MIN(E9,E15,E21,E27,E33)</f>
        <v>2.4E-2</v>
      </c>
      <c r="D49" s="782">
        <f>AVERAGE(E9,E15,E21,E27,E33)</f>
        <v>0.18470998463901692</v>
      </c>
      <c r="E49" s="783">
        <f>MAX(E9,E15,E21,E27,E33)</f>
        <v>0.60199999999999998</v>
      </c>
      <c r="L49" s="771" t="s">
        <v>390</v>
      </c>
      <c r="M49" s="459">
        <f>C49*'S2.5 energy supply scenarios'!$B$21</f>
        <v>9.9673917120000014E-3</v>
      </c>
      <c r="N49" s="459">
        <f>D49*'S2.5 energy supply scenarios'!$B$21</f>
        <v>7.671153208394102E-2</v>
      </c>
      <c r="O49" s="459">
        <f>E49*'S2.5 energy supply scenarios'!$B$21</f>
        <v>0.25001540877599998</v>
      </c>
      <c r="P49" s="1433"/>
      <c r="Q49" s="771" t="s">
        <v>390</v>
      </c>
      <c r="R49" s="459">
        <f>C49*'S2.5 energy supply scenarios'!$B$43</f>
        <v>1.4631849621999998E-3</v>
      </c>
      <c r="S49" s="459">
        <f>D49*'S2.5 energy supply scenarios'!$B$43</f>
        <v>1.1261036328833438E-2</v>
      </c>
      <c r="T49" s="459">
        <f>E49*'S2.5 energy supply scenarios'!$B$43</f>
        <v>3.6701556135183326E-2</v>
      </c>
      <c r="U49" s="1433"/>
    </row>
    <row r="50" spans="2:21" ht="15" x14ac:dyDescent="0.25">
      <c r="B50" s="772"/>
      <c r="C50" s="218"/>
      <c r="D50" s="218"/>
      <c r="E50" s="769"/>
      <c r="L50" s="459"/>
      <c r="P50" s="1433"/>
      <c r="Q50" s="459"/>
      <c r="U50" s="1433"/>
    </row>
    <row r="51" spans="2:21" ht="15" x14ac:dyDescent="0.25">
      <c r="B51" s="761" t="s">
        <v>1701</v>
      </c>
      <c r="C51" s="218"/>
      <c r="D51" s="218"/>
      <c r="E51" s="773"/>
      <c r="L51" s="459"/>
      <c r="P51" s="1433"/>
      <c r="Q51" s="459"/>
      <c r="U51" s="1433"/>
    </row>
    <row r="52" spans="2:21" ht="15" x14ac:dyDescent="0.25">
      <c r="B52" s="774"/>
      <c r="C52" s="784" t="s">
        <v>412</v>
      </c>
      <c r="D52" s="784" t="s">
        <v>1697</v>
      </c>
      <c r="E52" s="785" t="s">
        <v>416</v>
      </c>
      <c r="L52" s="771" t="s">
        <v>45</v>
      </c>
      <c r="M52" s="459">
        <f>SUM(M53:M54)</f>
        <v>0.13807550626140519</v>
      </c>
      <c r="N52" s="459">
        <f>SUM(N53:N54)</f>
        <v>0.46091061013599344</v>
      </c>
      <c r="O52" s="459">
        <f>SUM(O53:O54)</f>
        <v>1.1139105670687643</v>
      </c>
      <c r="P52" s="1433"/>
      <c r="Q52" s="771" t="s">
        <v>45</v>
      </c>
      <c r="R52" s="459">
        <f>SUM(R53:R54)</f>
        <v>4.8510425031847847E-2</v>
      </c>
      <c r="S52" s="459">
        <f>SUM(S53:S54)</f>
        <v>0.12359940959478154</v>
      </c>
      <c r="T52" s="459">
        <f>SUM(T53:T54)</f>
        <v>0.27133983502984255</v>
      </c>
      <c r="U52" s="1433"/>
    </row>
    <row r="53" spans="2:21" ht="15" x14ac:dyDescent="0.25">
      <c r="B53" s="778" t="s">
        <v>1527</v>
      </c>
      <c r="C53" s="779">
        <f>C48+$E$39</f>
        <v>0.74854497354497351</v>
      </c>
      <c r="D53" s="779">
        <f>D48+$E$39</f>
        <v>1.787359354554247</v>
      </c>
      <c r="E53" s="780">
        <f>E48+$E$39</f>
        <v>3.7332116402116395</v>
      </c>
      <c r="L53" s="771" t="s">
        <v>1527</v>
      </c>
      <c r="M53" s="459">
        <f>M48+$E$39*'S2.5 energy supply scenarios'!$B$16</f>
        <v>0.12810811454940518</v>
      </c>
      <c r="N53" s="459">
        <f>N48+$E$39*'S2.5 energy supply scenarios'!$B$16</f>
        <v>0.38419907805205239</v>
      </c>
      <c r="O53" s="459">
        <f>O48+$E$39*'S2.5 energy supply scenarios'!$B$16</f>
        <v>0.86389515829276431</v>
      </c>
      <c r="P53" s="1433"/>
      <c r="Q53" s="771" t="s">
        <v>1527</v>
      </c>
      <c r="R53" s="459">
        <f>C53*'S2.5 energy supply scenarios'!$B$40</f>
        <v>4.7047240069647847E-2</v>
      </c>
      <c r="S53" s="459">
        <f>D53*'S2.5 energy supply scenarios'!$B$40</f>
        <v>0.1123383732659481</v>
      </c>
      <c r="T53" s="459">
        <f>E53*'S2.5 energy supply scenarios'!$B$40</f>
        <v>0.23463827889465921</v>
      </c>
      <c r="U53" s="1433"/>
    </row>
    <row r="54" spans="2:21" ht="15" x14ac:dyDescent="0.25">
      <c r="B54" s="781" t="s">
        <v>390</v>
      </c>
      <c r="C54" s="782">
        <f>C49</f>
        <v>2.4E-2</v>
      </c>
      <c r="D54" s="782">
        <f>D49</f>
        <v>0.18470998463901692</v>
      </c>
      <c r="E54" s="783">
        <f>E49</f>
        <v>0.60199999999999998</v>
      </c>
      <c r="L54" s="771" t="s">
        <v>390</v>
      </c>
      <c r="M54" s="459">
        <f>C54*'S2.5 energy supply scenarios'!$B$21</f>
        <v>9.9673917120000014E-3</v>
      </c>
      <c r="N54" s="459">
        <f>D54*'S2.5 energy supply scenarios'!$B$21</f>
        <v>7.671153208394102E-2</v>
      </c>
      <c r="O54" s="459">
        <f>E54*'S2.5 energy supply scenarios'!$B$21</f>
        <v>0.25001540877599998</v>
      </c>
      <c r="P54" s="1433"/>
      <c r="Q54" s="771" t="s">
        <v>390</v>
      </c>
      <c r="R54" s="459">
        <f>C54*'S2.5 energy supply scenarios'!$B$43</f>
        <v>1.4631849621999998E-3</v>
      </c>
      <c r="S54" s="459">
        <f>D54*'S2.5 energy supply scenarios'!$B$43</f>
        <v>1.1261036328833438E-2</v>
      </c>
      <c r="T54" s="459">
        <f>E54*'S2.5 energy supply scenarios'!$B$43</f>
        <v>3.6701556135183326E-2</v>
      </c>
      <c r="U54" s="1433"/>
    </row>
    <row r="55" spans="2:21" ht="15" x14ac:dyDescent="0.25">
      <c r="B55" s="772"/>
      <c r="C55" s="218"/>
      <c r="D55" s="218"/>
      <c r="E55" s="769"/>
      <c r="L55" s="459"/>
      <c r="P55" s="1433"/>
      <c r="Q55" s="459"/>
      <c r="U55" s="1433"/>
    </row>
    <row r="56" spans="2:21" ht="15" x14ac:dyDescent="0.25">
      <c r="B56" s="761" t="s">
        <v>1702</v>
      </c>
      <c r="C56" s="218"/>
      <c r="D56" s="218"/>
      <c r="E56" s="773"/>
      <c r="F56" s="761"/>
      <c r="P56" s="1433"/>
      <c r="U56" s="1433"/>
    </row>
    <row r="57" spans="2:21" ht="15" x14ac:dyDescent="0.25">
      <c r="B57" s="774"/>
      <c r="C57" s="784" t="s">
        <v>412</v>
      </c>
      <c r="D57" s="784" t="s">
        <v>1697</v>
      </c>
      <c r="E57" s="785" t="s">
        <v>416</v>
      </c>
      <c r="L57" s="771" t="s">
        <v>45</v>
      </c>
      <c r="M57" s="459">
        <f>SUM(M58:M59)</f>
        <v>0.21808580140084105</v>
      </c>
      <c r="N57" s="459">
        <f>SUM(N58:N59)</f>
        <v>0.54092090527542924</v>
      </c>
      <c r="O57" s="459">
        <f>SUM(O58:O59)</f>
        <v>1.1939208622082003</v>
      </c>
      <c r="P57" s="1433"/>
      <c r="Q57" s="771" t="s">
        <v>45</v>
      </c>
      <c r="R57" s="459">
        <f>SUM(R58:R59)</f>
        <v>7.2116207782120093E-2</v>
      </c>
      <c r="S57" s="459">
        <f>SUM(S58:S59)</f>
        <v>0.14720519234505378</v>
      </c>
      <c r="T57" s="459">
        <f>SUM(T58:T59)</f>
        <v>0.2949456177801148</v>
      </c>
      <c r="U57" s="1433"/>
    </row>
    <row r="58" spans="2:21" ht="15" x14ac:dyDescent="0.25">
      <c r="B58" s="778" t="s">
        <v>1527</v>
      </c>
      <c r="C58" s="779">
        <f>C53+$E$40</f>
        <v>0.97830687830687824</v>
      </c>
      <c r="D58" s="779">
        <f>D53+$E$40</f>
        <v>2.0171212593161516</v>
      </c>
      <c r="E58" s="780">
        <f>E53+$E$40</f>
        <v>3.9629735449735444</v>
      </c>
      <c r="L58" s="771" t="s">
        <v>1527</v>
      </c>
      <c r="M58" s="459">
        <f>M53+$E$40*'S2.5 energy supply scenarios'!$B$16</f>
        <v>0.14568613105226233</v>
      </c>
      <c r="N58" s="459">
        <f>N53+$E$40*'S2.5 energy supply scenarios'!$B$16</f>
        <v>0.40177709455490951</v>
      </c>
      <c r="O58" s="459">
        <f>O53+$E$40*'S2.5 energy supply scenarios'!$B$16</f>
        <v>0.88147317479562148</v>
      </c>
      <c r="P58" s="1433"/>
      <c r="Q58" s="771" t="s">
        <v>1527</v>
      </c>
      <c r="R58" s="459">
        <f>C58*'S2.5 energy supply scenarios'!$B$40</f>
        <v>6.148814058227875E-2</v>
      </c>
      <c r="S58" s="459">
        <f>D58*'S2.5 energy supply scenarios'!$B$40</f>
        <v>0.126779273778579</v>
      </c>
      <c r="T58" s="459">
        <f>E58*'S2.5 energy supply scenarios'!$B$40</f>
        <v>0.24907917940729013</v>
      </c>
      <c r="U58" s="1433"/>
    </row>
    <row r="59" spans="2:21" ht="15" x14ac:dyDescent="0.25">
      <c r="B59" s="781" t="s">
        <v>390</v>
      </c>
      <c r="C59" s="782">
        <f>C49+$E$41</f>
        <v>0.1743276614958312</v>
      </c>
      <c r="D59" s="782">
        <f>D49+$E$41</f>
        <v>0.3350376461348481</v>
      </c>
      <c r="E59" s="783">
        <f>E49+$E$41</f>
        <v>0.75232766149583119</v>
      </c>
      <c r="L59" s="771" t="s">
        <v>390</v>
      </c>
      <c r="M59" s="459">
        <f>C59*'S2.5 energy supply scenarios'!$B$21</f>
        <v>7.2399670348578735E-2</v>
      </c>
      <c r="N59" s="459">
        <f>D59*'S2.5 energy supply scenarios'!$B$21</f>
        <v>0.13914381072051973</v>
      </c>
      <c r="O59" s="459">
        <f>E59*'S2.5 energy supply scenarios'!$B$21</f>
        <v>0.31244768741257872</v>
      </c>
      <c r="P59" s="1433"/>
      <c r="Q59" s="771" t="s">
        <v>390</v>
      </c>
      <c r="R59" s="459">
        <f>C59*'S2.5 energy supply scenarios'!$B$43</f>
        <v>1.0628067199841339E-2</v>
      </c>
      <c r="S59" s="459">
        <f>D59*'S2.5 energy supply scenarios'!$B$43</f>
        <v>2.0425918566474778E-2</v>
      </c>
      <c r="T59" s="459">
        <f>E59*'S2.5 energy supply scenarios'!$B$43</f>
        <v>4.5866438372824669E-2</v>
      </c>
      <c r="U59" s="1433"/>
    </row>
    <row r="60" spans="2:21" ht="15" x14ac:dyDescent="0.25">
      <c r="B60" s="216"/>
      <c r="E60" s="764"/>
      <c r="G60" s="459"/>
    </row>
    <row r="61" spans="2:21" s="218" customFormat="1" ht="20.85" customHeight="1" x14ac:dyDescent="0.3">
      <c r="B61" s="786" t="s">
        <v>1741</v>
      </c>
      <c r="L61" s="760"/>
    </row>
    <row r="62" spans="2:21" x14ac:dyDescent="0.2">
      <c r="B62" s="184" t="s">
        <v>1742</v>
      </c>
      <c r="C62" s="218">
        <f>50/1000</f>
        <v>0.05</v>
      </c>
      <c r="D62" s="184" t="s">
        <v>1743</v>
      </c>
    </row>
    <row r="63" spans="2:21" x14ac:dyDescent="0.2">
      <c r="B63" s="184" t="s">
        <v>1742</v>
      </c>
      <c r="C63" s="218">
        <v>0.01</v>
      </c>
      <c r="D63" s="184" t="s">
        <v>1744</v>
      </c>
    </row>
    <row r="64" spans="2:21" x14ac:dyDescent="0.2">
      <c r="B64" s="184" t="s">
        <v>1745</v>
      </c>
      <c r="C64" s="218">
        <f>AVERAGE(C62:C63)</f>
        <v>3.0000000000000002E-2</v>
      </c>
    </row>
    <row r="66" spans="2:23" ht="15" x14ac:dyDescent="0.25">
      <c r="B66" t="s">
        <v>1747</v>
      </c>
      <c r="C66" s="26">
        <v>5.0647526000000003</v>
      </c>
      <c r="D66" s="184" t="s">
        <v>1746</v>
      </c>
    </row>
    <row r="67" spans="2:23" ht="15" x14ac:dyDescent="0.25">
      <c r="B67" s="165"/>
      <c r="C67" s="770"/>
      <c r="D67" s="218"/>
    </row>
    <row r="68" spans="2:23" x14ac:dyDescent="0.2">
      <c r="B68" s="218" t="s">
        <v>1748</v>
      </c>
      <c r="C68" s="770">
        <f>C66*C64</f>
        <v>0.15194257800000002</v>
      </c>
      <c r="D68" s="218"/>
    </row>
    <row r="69" spans="2:23" x14ac:dyDescent="0.2">
      <c r="B69" s="218"/>
      <c r="C69" s="218"/>
      <c r="D69" s="218"/>
    </row>
    <row r="70" spans="2:23" ht="24" customHeight="1" x14ac:dyDescent="0.2">
      <c r="B70" s="218"/>
      <c r="C70" s="218"/>
      <c r="D70" s="218"/>
    </row>
    <row r="71" spans="2:23" s="218" customFormat="1" ht="20.85" customHeight="1" x14ac:dyDescent="0.3">
      <c r="B71" s="786" t="s">
        <v>45</v>
      </c>
    </row>
    <row r="72" spans="2:23" customFormat="1" ht="15" x14ac:dyDescent="0.25">
      <c r="B72" s="165"/>
      <c r="C72" s="165"/>
      <c r="D72" s="165"/>
      <c r="K72" s="184"/>
      <c r="L72" s="218"/>
      <c r="M72" s="1394" t="s">
        <v>1147</v>
      </c>
      <c r="N72" s="1394"/>
      <c r="O72" s="1394"/>
      <c r="Q72" s="184"/>
      <c r="R72" s="1394" t="s">
        <v>1148</v>
      </c>
      <c r="S72" s="1394"/>
      <c r="T72" s="1394"/>
      <c r="U72" s="184"/>
      <c r="V72" s="184"/>
      <c r="W72" s="184"/>
    </row>
    <row r="73" spans="2:23" customFormat="1" ht="15" x14ac:dyDescent="0.25">
      <c r="B73" s="165"/>
      <c r="C73" s="165"/>
      <c r="D73" s="165"/>
      <c r="K73" s="184"/>
      <c r="M73" s="184"/>
      <c r="N73" s="184"/>
      <c r="O73" s="184"/>
      <c r="Q73" s="459"/>
      <c r="R73" s="184"/>
      <c r="S73" s="184"/>
      <c r="T73" s="184"/>
      <c r="U73" s="184"/>
      <c r="V73" s="184"/>
      <c r="W73" s="184"/>
    </row>
    <row r="74" spans="2:23" customFormat="1" ht="15" x14ac:dyDescent="0.25">
      <c r="B74" s="165"/>
      <c r="C74" s="165"/>
      <c r="D74" s="165"/>
      <c r="K74" s="184"/>
      <c r="M74" s="216" t="s">
        <v>412</v>
      </c>
      <c r="N74" s="216" t="s">
        <v>422</v>
      </c>
      <c r="O74" s="216" t="s">
        <v>416</v>
      </c>
      <c r="Q74" s="184"/>
      <c r="R74" s="216" t="s">
        <v>412</v>
      </c>
      <c r="S74" s="216" t="s">
        <v>422</v>
      </c>
      <c r="T74" s="216" t="s">
        <v>416</v>
      </c>
      <c r="U74" s="184"/>
      <c r="V74" s="184"/>
      <c r="W74" s="184"/>
    </row>
    <row r="75" spans="2:23" customFormat="1" ht="15" x14ac:dyDescent="0.25">
      <c r="B75" s="165"/>
      <c r="C75" s="165"/>
      <c r="D75" s="165"/>
      <c r="K75" s="184"/>
      <c r="L75" s="771" t="s">
        <v>45</v>
      </c>
      <c r="M75" s="459">
        <f t="shared" ref="M75:O77" si="0">M47+$C$68</f>
        <v>0.26462761597950046</v>
      </c>
      <c r="N75" s="459">
        <f t="shared" si="0"/>
        <v>0.5874627198540886</v>
      </c>
      <c r="O75" s="459">
        <f t="shared" si="0"/>
        <v>1.2404626767868596</v>
      </c>
      <c r="Q75" s="771" t="s">
        <v>45</v>
      </c>
      <c r="R75" s="770">
        <f t="shared" ref="R75:T77" si="1">R47+$C$68</f>
        <v>0.17959392451360323</v>
      </c>
      <c r="S75" s="770">
        <f t="shared" si="1"/>
        <v>0.2546829090765369</v>
      </c>
      <c r="T75" s="770">
        <f t="shared" si="1"/>
        <v>0.40242333451159795</v>
      </c>
      <c r="U75" s="184"/>
      <c r="V75" s="184"/>
      <c r="W75" s="184"/>
    </row>
    <row r="76" spans="2:23" customFormat="1" ht="15" x14ac:dyDescent="0.25">
      <c r="B76" s="165"/>
      <c r="C76" s="165"/>
      <c r="D76" s="165"/>
      <c r="K76" s="184"/>
      <c r="L76" s="771" t="s">
        <v>1527</v>
      </c>
      <c r="M76" s="459">
        <f t="shared" si="0"/>
        <v>0.25466022426750046</v>
      </c>
      <c r="N76" s="459">
        <f t="shared" si="0"/>
        <v>0.51075118777014761</v>
      </c>
      <c r="O76" s="459">
        <f t="shared" si="0"/>
        <v>0.99044726801085958</v>
      </c>
      <c r="Q76" s="771" t="s">
        <v>1527</v>
      </c>
      <c r="R76" s="770">
        <f t="shared" si="1"/>
        <v>0.17813073955140321</v>
      </c>
      <c r="S76" s="770">
        <f t="shared" si="1"/>
        <v>0.24342187274770349</v>
      </c>
      <c r="T76" s="770">
        <f t="shared" si="1"/>
        <v>0.36572177837641462</v>
      </c>
      <c r="U76" s="184"/>
      <c r="V76" s="184"/>
      <c r="W76" s="184"/>
    </row>
    <row r="77" spans="2:23" customFormat="1" ht="15" x14ac:dyDescent="0.25">
      <c r="B77" s="165"/>
      <c r="C77" s="165"/>
      <c r="D77" s="165"/>
      <c r="K77" s="184"/>
      <c r="L77" s="771" t="s">
        <v>390</v>
      </c>
      <c r="M77" s="459">
        <f t="shared" si="0"/>
        <v>0.16190996971200003</v>
      </c>
      <c r="N77" s="459">
        <f t="shared" si="0"/>
        <v>0.22865411008394104</v>
      </c>
      <c r="O77" s="459">
        <f t="shared" si="0"/>
        <v>0.40195798677600003</v>
      </c>
      <c r="Q77" s="771" t="s">
        <v>390</v>
      </c>
      <c r="R77" s="770">
        <f t="shared" si="1"/>
        <v>0.15340576296220002</v>
      </c>
      <c r="S77" s="770">
        <f t="shared" si="1"/>
        <v>0.16320361432883346</v>
      </c>
      <c r="T77" s="770">
        <f t="shared" si="1"/>
        <v>0.18864413413518336</v>
      </c>
      <c r="U77" s="184"/>
      <c r="V77" s="184"/>
      <c r="W77" s="184"/>
    </row>
    <row r="78" spans="2:23" customFormat="1" ht="15" x14ac:dyDescent="0.25">
      <c r="B78" s="165"/>
      <c r="C78" s="165"/>
      <c r="D78" s="165"/>
      <c r="K78" s="184"/>
      <c r="L78" s="459"/>
      <c r="M78" s="459"/>
      <c r="N78" s="459"/>
      <c r="O78" s="459"/>
      <c r="Q78" s="459"/>
      <c r="R78" s="770"/>
      <c r="S78" s="770"/>
      <c r="T78" s="770"/>
      <c r="U78" s="184"/>
      <c r="V78" s="184"/>
      <c r="W78" s="184"/>
    </row>
    <row r="79" spans="2:23" customFormat="1" ht="15" x14ac:dyDescent="0.25">
      <c r="B79" s="165"/>
      <c r="C79" s="165"/>
      <c r="D79" s="165"/>
      <c r="K79" s="184"/>
      <c r="L79" s="459"/>
      <c r="M79" s="459"/>
      <c r="N79" s="459"/>
      <c r="O79" s="459"/>
      <c r="Q79" s="459"/>
      <c r="R79" s="770"/>
      <c r="S79" s="770"/>
      <c r="T79" s="770"/>
      <c r="U79" s="184"/>
      <c r="V79" s="184"/>
      <c r="W79" s="184"/>
    </row>
    <row r="80" spans="2:23" customFormat="1" ht="15" x14ac:dyDescent="0.25">
      <c r="B80" s="165"/>
      <c r="C80" s="165"/>
      <c r="D80" s="165"/>
      <c r="K80" s="184"/>
      <c r="L80" s="771" t="s">
        <v>45</v>
      </c>
      <c r="M80" s="459">
        <f t="shared" ref="M80:O82" si="2">M52+$C$68</f>
        <v>0.29001808426140518</v>
      </c>
      <c r="N80" s="459">
        <f t="shared" si="2"/>
        <v>0.61285318813599343</v>
      </c>
      <c r="O80" s="459">
        <f t="shared" si="2"/>
        <v>1.2658531450687645</v>
      </c>
      <c r="Q80" s="771" t="s">
        <v>45</v>
      </c>
      <c r="R80" s="770">
        <f t="shared" ref="R80:T82" si="3">R52+$C$68</f>
        <v>0.20045300303184788</v>
      </c>
      <c r="S80" s="770">
        <f t="shared" si="3"/>
        <v>0.27554198759478155</v>
      </c>
      <c r="T80" s="770">
        <f t="shared" si="3"/>
        <v>0.4232824130298426</v>
      </c>
      <c r="U80" s="184"/>
      <c r="V80" s="184"/>
      <c r="W80" s="184"/>
    </row>
    <row r="81" spans="11:23" customFormat="1" ht="15" x14ac:dyDescent="0.25">
      <c r="K81" s="184"/>
      <c r="L81" s="771" t="s">
        <v>1527</v>
      </c>
      <c r="M81" s="459">
        <f t="shared" si="2"/>
        <v>0.28005069254940518</v>
      </c>
      <c r="N81" s="459">
        <f t="shared" si="2"/>
        <v>0.53614165605205244</v>
      </c>
      <c r="O81" s="459">
        <f t="shared" si="2"/>
        <v>1.0158377362927644</v>
      </c>
      <c r="Q81" s="771" t="s">
        <v>1527</v>
      </c>
      <c r="R81" s="770">
        <f t="shared" si="3"/>
        <v>0.19898981806964788</v>
      </c>
      <c r="S81" s="770">
        <f t="shared" si="3"/>
        <v>0.26428095126594814</v>
      </c>
      <c r="T81" s="770">
        <f t="shared" si="3"/>
        <v>0.38658085689465926</v>
      </c>
      <c r="U81" s="184"/>
      <c r="V81" s="184"/>
      <c r="W81" s="184"/>
    </row>
    <row r="82" spans="11:23" customFormat="1" ht="15" x14ac:dyDescent="0.25">
      <c r="K82" s="184"/>
      <c r="L82" s="771" t="s">
        <v>390</v>
      </c>
      <c r="M82" s="459">
        <f t="shared" si="2"/>
        <v>0.16190996971200003</v>
      </c>
      <c r="N82" s="459">
        <f t="shared" si="2"/>
        <v>0.22865411008394104</v>
      </c>
      <c r="O82" s="459">
        <f t="shared" si="2"/>
        <v>0.40195798677600003</v>
      </c>
      <c r="Q82" s="771" t="s">
        <v>390</v>
      </c>
      <c r="R82" s="770">
        <f t="shared" si="3"/>
        <v>0.15340576296220002</v>
      </c>
      <c r="S82" s="770">
        <f t="shared" si="3"/>
        <v>0.16320361432883346</v>
      </c>
      <c r="T82" s="770">
        <f t="shared" si="3"/>
        <v>0.18864413413518336</v>
      </c>
      <c r="U82" s="184"/>
      <c r="V82" s="184"/>
      <c r="W82" s="184"/>
    </row>
    <row r="83" spans="11:23" customFormat="1" ht="15" x14ac:dyDescent="0.25">
      <c r="K83" s="184"/>
      <c r="L83" s="459"/>
      <c r="M83" s="459"/>
      <c r="N83" s="459"/>
      <c r="O83" s="459"/>
      <c r="Q83" s="459"/>
      <c r="R83" s="770"/>
      <c r="S83" s="770"/>
      <c r="T83" s="770"/>
      <c r="U83" s="184"/>
      <c r="V83" s="184"/>
      <c r="W83" s="184"/>
    </row>
    <row r="84" spans="11:23" customFormat="1" ht="15" x14ac:dyDescent="0.25">
      <c r="K84" s="184"/>
      <c r="L84" s="184"/>
      <c r="M84" s="459"/>
      <c r="N84" s="459"/>
      <c r="O84" s="459"/>
      <c r="Q84" s="184"/>
      <c r="R84" s="770"/>
      <c r="S84" s="770"/>
      <c r="T84" s="770"/>
      <c r="U84" s="184"/>
      <c r="V84" s="184"/>
      <c r="W84" s="184"/>
    </row>
    <row r="85" spans="11:23" customFormat="1" ht="15" x14ac:dyDescent="0.25">
      <c r="K85" s="184"/>
      <c r="L85" s="771" t="s">
        <v>45</v>
      </c>
      <c r="M85" s="459">
        <f t="shared" ref="M85:O87" si="4">M57+$C$68</f>
        <v>0.3700283794008411</v>
      </c>
      <c r="N85" s="459">
        <f>N57+$C$68</f>
        <v>0.69286348327542924</v>
      </c>
      <c r="O85" s="459">
        <f t="shared" si="4"/>
        <v>1.3458634402082004</v>
      </c>
      <c r="Q85" s="771" t="s">
        <v>45</v>
      </c>
      <c r="R85" s="770">
        <f t="shared" ref="R85:T87" si="5">R57+$C$68</f>
        <v>0.22405878578212013</v>
      </c>
      <c r="S85" s="770">
        <f t="shared" si="5"/>
        <v>0.2991477703450538</v>
      </c>
      <c r="T85" s="770">
        <f t="shared" si="5"/>
        <v>0.44688819578011485</v>
      </c>
      <c r="U85" s="184"/>
      <c r="V85" s="184"/>
      <c r="W85" s="184"/>
    </row>
    <row r="86" spans="11:23" customFormat="1" ht="15" x14ac:dyDescent="0.25">
      <c r="K86" s="184"/>
      <c r="L86" s="771" t="s">
        <v>1527</v>
      </c>
      <c r="M86" s="459">
        <f t="shared" si="4"/>
        <v>0.29762870905226235</v>
      </c>
      <c r="N86" s="459">
        <f t="shared" si="4"/>
        <v>0.5537196725549095</v>
      </c>
      <c r="O86" s="459">
        <f t="shared" si="4"/>
        <v>1.0334157527956216</v>
      </c>
      <c r="Q86" s="771" t="s">
        <v>1527</v>
      </c>
      <c r="R86" s="770">
        <f t="shared" si="5"/>
        <v>0.21343071858227877</v>
      </c>
      <c r="S86" s="770">
        <f t="shared" si="5"/>
        <v>0.278721851778579</v>
      </c>
      <c r="T86" s="770">
        <f t="shared" si="5"/>
        <v>0.40102175740729018</v>
      </c>
      <c r="U86" s="184"/>
      <c r="V86" s="184"/>
      <c r="W86" s="184"/>
    </row>
    <row r="87" spans="11:23" customFormat="1" ht="15" x14ac:dyDescent="0.25">
      <c r="L87" s="771" t="s">
        <v>390</v>
      </c>
      <c r="M87" s="459">
        <f t="shared" si="4"/>
        <v>0.22434224834857874</v>
      </c>
      <c r="N87" s="459">
        <f t="shared" si="4"/>
        <v>0.29108638872051973</v>
      </c>
      <c r="O87" s="459">
        <f t="shared" si="4"/>
        <v>0.46439026541257877</v>
      </c>
      <c r="Q87" s="771" t="s">
        <v>390</v>
      </c>
      <c r="R87" s="770">
        <f t="shared" si="5"/>
        <v>0.16257064519984135</v>
      </c>
      <c r="S87" s="770">
        <f t="shared" si="5"/>
        <v>0.17236849656647479</v>
      </c>
      <c r="T87" s="770">
        <f t="shared" si="5"/>
        <v>0.19780901637282469</v>
      </c>
    </row>
    <row r="88" spans="11:23" customFormat="1" ht="15" x14ac:dyDescent="0.25"/>
    <row r="89" spans="11:23" customFormat="1" ht="15" x14ac:dyDescent="0.25"/>
    <row r="90" spans="11:23" customFormat="1" ht="15" x14ac:dyDescent="0.25"/>
    <row r="91" spans="11:23" customFormat="1" ht="15" x14ac:dyDescent="0.25"/>
    <row r="92" spans="11:23" customFormat="1" ht="15" x14ac:dyDescent="0.25"/>
    <row r="93" spans="11:23" customFormat="1" ht="15" x14ac:dyDescent="0.25"/>
    <row r="94" spans="11:23" customFormat="1" ht="15" x14ac:dyDescent="0.25"/>
    <row r="97" spans="5:5" x14ac:dyDescent="0.2">
      <c r="E97" s="184" t="s">
        <v>3</v>
      </c>
    </row>
    <row r="98" spans="5:5" x14ac:dyDescent="0.2">
      <c r="E98" s="184" t="s">
        <v>3</v>
      </c>
    </row>
  </sheetData>
  <mergeCells count="8">
    <mergeCell ref="U46:U59"/>
    <mergeCell ref="M72:O72"/>
    <mergeCell ref="R72:T72"/>
    <mergeCell ref="R44:T44"/>
    <mergeCell ref="B7:B8"/>
    <mergeCell ref="E5:F5"/>
    <mergeCell ref="M44:O44"/>
    <mergeCell ref="P46:P59"/>
  </mergeCells>
  <conditionalFormatting sqref="G14">
    <cfRule type="colorScale" priority="48">
      <colorScale>
        <cfvo type="min"/>
        <cfvo type="max"/>
        <color rgb="FFFCFCFF"/>
        <color rgb="FFF8696B"/>
      </colorScale>
    </cfRule>
  </conditionalFormatting>
  <conditionalFormatting sqref="M47:O49">
    <cfRule type="colorScale" priority="43">
      <colorScale>
        <cfvo type="min"/>
        <cfvo type="max"/>
        <color rgb="FFFCFCFF"/>
        <color rgb="FFF8696B"/>
      </colorScale>
    </cfRule>
  </conditionalFormatting>
  <conditionalFormatting sqref="M53:O53">
    <cfRule type="colorScale" priority="42">
      <colorScale>
        <cfvo type="min"/>
        <cfvo type="max"/>
        <color rgb="FFFCFCFF"/>
        <color rgb="FFF8696B"/>
      </colorScale>
    </cfRule>
  </conditionalFormatting>
  <conditionalFormatting sqref="M54:O54">
    <cfRule type="colorScale" priority="41">
      <colorScale>
        <cfvo type="min"/>
        <cfvo type="max"/>
        <color rgb="FFFCFCFF"/>
        <color rgb="FFF8696B"/>
      </colorScale>
    </cfRule>
  </conditionalFormatting>
  <conditionalFormatting sqref="M52:O52">
    <cfRule type="colorScale" priority="40">
      <colorScale>
        <cfvo type="min"/>
        <cfvo type="max"/>
        <color rgb="FFFCFCFF"/>
        <color rgb="FFF8696B"/>
      </colorScale>
    </cfRule>
  </conditionalFormatting>
  <conditionalFormatting sqref="M47:O54">
    <cfRule type="colorScale" priority="39">
      <colorScale>
        <cfvo type="min"/>
        <cfvo type="max"/>
        <color rgb="FFFCFCFF"/>
        <color rgb="FFF8696B"/>
      </colorScale>
    </cfRule>
  </conditionalFormatting>
  <conditionalFormatting sqref="M58:O58">
    <cfRule type="colorScale" priority="38">
      <colorScale>
        <cfvo type="min"/>
        <cfvo type="max"/>
        <color rgb="FFFCFCFF"/>
        <color rgb="FFF8696B"/>
      </colorScale>
    </cfRule>
  </conditionalFormatting>
  <conditionalFormatting sqref="M59:O59">
    <cfRule type="colorScale" priority="37">
      <colorScale>
        <cfvo type="min"/>
        <cfvo type="max"/>
        <color rgb="FFFCFCFF"/>
        <color rgb="FFF8696B"/>
      </colorScale>
    </cfRule>
  </conditionalFormatting>
  <conditionalFormatting sqref="M57:O57">
    <cfRule type="colorScale" priority="36">
      <colorScale>
        <cfvo type="min"/>
        <cfvo type="max"/>
        <color rgb="FFFCFCFF"/>
        <color rgb="FFF8696B"/>
      </colorScale>
    </cfRule>
  </conditionalFormatting>
  <conditionalFormatting sqref="M57:O59">
    <cfRule type="colorScale" priority="35">
      <colorScale>
        <cfvo type="min"/>
        <cfvo type="max"/>
        <color rgb="FFFCFCFF"/>
        <color rgb="FFF8696B"/>
      </colorScale>
    </cfRule>
  </conditionalFormatting>
  <conditionalFormatting sqref="M75:O87">
    <cfRule type="colorScale" priority="34">
      <colorScale>
        <cfvo type="min"/>
        <cfvo type="max"/>
        <color rgb="FFFCFCFF"/>
        <color rgb="FFF8696B"/>
      </colorScale>
    </cfRule>
  </conditionalFormatting>
  <conditionalFormatting sqref="E7:E41">
    <cfRule type="colorScale" priority="31">
      <colorScale>
        <cfvo type="min"/>
        <cfvo type="max"/>
        <color rgb="FFFCFCFF"/>
        <color rgb="FFFFC000"/>
      </colorScale>
    </cfRule>
  </conditionalFormatting>
  <conditionalFormatting sqref="R47:T49">
    <cfRule type="colorScale" priority="30">
      <colorScale>
        <cfvo type="min"/>
        <cfvo type="max"/>
        <color rgb="FFFCFCFF"/>
        <color rgb="FFF8696B"/>
      </colorScale>
    </cfRule>
  </conditionalFormatting>
  <conditionalFormatting sqref="R53:T53">
    <cfRule type="colorScale" priority="29">
      <colorScale>
        <cfvo type="min"/>
        <cfvo type="max"/>
        <color rgb="FFFCFCFF"/>
        <color rgb="FFF8696B"/>
      </colorScale>
    </cfRule>
  </conditionalFormatting>
  <conditionalFormatting sqref="R54:T54">
    <cfRule type="colorScale" priority="28">
      <colorScale>
        <cfvo type="min"/>
        <cfvo type="max"/>
        <color rgb="FFFCFCFF"/>
        <color rgb="FFF8696B"/>
      </colorScale>
    </cfRule>
  </conditionalFormatting>
  <conditionalFormatting sqref="R52:T52">
    <cfRule type="colorScale" priority="27">
      <colorScale>
        <cfvo type="min"/>
        <cfvo type="max"/>
        <color rgb="FFFCFCFF"/>
        <color rgb="FFF8696B"/>
      </colorScale>
    </cfRule>
  </conditionalFormatting>
  <conditionalFormatting sqref="R47:T54">
    <cfRule type="colorScale" priority="26">
      <colorScale>
        <cfvo type="min"/>
        <cfvo type="max"/>
        <color rgb="FFFCFCFF"/>
        <color rgb="FFF8696B"/>
      </colorScale>
    </cfRule>
  </conditionalFormatting>
  <conditionalFormatting sqref="R57:T57">
    <cfRule type="colorScale" priority="23">
      <colorScale>
        <cfvo type="min"/>
        <cfvo type="max"/>
        <color rgb="FFFCFCFF"/>
        <color rgb="FFF8696B"/>
      </colorScale>
    </cfRule>
  </conditionalFormatting>
  <conditionalFormatting sqref="R57:T57">
    <cfRule type="colorScale" priority="22">
      <colorScale>
        <cfvo type="min"/>
        <cfvo type="max"/>
        <color rgb="FFFCFCFF"/>
        <color rgb="FFF8696B"/>
      </colorScale>
    </cfRule>
  </conditionalFormatting>
  <conditionalFormatting sqref="R53:T54">
    <cfRule type="colorScale" priority="21">
      <colorScale>
        <cfvo type="min"/>
        <cfvo type="max"/>
        <color rgb="FFFCFCFF"/>
        <color rgb="FFF8696B"/>
      </colorScale>
    </cfRule>
  </conditionalFormatting>
  <conditionalFormatting sqref="R58:T58">
    <cfRule type="colorScale" priority="20">
      <colorScale>
        <cfvo type="min"/>
        <cfvo type="max"/>
        <color rgb="FFFCFCFF"/>
        <color rgb="FFF8696B"/>
      </colorScale>
    </cfRule>
  </conditionalFormatting>
  <conditionalFormatting sqref="R59:T59">
    <cfRule type="colorScale" priority="19">
      <colorScale>
        <cfvo type="min"/>
        <cfvo type="max"/>
        <color rgb="FFFCFCFF"/>
        <color rgb="FFF8696B"/>
      </colorScale>
    </cfRule>
  </conditionalFormatting>
  <conditionalFormatting sqref="R58:T59">
    <cfRule type="colorScale" priority="18">
      <colorScale>
        <cfvo type="min"/>
        <cfvo type="max"/>
        <color rgb="FFFCFCFF"/>
        <color rgb="FFF8696B"/>
      </colorScale>
    </cfRule>
  </conditionalFormatting>
  <conditionalFormatting sqref="R58:T59">
    <cfRule type="colorScale" priority="17">
      <colorScale>
        <cfvo type="min"/>
        <cfvo type="max"/>
        <color rgb="FFFCFCFF"/>
        <color rgb="FFF8696B"/>
      </colorScale>
    </cfRule>
  </conditionalFormatting>
  <conditionalFormatting sqref="M46:T46 Q45 R44:T44 M44:O44 Q47:T59 M47:O59">
    <cfRule type="colorScale" priority="16">
      <colorScale>
        <cfvo type="min"/>
        <cfvo type="max"/>
        <color rgb="FFFCFCFF"/>
        <color rgb="FFF8696B"/>
      </colorScale>
    </cfRule>
  </conditionalFormatting>
  <conditionalFormatting sqref="M74:O74 M72:O72">
    <cfRule type="colorScale" priority="15">
      <colorScale>
        <cfvo type="min"/>
        <cfvo type="max"/>
        <color rgb="FFFCFCFF"/>
        <color rgb="FFF8696B"/>
      </colorScale>
    </cfRule>
  </conditionalFormatting>
  <conditionalFormatting sqref="R75:T87">
    <cfRule type="colorScale" priority="14">
      <colorScale>
        <cfvo type="min"/>
        <cfvo type="max"/>
        <color rgb="FFFCFCFF"/>
        <color rgb="FFF8696B"/>
      </colorScale>
    </cfRule>
  </conditionalFormatting>
  <conditionalFormatting sqref="R81:T81">
    <cfRule type="colorScale" priority="13">
      <colorScale>
        <cfvo type="min"/>
        <cfvo type="max"/>
        <color rgb="FFFCFCFF"/>
        <color rgb="FFF8696B"/>
      </colorScale>
    </cfRule>
  </conditionalFormatting>
  <conditionalFormatting sqref="R82:T82">
    <cfRule type="colorScale" priority="12">
      <colorScale>
        <cfvo type="min"/>
        <cfvo type="max"/>
        <color rgb="FFFCFCFF"/>
        <color rgb="FFF8696B"/>
      </colorScale>
    </cfRule>
  </conditionalFormatting>
  <conditionalFormatting sqref="R80:T80">
    <cfRule type="colorScale" priority="11">
      <colorScale>
        <cfvo type="min"/>
        <cfvo type="max"/>
        <color rgb="FFFCFCFF"/>
        <color rgb="FFF8696B"/>
      </colorScale>
    </cfRule>
  </conditionalFormatting>
  <conditionalFormatting sqref="R75:T87">
    <cfRule type="colorScale" priority="10">
      <colorScale>
        <cfvo type="min"/>
        <cfvo type="max"/>
        <color rgb="FFFCFCFF"/>
        <color rgb="FFF8696B"/>
      </colorScale>
    </cfRule>
  </conditionalFormatting>
  <conditionalFormatting sqref="R85:T85">
    <cfRule type="colorScale" priority="9">
      <colorScale>
        <cfvo type="min"/>
        <cfvo type="max"/>
        <color rgb="FFFCFCFF"/>
        <color rgb="FFF8696B"/>
      </colorScale>
    </cfRule>
  </conditionalFormatting>
  <conditionalFormatting sqref="R85:T85">
    <cfRule type="colorScale" priority="8">
      <colorScale>
        <cfvo type="min"/>
        <cfvo type="max"/>
        <color rgb="FFFCFCFF"/>
        <color rgb="FFF8696B"/>
      </colorScale>
    </cfRule>
  </conditionalFormatting>
  <conditionalFormatting sqref="R81:T82">
    <cfRule type="colorScale" priority="7">
      <colorScale>
        <cfvo type="min"/>
        <cfvo type="max"/>
        <color rgb="FFFCFCFF"/>
        <color rgb="FFF8696B"/>
      </colorScale>
    </cfRule>
  </conditionalFormatting>
  <conditionalFormatting sqref="R86:T86">
    <cfRule type="colorScale" priority="6">
      <colorScale>
        <cfvo type="min"/>
        <cfvo type="max"/>
        <color rgb="FFFCFCFF"/>
        <color rgb="FFF8696B"/>
      </colorScale>
    </cfRule>
  </conditionalFormatting>
  <conditionalFormatting sqref="R87:T87">
    <cfRule type="colorScale" priority="5">
      <colorScale>
        <cfvo type="min"/>
        <cfvo type="max"/>
        <color rgb="FFFCFCFF"/>
        <color rgb="FFF8696B"/>
      </colorScale>
    </cfRule>
  </conditionalFormatting>
  <conditionalFormatting sqref="R86:T87">
    <cfRule type="colorScale" priority="4">
      <colorScale>
        <cfvo type="min"/>
        <cfvo type="max"/>
        <color rgb="FFFCFCFF"/>
        <color rgb="FFF8696B"/>
      </colorScale>
    </cfRule>
  </conditionalFormatting>
  <conditionalFormatting sqref="R86:T87">
    <cfRule type="colorScale" priority="3">
      <colorScale>
        <cfvo type="min"/>
        <cfvo type="max"/>
        <color rgb="FFFCFCFF"/>
        <color rgb="FFF8696B"/>
      </colorScale>
    </cfRule>
  </conditionalFormatting>
  <conditionalFormatting sqref="R72:T72 Q73 Q74:T87">
    <cfRule type="colorScale" priority="2">
      <colorScale>
        <cfvo type="min"/>
        <cfvo type="max"/>
        <color rgb="FFFCFCFF"/>
        <color rgb="FFF8696B"/>
      </colorScale>
    </cfRule>
  </conditionalFormatting>
  <conditionalFormatting sqref="M46:T87">
    <cfRule type="colorScale" priority="1">
      <colorScale>
        <cfvo type="min"/>
        <cfvo type="max"/>
        <color rgb="FFFCFCFF"/>
        <color rgb="FFF8696B"/>
      </colorScale>
    </cfRule>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A59EE-EB73-493A-BA2A-8CFFBE5337E4}">
  <sheetPr>
    <tabColor rgb="FF663300"/>
  </sheetPr>
  <dimension ref="B2:AB69"/>
  <sheetViews>
    <sheetView zoomScale="70" zoomScaleNormal="70" workbookViewId="0">
      <selection activeCell="F46" sqref="F46"/>
    </sheetView>
  </sheetViews>
  <sheetFormatPr defaultColWidth="9" defaultRowHeight="14.25" x14ac:dyDescent="0.2"/>
  <cols>
    <col min="1" max="1" width="2.42578125" style="184" customWidth="1"/>
    <col min="2" max="2" width="14.42578125" style="184" customWidth="1"/>
    <col min="3" max="16" width="13.140625" style="184" customWidth="1"/>
    <col min="17" max="19" width="9" style="184"/>
    <col min="20" max="20" width="8.28515625" style="184" customWidth="1"/>
    <col min="21" max="16384" width="9" style="184"/>
  </cols>
  <sheetData>
    <row r="2" spans="2:16" ht="34.5" customHeight="1" x14ac:dyDescent="0.2">
      <c r="B2" s="1379" t="s">
        <v>417</v>
      </c>
      <c r="C2" s="1379"/>
      <c r="D2" s="1379"/>
      <c r="E2" s="1379"/>
      <c r="F2" s="1379"/>
      <c r="G2" s="286"/>
      <c r="H2" s="183"/>
      <c r="I2" s="183"/>
      <c r="J2" s="183"/>
    </row>
    <row r="3" spans="2:16" ht="23.25" customHeight="1" x14ac:dyDescent="0.2">
      <c r="B3" s="1440" t="str">
        <f>'S2.9 overview inventory '!P122</f>
        <v>corresponding to waste input, as inert gas does not participate in reactions</v>
      </c>
      <c r="C3" s="1440"/>
      <c r="D3" s="1440"/>
      <c r="E3" s="1440"/>
      <c r="F3" s="1440"/>
      <c r="G3" s="219"/>
    </row>
    <row r="4" spans="2:16" ht="34.5" customHeight="1" thickBot="1" x14ac:dyDescent="0.25">
      <c r="B4" s="1379" t="s">
        <v>419</v>
      </c>
      <c r="C4" s="1379"/>
      <c r="D4" s="1379"/>
      <c r="E4" s="1379"/>
      <c r="F4" s="1379"/>
      <c r="G4" s="286"/>
      <c r="H4" s="183"/>
      <c r="I4" s="183"/>
      <c r="J4" s="183"/>
    </row>
    <row r="5" spans="2:16" ht="15.75" thickBot="1" x14ac:dyDescent="0.3">
      <c r="B5" s="495"/>
      <c r="C5" s="540" t="s">
        <v>421</v>
      </c>
      <c r="D5" s="541" t="s">
        <v>422</v>
      </c>
      <c r="E5" s="542" t="s">
        <v>423</v>
      </c>
      <c r="G5"/>
      <c r="H5" s="189"/>
      <c r="I5" s="189"/>
      <c r="J5" s="189"/>
    </row>
    <row r="6" spans="2:16" ht="15" x14ac:dyDescent="0.25">
      <c r="B6" s="537" t="s">
        <v>425</v>
      </c>
      <c r="C6" s="191">
        <v>0.77</v>
      </c>
      <c r="D6" s="191">
        <v>0.59</v>
      </c>
      <c r="E6" s="191">
        <v>0.36499999999999999</v>
      </c>
      <c r="G6"/>
      <c r="H6" s="189"/>
      <c r="I6" s="189"/>
      <c r="J6" s="189"/>
    </row>
    <row r="7" spans="2:16" ht="15" x14ac:dyDescent="0.25">
      <c r="B7" s="538" t="s">
        <v>426</v>
      </c>
      <c r="C7" s="193">
        <v>0.11499999999999999</v>
      </c>
      <c r="D7" s="193">
        <v>0.20500000000000002</v>
      </c>
      <c r="E7" s="193">
        <v>0.3175</v>
      </c>
      <c r="G7"/>
      <c r="H7" s="194"/>
      <c r="I7" s="194"/>
      <c r="J7" s="194"/>
    </row>
    <row r="8" spans="2:16" ht="15.75" thickBot="1" x14ac:dyDescent="0.3">
      <c r="B8" s="539" t="s">
        <v>427</v>
      </c>
      <c r="C8" s="196">
        <v>0.11499999999999999</v>
      </c>
      <c r="D8" s="196">
        <v>0.20500000000000002</v>
      </c>
      <c r="E8" s="196">
        <v>0.3175</v>
      </c>
      <c r="F8" s="19"/>
      <c r="G8"/>
      <c r="H8" s="194"/>
      <c r="I8" s="194"/>
      <c r="J8" s="194"/>
    </row>
    <row r="9" spans="2:16" ht="87.75" customHeight="1" x14ac:dyDescent="0.2">
      <c r="B9" s="1366" t="str">
        <f>'S2.9 overview inventory '!P61</f>
        <v>liquid share: upper quartile, median, and lower quartile of shares from literature review used for high, intermediate, and low liquid yield, respectively;
gas and char shares: remaining product amount equally divided between gas and char product based on literature review</v>
      </c>
      <c r="C9" s="1366"/>
      <c r="D9" s="1366"/>
      <c r="E9" s="1366"/>
      <c r="F9" s="1380"/>
      <c r="G9" s="285"/>
      <c r="H9" s="197"/>
      <c r="I9" s="197"/>
      <c r="J9" s="284"/>
    </row>
    <row r="10" spans="2:16" ht="34.5" customHeight="1" x14ac:dyDescent="0.2">
      <c r="B10" s="1379" t="s">
        <v>428</v>
      </c>
      <c r="C10" s="1379"/>
      <c r="D10" s="1379"/>
      <c r="E10" s="1379"/>
      <c r="F10" s="1379"/>
      <c r="G10" s="1379"/>
      <c r="H10" s="1379"/>
      <c r="I10" s="1379"/>
      <c r="J10" s="1379"/>
      <c r="K10" s="1379"/>
      <c r="L10" s="1379"/>
      <c r="M10" s="1379"/>
    </row>
    <row r="11" spans="2:16" ht="32.25" customHeight="1" thickBot="1" x14ac:dyDescent="0.3">
      <c r="B11" s="199"/>
      <c r="C11" s="218"/>
      <c r="D11" s="534"/>
      <c r="H11"/>
      <c r="I11"/>
      <c r="J11"/>
      <c r="K11"/>
      <c r="L11"/>
      <c r="M11"/>
      <c r="N11"/>
      <c r="O11"/>
      <c r="P11"/>
    </row>
    <row r="12" spans="2:16" ht="27.95" customHeight="1" x14ac:dyDescent="0.25">
      <c r="B12" s="1381" t="s">
        <v>432</v>
      </c>
      <c r="C12" s="1365" t="s">
        <v>2000</v>
      </c>
      <c r="D12" s="1468"/>
      <c r="E12" s="1469" t="s">
        <v>1571</v>
      </c>
      <c r="F12" s="1365"/>
      <c r="G12" s="1365"/>
      <c r="H12" s="1468"/>
      <c r="I12"/>
      <c r="J12"/>
      <c r="K12"/>
      <c r="L12"/>
      <c r="M12"/>
      <c r="N12"/>
      <c r="O12"/>
    </row>
    <row r="13" spans="2:16" ht="73.5" customHeight="1" x14ac:dyDescent="0.25">
      <c r="B13" s="1382"/>
      <c r="C13" s="283" t="s">
        <v>1147</v>
      </c>
      <c r="D13" s="344" t="s">
        <v>1148</v>
      </c>
      <c r="E13" s="516" t="s">
        <v>429</v>
      </c>
      <c r="F13" s="517" t="s">
        <v>430</v>
      </c>
      <c r="G13" s="533" t="s">
        <v>1650</v>
      </c>
      <c r="H13" s="1179" t="s">
        <v>1576</v>
      </c>
      <c r="I13" t="s">
        <v>3</v>
      </c>
      <c r="J13"/>
      <c r="K13"/>
      <c r="L13"/>
      <c r="M13"/>
      <c r="N13"/>
      <c r="O13"/>
    </row>
    <row r="14" spans="2:16" ht="13.9" customHeight="1" x14ac:dyDescent="0.25">
      <c r="B14" s="502" t="s">
        <v>434</v>
      </c>
      <c r="C14" s="504">
        <f>VLOOKUP(B14,'S2.6 energy demand chemicals'!I3:T32,6,FALSE)</f>
        <v>1.5734926978743702</v>
      </c>
      <c r="D14" s="509">
        <f>VLOOKUP(B14,'S2.6 energy demand chemicals'!I3:T32,11,FALSE)</f>
        <v>0.41324121720321449</v>
      </c>
      <c r="E14" s="512">
        <v>0.59199999999999997</v>
      </c>
      <c r="F14" s="512">
        <v>7.1428571428571425E-2</v>
      </c>
      <c r="G14" s="1461"/>
      <c r="H14" s="588" t="s">
        <v>1147</v>
      </c>
      <c r="I14" t="s">
        <v>3</v>
      </c>
      <c r="J14"/>
      <c r="K14"/>
      <c r="L14"/>
      <c r="M14"/>
      <c r="N14"/>
      <c r="O14"/>
    </row>
    <row r="15" spans="2:16" ht="13.5" customHeight="1" x14ac:dyDescent="0.25">
      <c r="B15" s="200" t="s">
        <v>436</v>
      </c>
      <c r="C15" s="215">
        <f>VLOOKUP(B15,'S2.6 energy demand chemicals'!I4:T32,6,FALSE)</f>
        <v>1.1776123351790404</v>
      </c>
      <c r="D15" s="510">
        <f>VLOOKUP(B15,'S2.6 energy demand chemicals'!I4:T32,11,FALSE)</f>
        <v>0.35025638327585207</v>
      </c>
      <c r="E15" s="512">
        <v>0.214</v>
      </c>
      <c r="F15" s="512">
        <v>7.1428571428571425E-2</v>
      </c>
      <c r="G15" s="1462"/>
      <c r="H15" s="340" t="s">
        <v>1583</v>
      </c>
      <c r="I15" t="s">
        <v>3</v>
      </c>
      <c r="J15"/>
      <c r="K15"/>
      <c r="L15"/>
      <c r="M15"/>
      <c r="N15"/>
      <c r="O15"/>
    </row>
    <row r="16" spans="2:16" ht="13.5" customHeight="1" x14ac:dyDescent="0.25">
      <c r="B16" s="200" t="s">
        <v>437</v>
      </c>
      <c r="C16" s="215">
        <f>VLOOKUP(B16,'S2.6 energy demand chemicals'!I5:T53,6,FALSE)</f>
        <v>1.1776123351790404</v>
      </c>
      <c r="D16" s="510">
        <f>VLOOKUP(B16,'S2.6 energy demand chemicals'!I5:T53,11,FALSE)</f>
        <v>0.35025638327585207</v>
      </c>
      <c r="E16" s="512">
        <v>0.115</v>
      </c>
      <c r="F16" s="512">
        <v>7.1428571428571425E-2</v>
      </c>
      <c r="G16" s="1462"/>
      <c r="H16" s="340" t="s">
        <v>1582</v>
      </c>
      <c r="I16" t="s">
        <v>3</v>
      </c>
      <c r="J16"/>
      <c r="K16"/>
      <c r="L16"/>
      <c r="M16"/>
      <c r="N16"/>
      <c r="O16"/>
    </row>
    <row r="17" spans="2:16" ht="13.5" customHeight="1" x14ac:dyDescent="0.25">
      <c r="B17" s="200" t="s">
        <v>439</v>
      </c>
      <c r="C17" s="215">
        <f>VLOOKUP(B17,'S2.6 energy demand chemicals'!I7:T55,6,FALSE)</f>
        <v>1.0593672260278109</v>
      </c>
      <c r="D17" s="510">
        <f>VLOOKUP(B17,'S2.6 energy demand chemicals'!I7:T55,11,FALSE)</f>
        <v>0.20723447325870875</v>
      </c>
      <c r="E17" s="512">
        <v>6.2000000000000055E-2</v>
      </c>
      <c r="F17" s="512">
        <v>7.1428571428571425E-2</v>
      </c>
      <c r="G17" s="1462"/>
      <c r="H17" s="340">
        <f>'S2.6 energy demand chemicals'!N29</f>
        <v>0.46142804650279923</v>
      </c>
      <c r="I17" t="s">
        <v>3</v>
      </c>
      <c r="J17"/>
      <c r="K17"/>
      <c r="L17"/>
      <c r="M17"/>
      <c r="N17"/>
      <c r="O17"/>
    </row>
    <row r="18" spans="2:16" ht="13.5" customHeight="1" x14ac:dyDescent="0.25">
      <c r="B18" s="200" t="s">
        <v>443</v>
      </c>
      <c r="C18" s="215">
        <f>AVERAGE('S2.6 energy demand chemicals'!N8,'S2.6 energy demand chemicals'!N9,'S2.6 energy demand chemicals'!N10)</f>
        <v>0.99646402705255355</v>
      </c>
      <c r="D18" s="510">
        <f>AVERAGE('S2.6 energy demand chemicals'!T8,'S2.6 energy demand chemicals'!T9,'S2.6 energy demand chemicals'!T10)</f>
        <v>0.88985292961289442</v>
      </c>
      <c r="E18" s="589">
        <f>1-SUM(E14:E17)</f>
        <v>1.7000000000000015E-2</v>
      </c>
      <c r="F18" s="512">
        <v>7.1428571428571425E-2</v>
      </c>
      <c r="G18" s="1462"/>
      <c r="H18" s="590" t="s">
        <v>1148</v>
      </c>
      <c r="I18" t="s">
        <v>3</v>
      </c>
      <c r="J18"/>
      <c r="K18"/>
      <c r="L18"/>
      <c r="M18"/>
      <c r="N18"/>
      <c r="O18"/>
    </row>
    <row r="19" spans="2:16" ht="13.5" customHeight="1" x14ac:dyDescent="0.25">
      <c r="B19" s="200" t="s">
        <v>438</v>
      </c>
      <c r="C19" s="215">
        <f>VLOOKUP(B19,'S2.6 energy demand chemicals'!I6:T54,6,FALSE)</f>
        <v>0.95557080208105938</v>
      </c>
      <c r="D19" s="510">
        <f>VLOOKUP(B19,'S2.6 energy demand chemicals'!I6:T54,11,FALSE)</f>
        <v>0.29493475704586525</v>
      </c>
      <c r="E19" s="512">
        <v>0</v>
      </c>
      <c r="F19" s="512">
        <v>7.1428571428571425E-2</v>
      </c>
      <c r="G19" s="1462"/>
      <c r="H19" s="340" t="s">
        <v>2004</v>
      </c>
      <c r="I19" t="s">
        <v>3</v>
      </c>
      <c r="J19"/>
      <c r="K19"/>
      <c r="L19"/>
      <c r="M19"/>
      <c r="N19"/>
      <c r="O19"/>
    </row>
    <row r="20" spans="2:16" ht="13.5" customHeight="1" x14ac:dyDescent="0.25">
      <c r="B20" s="200" t="s">
        <v>444</v>
      </c>
      <c r="C20" s="215">
        <f>'S2.6 energy demand chemicals'!N28</f>
        <v>0.80779675340728374</v>
      </c>
      <c r="D20" s="510">
        <f>'S2.6 energy demand chemicals'!T28</f>
        <v>0.80323233343024114</v>
      </c>
      <c r="E20" s="512">
        <v>0</v>
      </c>
      <c r="F20" s="512">
        <v>7.1428571428571425E-2</v>
      </c>
      <c r="G20" s="1462"/>
      <c r="H20" s="1175">
        <f>'S2.7 energy recovery calc'!A5*'S2.7 energy recovery calc'!B25</f>
        <v>29.609999999999996</v>
      </c>
      <c r="I20" t="s">
        <v>3</v>
      </c>
      <c r="J20"/>
      <c r="K20"/>
      <c r="L20"/>
      <c r="M20"/>
      <c r="N20"/>
      <c r="O20"/>
    </row>
    <row r="21" spans="2:16" ht="13.5" customHeight="1" x14ac:dyDescent="0.25">
      <c r="B21" s="200" t="s">
        <v>442</v>
      </c>
      <c r="C21" s="215">
        <f>VLOOKUP(B21,'S2.6 energy demand chemicals'!I10:T58,6,FALSE)</f>
        <v>0.79169993847190745</v>
      </c>
      <c r="D21" s="510">
        <f>VLOOKUP(B21,'S2.6 energy demand chemicals'!I10:T58,11,FALSE)</f>
        <v>0.20606457985506324</v>
      </c>
      <c r="E21" s="512">
        <v>0</v>
      </c>
      <c r="F21" s="512">
        <v>7.1428571428571425E-2</v>
      </c>
      <c r="G21" s="1462"/>
      <c r="H21" s="1130" t="s">
        <v>2005</v>
      </c>
      <c r="I21" t="s">
        <v>3</v>
      </c>
      <c r="J21"/>
      <c r="K21"/>
      <c r="L21"/>
      <c r="M21"/>
      <c r="N21"/>
      <c r="O21"/>
    </row>
    <row r="22" spans="2:16" ht="13.5" customHeight="1" x14ac:dyDescent="0.25">
      <c r="B22" s="200" t="s">
        <v>446</v>
      </c>
      <c r="C22" s="215">
        <f>VLOOKUP(B22,'S2.6 energy demand chemicals'!I14:T62,6,FALSE)</f>
        <v>0.75599511942237074</v>
      </c>
      <c r="D22" s="510">
        <f>VLOOKUP(B22,'S2.6 energy demand chemicals'!I14:T62,11,FALSE)</f>
        <v>0.16376894991032626</v>
      </c>
      <c r="E22" s="512">
        <v>0</v>
      </c>
      <c r="F22" s="512">
        <v>7.1428571428571425E-2</v>
      </c>
      <c r="G22" s="1462"/>
      <c r="H22" s="1175">
        <f>'S2.7 energy recovery calc'!A4*'S2.7 energy recovery calc'!B25</f>
        <v>6.3449999999999998</v>
      </c>
      <c r="I22" t="s">
        <v>3</v>
      </c>
      <c r="J22"/>
      <c r="K22"/>
      <c r="L22"/>
      <c r="M22"/>
      <c r="N22"/>
      <c r="O22"/>
    </row>
    <row r="23" spans="2:16" ht="13.5" customHeight="1" x14ac:dyDescent="0.25">
      <c r="B23" s="200" t="s">
        <v>638</v>
      </c>
      <c r="C23" s="215">
        <f>VLOOKUP(B23,'S2.6 energy demand chemicals'!I15:T63,6,FALSE)</f>
        <v>0.75599511942237074</v>
      </c>
      <c r="D23" s="510">
        <f>VLOOKUP(B23,'S2.6 energy demand chemicals'!I15:T63,11,FALSE)</f>
        <v>0.16376894991032626</v>
      </c>
      <c r="E23" s="512">
        <v>0</v>
      </c>
      <c r="F23" s="512">
        <v>7.1428571428571425E-2</v>
      </c>
      <c r="G23" s="1462"/>
      <c r="H23" s="1130" t="s">
        <v>2006</v>
      </c>
      <c r="I23" t="s">
        <v>3</v>
      </c>
      <c r="J23"/>
      <c r="K23"/>
      <c r="L23"/>
      <c r="M23"/>
      <c r="N23"/>
      <c r="O23"/>
    </row>
    <row r="24" spans="2:16" ht="13.5" customHeight="1" x14ac:dyDescent="0.25">
      <c r="B24" s="200" t="s">
        <v>440</v>
      </c>
      <c r="C24" s="215">
        <f>VLOOKUP(B24,'S2.6 energy demand chemicals'!I8:T56,6,FALSE)</f>
        <v>0.7527935727072611</v>
      </c>
      <c r="D24" s="510">
        <f>VLOOKUP(B24,'S2.6 energy demand chemicals'!I8:T56,11,FALSE)</f>
        <v>0.18503106884812026</v>
      </c>
      <c r="E24" s="512">
        <v>0</v>
      </c>
      <c r="F24" s="512">
        <v>7.1428571428571425E-2</v>
      </c>
      <c r="G24" s="1462"/>
      <c r="H24" s="1176">
        <f>'S2.7 energy recovery calc'!C25*('S2.7 energy recovery calc'!B25/1000000)</f>
        <v>3.10059</v>
      </c>
      <c r="I24" t="s">
        <v>3</v>
      </c>
      <c r="J24"/>
      <c r="K24"/>
      <c r="L24"/>
      <c r="M24"/>
      <c r="N24"/>
      <c r="O24"/>
    </row>
    <row r="25" spans="2:16" ht="13.5" customHeight="1" x14ac:dyDescent="0.25">
      <c r="B25" s="200" t="s">
        <v>445</v>
      </c>
      <c r="C25" s="215">
        <f>AVERAGE('S2.6 energy demand chemicals'!N30,'S2.6 energy demand chemicals'!N8,'S2.6 energy demand chemicals'!N9)</f>
        <v>0.6642221657140831</v>
      </c>
      <c r="D25" s="510">
        <f>AVERAGE('S2.6 energy demand chemicals'!T30,'S2.6 energy demand chemicals'!T8,'S2.6 energy demand chemicals'!T9)</f>
        <v>0.61355776026291764</v>
      </c>
      <c r="E25" s="512">
        <v>0</v>
      </c>
      <c r="F25" s="512">
        <v>7.1428571428571425E-2</v>
      </c>
      <c r="G25" s="1462"/>
      <c r="H25" s="340" t="s">
        <v>2007</v>
      </c>
      <c r="I25" t="s">
        <v>3</v>
      </c>
      <c r="J25"/>
      <c r="K25"/>
      <c r="L25"/>
      <c r="M25"/>
      <c r="N25"/>
      <c r="O25"/>
    </row>
    <row r="26" spans="2:16" ht="13.5" customHeight="1" x14ac:dyDescent="0.25">
      <c r="B26" s="200" t="s">
        <v>441</v>
      </c>
      <c r="C26" s="215">
        <f>VLOOKUP(B26,'S2.6 energy demand chemicals'!I9:T57,6,FALSE)</f>
        <v>0.55980827486231632</v>
      </c>
      <c r="D26" s="510">
        <f>VLOOKUP(B26,'S2.6 energy demand chemicals'!I9:T57,11,FALSE)</f>
        <v>8.1307024985583398E-2</v>
      </c>
      <c r="E26" s="512">
        <v>0</v>
      </c>
      <c r="F26" s="512">
        <v>7.1428571428571425E-2</v>
      </c>
      <c r="G26" s="1462"/>
      <c r="H26" s="1178">
        <f>H20/3.6*'S2.5 energy supply scenarios'!B40</f>
        <v>0.51695430902469908</v>
      </c>
      <c r="I26" t="s">
        <v>3</v>
      </c>
      <c r="J26"/>
      <c r="K26"/>
      <c r="L26"/>
      <c r="M26"/>
      <c r="N26"/>
      <c r="O26"/>
    </row>
    <row r="27" spans="2:16" ht="13.5" customHeight="1" x14ac:dyDescent="0.25">
      <c r="B27" s="200" t="s">
        <v>435</v>
      </c>
      <c r="C27" s="215">
        <f>VLOOKUP(B27,'S2.6 energy demand chemicals'!I16:T64,6,FALSE)</f>
        <v>0.46142804650279923</v>
      </c>
      <c r="D27" s="510">
        <f>VLOOKUP(B27,'S2.6 energy demand chemicals'!I16:T64,11,FALSE)</f>
        <v>1.7857888152199349E-2</v>
      </c>
      <c r="E27" s="512">
        <v>0</v>
      </c>
      <c r="F27" s="512">
        <v>7.1428571428571425E-2</v>
      </c>
      <c r="G27" s="1462"/>
      <c r="H27" s="340" t="s">
        <v>2008</v>
      </c>
      <c r="I27" t="s">
        <v>3</v>
      </c>
      <c r="J27"/>
      <c r="K27"/>
      <c r="L27"/>
      <c r="M27"/>
      <c r="N27"/>
      <c r="O27"/>
    </row>
    <row r="28" spans="2:16" ht="15" x14ac:dyDescent="0.25">
      <c r="B28" s="490" t="s">
        <v>45</v>
      </c>
      <c r="C28" s="1460"/>
      <c r="D28" s="1384"/>
      <c r="E28" s="513">
        <f>SUM(E14:E27)</f>
        <v>1</v>
      </c>
      <c r="F28" s="513">
        <f>SUM(F14:F27)</f>
        <v>0.99999999999999967</v>
      </c>
      <c r="G28" s="1463"/>
      <c r="H28" s="1177">
        <f>H22/3.6*'S2.5 energy supply scenarios'!B43</f>
        <v>0.10745264566156248</v>
      </c>
      <c r="I28" t="s">
        <v>3</v>
      </c>
      <c r="J28"/>
      <c r="K28"/>
      <c r="L28"/>
      <c r="M28"/>
      <c r="N28"/>
      <c r="O28"/>
    </row>
    <row r="29" spans="2:16" ht="15" x14ac:dyDescent="0.25">
      <c r="B29" s="496" t="s">
        <v>2009</v>
      </c>
      <c r="C29" s="1456"/>
      <c r="D29" s="1457"/>
      <c r="E29" s="514">
        <f>SUMPRODUCT(E14:E27,C14:C27)</f>
        <v>1.4015627918891491</v>
      </c>
      <c r="F29" s="514">
        <f>SUMPRODUCT(F14:F27,C14:C27)</f>
        <v>0.89213274385030483</v>
      </c>
      <c r="G29" s="514">
        <f>C27</f>
        <v>0.46142804650279923</v>
      </c>
      <c r="H29" s="514">
        <f>H17</f>
        <v>0.46142804650279923</v>
      </c>
      <c r="I29" s="482"/>
      <c r="J29" s="482"/>
      <c r="K29" s="480"/>
      <c r="L29" s="481"/>
      <c r="M29" s="482"/>
      <c r="N29" s="482"/>
      <c r="O29"/>
    </row>
    <row r="30" spans="2:16" ht="15.75" thickBot="1" x14ac:dyDescent="0.3">
      <c r="B30" s="497" t="s">
        <v>2010</v>
      </c>
      <c r="C30" s="1458"/>
      <c r="D30" s="1459"/>
      <c r="E30" s="515">
        <f>SUMPRODUCT(E14:E27,D14:D27)</f>
        <v>0.38784918782751743</v>
      </c>
      <c r="F30" s="515">
        <f>SUMPRODUCT(F14:F27,D14:D27)</f>
        <v>0.33859747850194022</v>
      </c>
      <c r="G30" s="515">
        <f>D27</f>
        <v>1.7857888152199349E-2</v>
      </c>
      <c r="H30" s="515">
        <f>SUM(H26,H28)-H24</f>
        <v>-2.4761830453137383</v>
      </c>
      <c r="I30" s="482"/>
      <c r="J30" s="482"/>
      <c r="K30" s="480"/>
      <c r="L30" s="481"/>
      <c r="M30" s="482"/>
      <c r="N30" s="482"/>
      <c r="O30"/>
    </row>
    <row r="31" spans="2:16" ht="233.25" customHeight="1" x14ac:dyDescent="0.2">
      <c r="B31" s="1366" t="str">
        <f>'S2.9 overview inventory '!P65</f>
        <v>constituents identification: liquid product constituents from literature review; products with wide utilization potential individually considered, rest assumed similar to naphtha;
constituents shares: material utilization - max high impact products: separation of individual fractions for material utilization assumed, product composed of substances with highest alternative production impacts, prioritization based on alternative production impact in fossil scenario, maximum share of each product based on literature review (maximum share mentioned in literature); material utilization - intermediate composition: separation of individual fractions for material utilization assumed, equal distribution between all distinguished liquid products; substitution of naphtha: utilization of whole product as naphtha assumed (which can be either as input into steam cracker or as a fuel), alternative production impacts of naphtha considered; energetic utilization: for fossil scenario, assuming same heating value and emission factor as for naphtha, avoiding naphtha production, therewith corresponding to naphtha substitution, for renewable scenario, assumed heating value and emission factor of crude oil, efficiency of energy generation of 70% for heat and 15% for electricity, substitution of alternative energy production mix;</v>
      </c>
      <c r="C31" s="1366"/>
      <c r="D31" s="1366"/>
      <c r="E31" s="1366"/>
      <c r="F31" s="1366"/>
      <c r="G31" s="1366"/>
      <c r="H31" s="198"/>
      <c r="I31" s="198"/>
      <c r="J31" s="198"/>
      <c r="K31" s="198"/>
      <c r="L31" s="198"/>
      <c r="M31" s="198"/>
      <c r="N31" s="198"/>
      <c r="O31" s="198"/>
      <c r="P31" s="198"/>
    </row>
    <row r="32" spans="2:16" ht="34.5" customHeight="1" thickBot="1" x14ac:dyDescent="0.25">
      <c r="B32" s="1379" t="s">
        <v>447</v>
      </c>
      <c r="C32" s="1379"/>
      <c r="D32" s="1379"/>
      <c r="E32" s="1379"/>
      <c r="F32" s="1379"/>
      <c r="G32" s="1379"/>
      <c r="H32" s="1379"/>
      <c r="I32" s="1379"/>
      <c r="J32" s="1379"/>
      <c r="K32" s="1379"/>
      <c r="L32" s="1379"/>
      <c r="M32" s="1379"/>
    </row>
    <row r="33" spans="2:28" ht="15" x14ac:dyDescent="0.25">
      <c r="B33" s="1381" t="s">
        <v>432</v>
      </c>
      <c r="C33" s="1364" t="s">
        <v>2000</v>
      </c>
      <c r="D33" s="1388"/>
      <c r="E33" s="1391" t="s">
        <v>1406</v>
      </c>
      <c r="F33" s="1385" t="s">
        <v>1571</v>
      </c>
      <c r="G33" s="1386"/>
      <c r="H33" s="1386"/>
      <c r="I33" s="1386"/>
      <c r="J33" s="1386"/>
      <c r="K33" s="1386"/>
      <c r="L33" s="1386"/>
      <c r="M33" s="1387"/>
      <c r="N33" s="534"/>
      <c r="O33" s="534"/>
      <c r="P33" s="205"/>
      <c r="S33"/>
      <c r="T33"/>
      <c r="U33"/>
      <c r="V33"/>
      <c r="W33"/>
      <c r="X33"/>
    </row>
    <row r="34" spans="2:28" ht="67.900000000000006" customHeight="1" x14ac:dyDescent="0.25">
      <c r="B34" s="1382"/>
      <c r="C34" s="1389"/>
      <c r="D34" s="1390"/>
      <c r="E34" s="1392"/>
      <c r="F34" s="1408" t="s">
        <v>429</v>
      </c>
      <c r="G34" s="1472"/>
      <c r="H34" s="1410" t="s">
        <v>430</v>
      </c>
      <c r="I34" s="1467"/>
      <c r="J34" s="1406" t="s">
        <v>1574</v>
      </c>
      <c r="K34" s="1407"/>
      <c r="L34" s="1375" t="s">
        <v>1576</v>
      </c>
      <c r="M34" s="1376"/>
      <c r="N34"/>
      <c r="O34"/>
      <c r="S34"/>
      <c r="T34"/>
      <c r="U34"/>
      <c r="V34"/>
      <c r="W34"/>
      <c r="X34"/>
    </row>
    <row r="35" spans="2:28" ht="14.65" customHeight="1" x14ac:dyDescent="0.25">
      <c r="B35" s="1382"/>
      <c r="C35" s="478" t="s">
        <v>1147</v>
      </c>
      <c r="D35" s="479" t="s">
        <v>1148</v>
      </c>
      <c r="E35" s="1393"/>
      <c r="F35" s="561" t="s">
        <v>1572</v>
      </c>
      <c r="G35" s="308" t="s">
        <v>1573</v>
      </c>
      <c r="H35" s="561" t="s">
        <v>1572</v>
      </c>
      <c r="I35" s="308" t="s">
        <v>1573</v>
      </c>
      <c r="J35" s="1439"/>
      <c r="K35" s="1384"/>
      <c r="L35" s="1435"/>
      <c r="M35" s="1383"/>
      <c r="N35"/>
      <c r="O35"/>
      <c r="S35"/>
      <c r="T35"/>
      <c r="U35"/>
      <c r="V35"/>
      <c r="W35"/>
      <c r="X35"/>
    </row>
    <row r="36" spans="2:28" ht="14.25" customHeight="1" x14ac:dyDescent="0.25">
      <c r="B36" s="519" t="s">
        <v>457</v>
      </c>
      <c r="C36" s="310">
        <f>VLOOKUP(B36,'S2.6 energy demand chemicals'!I6:T54,6,FALSE)</f>
        <v>1.4469965540146297</v>
      </c>
      <c r="D36" s="485">
        <f>VLOOKUP(B36,'S2.6 energy demand chemicals'!I6:T54,11,FALSE)</f>
        <v>0.28434459511469157</v>
      </c>
      <c r="E36" s="549">
        <v>2</v>
      </c>
      <c r="F36" s="554">
        <v>8.8999999999999968E-2</v>
      </c>
      <c r="G36" s="535">
        <f t="shared" ref="G36:G47" si="0">F36*E36/SUMPRODUCT($F$36:$F$47,$E$36:$E$47)</f>
        <v>5.5214343321545985E-3</v>
      </c>
      <c r="H36" s="554">
        <v>8.3333333333333329E-2</v>
      </c>
      <c r="I36" s="535">
        <f>H36*E36/SUMPRODUCT($H$36:$H$47,$E$36:$E$47)</f>
        <v>4.6296296296296302E-3</v>
      </c>
      <c r="J36" s="1436"/>
      <c r="K36" s="1437"/>
      <c r="L36" s="585" t="s">
        <v>1148</v>
      </c>
      <c r="M36" s="520"/>
      <c r="N36"/>
      <c r="O36"/>
      <c r="S36"/>
      <c r="T36"/>
      <c r="U36"/>
      <c r="V36"/>
      <c r="W36"/>
      <c r="X36"/>
      <c r="Y36"/>
      <c r="Z36"/>
      <c r="AA36"/>
      <c r="AB36"/>
    </row>
    <row r="37" spans="2:28" ht="14.25" customHeight="1" x14ac:dyDescent="0.25">
      <c r="B37" s="204" t="s">
        <v>461</v>
      </c>
      <c r="C37" s="311">
        <f>'S2.6 energy demand chemicals'!N7</f>
        <v>1.1906020225973428</v>
      </c>
      <c r="D37" s="486">
        <f>'S2.6 energy demand chemicals'!T7</f>
        <v>1.0686407105713802</v>
      </c>
      <c r="E37" s="550">
        <v>54</v>
      </c>
      <c r="F37" s="554">
        <v>0</v>
      </c>
      <c r="G37" s="535">
        <f t="shared" si="0"/>
        <v>0</v>
      </c>
      <c r="H37" s="554">
        <v>8.3333333333333329E-2</v>
      </c>
      <c r="I37" s="535">
        <f t="shared" ref="I37:I47" si="1">H37*E37/SUMPRODUCT($H$36:$H$47,$E$36:$E$47)</f>
        <v>0.12500000000000003</v>
      </c>
      <c r="J37" s="1438"/>
      <c r="K37" s="1383"/>
      <c r="L37" s="313" t="s">
        <v>1577</v>
      </c>
      <c r="M37" s="559">
        <v>49.5</v>
      </c>
      <c r="N37"/>
      <c r="O37"/>
      <c r="S37"/>
      <c r="T37"/>
      <c r="U37"/>
      <c r="V37"/>
      <c r="W37"/>
      <c r="X37"/>
      <c r="Y37"/>
      <c r="Z37"/>
      <c r="AA37"/>
      <c r="AB37"/>
    </row>
    <row r="38" spans="2:28" ht="15" x14ac:dyDescent="0.25">
      <c r="B38" s="204" t="s">
        <v>454</v>
      </c>
      <c r="C38" s="311">
        <f>VLOOKUP(B38,'S2.6 energy demand chemicals'!I5:T53,6,FALSE)</f>
        <v>1.0037520317335276</v>
      </c>
      <c r="D38" s="486">
        <f>VLOOKUP(B38,'S2.6 energy demand chemicals'!I5:T53,11,FALSE)</f>
        <v>0.31514258670822282</v>
      </c>
      <c r="E38" s="550">
        <v>56</v>
      </c>
      <c r="F38" s="554">
        <v>0.113</v>
      </c>
      <c r="G38" s="535">
        <f t="shared" si="0"/>
        <v>0.19629009243749612</v>
      </c>
      <c r="H38" s="554">
        <v>8.3333333333333329E-2</v>
      </c>
      <c r="I38" s="535">
        <f t="shared" si="1"/>
        <v>0.12962962962962965</v>
      </c>
      <c r="J38" s="1438"/>
      <c r="K38" s="1383"/>
      <c r="L38" s="313" t="s">
        <v>1578</v>
      </c>
      <c r="M38" s="559">
        <v>57600</v>
      </c>
      <c r="N38"/>
      <c r="O38"/>
      <c r="S38"/>
      <c r="T38"/>
      <c r="U38"/>
      <c r="V38"/>
      <c r="W38"/>
      <c r="X38"/>
      <c r="Y38"/>
      <c r="Z38"/>
      <c r="AA38"/>
      <c r="AB38"/>
    </row>
    <row r="39" spans="2:28" ht="15" x14ac:dyDescent="0.25">
      <c r="B39" s="204" t="s">
        <v>451</v>
      </c>
      <c r="C39" s="311">
        <f>VLOOKUP(B39,'S2.6 energy demand chemicals'!I4:T32,6,FALSE)</f>
        <v>0.92821739341519727</v>
      </c>
      <c r="D39" s="486">
        <f>VLOOKUP(B39,'S2.6 energy demand chemicals'!I4:T32,11,FALSE)</f>
        <v>0.27714777318862616</v>
      </c>
      <c r="E39" s="550">
        <v>42</v>
      </c>
      <c r="F39" s="554">
        <v>0.24199999999999999</v>
      </c>
      <c r="G39" s="535">
        <f t="shared" si="0"/>
        <v>0.31528010422482783</v>
      </c>
      <c r="H39" s="554">
        <v>8.3333333333333329E-2</v>
      </c>
      <c r="I39" s="535">
        <f t="shared" si="1"/>
        <v>9.7222222222222238E-2</v>
      </c>
      <c r="J39" s="1438"/>
      <c r="K39" s="1383"/>
      <c r="L39" s="313" t="s">
        <v>1579</v>
      </c>
      <c r="M39" s="559">
        <v>7.4249999999999998</v>
      </c>
      <c r="N39"/>
      <c r="O39"/>
      <c r="S39"/>
      <c r="T39"/>
      <c r="U39"/>
      <c r="V39"/>
      <c r="W39"/>
      <c r="X39"/>
      <c r="Y39"/>
      <c r="Z39"/>
      <c r="AA39"/>
      <c r="AB39"/>
    </row>
    <row r="40" spans="2:28" ht="14.25" customHeight="1" x14ac:dyDescent="0.25">
      <c r="B40" s="204" t="s">
        <v>458</v>
      </c>
      <c r="C40" s="311">
        <f>VLOOKUP(B40,'S2.6 energy demand chemicals'!I7:T55,6,FALSE)</f>
        <v>0.92735699341519728</v>
      </c>
      <c r="D40" s="486">
        <f>VLOOKUP(B40,'S2.6 energy demand chemicals'!I7:T55,11,FALSE)</f>
        <v>0.27714777318862616</v>
      </c>
      <c r="E40" s="550">
        <v>28</v>
      </c>
      <c r="F40" s="554">
        <f>1-SUM(F36:F39)</f>
        <v>0.55600000000000005</v>
      </c>
      <c r="G40" s="535">
        <f t="shared" si="0"/>
        <v>0.48290836900552148</v>
      </c>
      <c r="H40" s="554">
        <v>8.3333333333333329E-2</v>
      </c>
      <c r="I40" s="535">
        <f t="shared" si="1"/>
        <v>6.4814814814814825E-2</v>
      </c>
      <c r="J40" s="1438"/>
      <c r="K40" s="1383"/>
      <c r="L40" s="313" t="s">
        <v>1580</v>
      </c>
      <c r="M40" s="559">
        <v>34.65</v>
      </c>
      <c r="N40"/>
      <c r="O40"/>
      <c r="S40"/>
      <c r="T40"/>
      <c r="U40"/>
      <c r="V40"/>
      <c r="W40"/>
      <c r="X40"/>
      <c r="Y40"/>
      <c r="Z40"/>
      <c r="AA40"/>
      <c r="AB40"/>
    </row>
    <row r="41" spans="2:28" ht="14.25" customHeight="1" x14ac:dyDescent="0.25">
      <c r="B41" s="551" t="s">
        <v>464</v>
      </c>
      <c r="C41" s="544">
        <f>'S2.6 energy demand chemicals'!N28</f>
        <v>0.80779675340728374</v>
      </c>
      <c r="D41" s="545">
        <f>'S2.6 energy demand chemicals'!T28</f>
        <v>0.80323233343024114</v>
      </c>
      <c r="E41" s="550">
        <v>58</v>
      </c>
      <c r="F41" s="555">
        <v>0</v>
      </c>
      <c r="G41" s="556">
        <f t="shared" si="0"/>
        <v>0</v>
      </c>
      <c r="H41" s="555">
        <v>8.3333333333333329E-2</v>
      </c>
      <c r="I41" s="556">
        <f t="shared" si="1"/>
        <v>0.13425925925925927</v>
      </c>
      <c r="J41" s="1438"/>
      <c r="K41" s="1383"/>
      <c r="L41" s="313" t="s">
        <v>466</v>
      </c>
      <c r="M41" s="560">
        <v>2.8512</v>
      </c>
      <c r="N41"/>
      <c r="O41"/>
      <c r="S41"/>
      <c r="T41"/>
      <c r="U41"/>
      <c r="V41"/>
      <c r="W41"/>
      <c r="X41"/>
      <c r="Y41"/>
      <c r="Z41"/>
      <c r="AA41"/>
      <c r="AB41"/>
    </row>
    <row r="42" spans="2:28" ht="14.25" customHeight="1" x14ac:dyDescent="0.25">
      <c r="B42" s="551" t="s">
        <v>463</v>
      </c>
      <c r="C42" s="544">
        <f>'S2.6 energy demand chemicals'!N28</f>
        <v>0.80779675340728374</v>
      </c>
      <c r="D42" s="545">
        <f>'S2.6 energy demand chemicals'!T28</f>
        <v>0.80323233343024114</v>
      </c>
      <c r="E42" s="550">
        <v>44</v>
      </c>
      <c r="F42" s="555">
        <v>0</v>
      </c>
      <c r="G42" s="556">
        <f t="shared" si="0"/>
        <v>0</v>
      </c>
      <c r="H42" s="555">
        <v>8.3333333333333329E-2</v>
      </c>
      <c r="I42" s="556">
        <f t="shared" si="1"/>
        <v>0.10185185185185187</v>
      </c>
      <c r="J42" s="1438"/>
      <c r="K42" s="1383"/>
      <c r="L42" s="313" t="s">
        <v>1528</v>
      </c>
      <c r="M42" s="202">
        <v>0.12574245768906248</v>
      </c>
      <c r="N42"/>
      <c r="O42"/>
      <c r="S42"/>
      <c r="T42"/>
      <c r="U42"/>
      <c r="V42"/>
      <c r="W42"/>
      <c r="X42"/>
      <c r="Y42"/>
      <c r="Z42"/>
      <c r="AA42"/>
      <c r="AB42"/>
    </row>
    <row r="43" spans="2:28" ht="14.25" customHeight="1" x14ac:dyDescent="0.25">
      <c r="B43" s="551" t="s">
        <v>462</v>
      </c>
      <c r="C43" s="544">
        <f>'S2.6 energy demand chemicals'!N28</f>
        <v>0.80779675340728374</v>
      </c>
      <c r="D43" s="545">
        <f>'S2.6 energy demand chemicals'!T28</f>
        <v>0.80323233343024114</v>
      </c>
      <c r="E43" s="550">
        <v>30</v>
      </c>
      <c r="F43" s="555">
        <v>0</v>
      </c>
      <c r="G43" s="556">
        <f t="shared" si="0"/>
        <v>0</v>
      </c>
      <c r="H43" s="555">
        <v>8.3333333333333329E-2</v>
      </c>
      <c r="I43" s="556">
        <f t="shared" si="1"/>
        <v>6.9444444444444461E-2</v>
      </c>
      <c r="J43" s="1438"/>
      <c r="K43" s="1383"/>
      <c r="L43" s="586" t="s">
        <v>1527</v>
      </c>
      <c r="M43" s="587">
        <v>0.60494653183741398</v>
      </c>
      <c r="N43"/>
      <c r="O43"/>
      <c r="S43"/>
      <c r="T43"/>
      <c r="U43"/>
      <c r="V43"/>
      <c r="W43"/>
      <c r="X43"/>
      <c r="Y43"/>
      <c r="Z43"/>
      <c r="AA43"/>
      <c r="AB43"/>
    </row>
    <row r="44" spans="2:28" ht="15" x14ac:dyDescent="0.25">
      <c r="B44" s="204" t="s">
        <v>448</v>
      </c>
      <c r="C44" s="507">
        <f>VLOOKUP(B44,'S2.6 energy demand chemicals'!I3:T32,6,FALSE)</f>
        <v>0.76150761775984877</v>
      </c>
      <c r="D44" s="486">
        <f>VLOOKUP(B44,'S2.6 energy demand chemicals'!I3:T32,11,FALSE)</f>
        <v>4.3535162588145056E-2</v>
      </c>
      <c r="E44" s="550">
        <v>28</v>
      </c>
      <c r="F44" s="554">
        <v>0</v>
      </c>
      <c r="G44" s="535">
        <f t="shared" si="0"/>
        <v>0</v>
      </c>
      <c r="H44" s="554">
        <v>8.3333333333333329E-2</v>
      </c>
      <c r="I44" s="535">
        <f t="shared" si="1"/>
        <v>6.4814814814814825E-2</v>
      </c>
      <c r="J44" s="1438"/>
      <c r="K44" s="1383"/>
      <c r="L44" s="584" t="s">
        <v>1147</v>
      </c>
      <c r="M44" s="206"/>
      <c r="N44"/>
      <c r="O44"/>
      <c r="S44"/>
      <c r="T44"/>
      <c r="U44"/>
      <c r="V44"/>
      <c r="W44"/>
      <c r="X44"/>
      <c r="Y44"/>
      <c r="Z44"/>
      <c r="AA44"/>
      <c r="AB44"/>
    </row>
    <row r="45" spans="2:28" ht="14.25" customHeight="1" x14ac:dyDescent="0.25">
      <c r="B45" s="204" t="s">
        <v>465</v>
      </c>
      <c r="C45" s="311">
        <f>VLOOKUP(B45,'S2.6 energy demand chemicals'!I12:T60,6,FALSE)</f>
        <v>0.38027994549733679</v>
      </c>
      <c r="D45" s="486">
        <f>VLOOKUP(B45,'S2.6 energy demand chemicals'!I12:T60,11,FALSE)</f>
        <v>0</v>
      </c>
      <c r="E45" s="550">
        <v>16</v>
      </c>
      <c r="F45" s="554">
        <v>0</v>
      </c>
      <c r="G45" s="535">
        <f t="shared" si="0"/>
        <v>0</v>
      </c>
      <c r="H45" s="554">
        <v>8.3333333333333329E-2</v>
      </c>
      <c r="I45" s="535">
        <f t="shared" si="1"/>
        <v>3.7037037037037042E-2</v>
      </c>
      <c r="J45" s="1438"/>
      <c r="K45" s="1383"/>
      <c r="L45" s="205" t="s">
        <v>449</v>
      </c>
      <c r="M45" s="206">
        <f>'S2.7 energy recovery calc'!B27/'S2.7 energy recovery calc'!B26</f>
        <v>1.03125</v>
      </c>
      <c r="N45" s="205" t="s">
        <v>3</v>
      </c>
      <c r="O45"/>
      <c r="P45"/>
      <c r="S45"/>
      <c r="T45"/>
      <c r="U45"/>
      <c r="V45"/>
      <c r="W45"/>
      <c r="X45"/>
      <c r="Y45"/>
      <c r="Z45"/>
      <c r="AA45"/>
      <c r="AB45"/>
    </row>
    <row r="46" spans="2:28" ht="14.25" customHeight="1" x14ac:dyDescent="0.25">
      <c r="B46" s="551" t="s">
        <v>1847</v>
      </c>
      <c r="C46" s="546">
        <f>'S2.6 energy demand chemicals'!N31</f>
        <v>0.38027994549733679</v>
      </c>
      <c r="D46" s="486">
        <f>'S2.6 energy demand chemicals'!T31</f>
        <v>0.38027994549733679</v>
      </c>
      <c r="E46" s="550">
        <v>30</v>
      </c>
      <c r="F46" s="555">
        <v>0</v>
      </c>
      <c r="G46" s="535">
        <f t="shared" si="0"/>
        <v>0</v>
      </c>
      <c r="H46" s="555">
        <v>8.3333333333333329E-2</v>
      </c>
      <c r="I46" s="535">
        <f t="shared" si="1"/>
        <v>6.9444444444444461E-2</v>
      </c>
      <c r="J46" s="1438"/>
      <c r="K46" s="1383"/>
      <c r="L46" s="205" t="s">
        <v>452</v>
      </c>
      <c r="M46" s="206">
        <f>M45*'S2.7 energy recovery calc'!B26*'S2.7 energy recovery calc'!C26/1000000</f>
        <v>2.7769499999999998</v>
      </c>
      <c r="N46" s="205" t="s">
        <v>453</v>
      </c>
      <c r="O46" t="s">
        <v>3</v>
      </c>
      <c r="P46"/>
      <c r="S46"/>
      <c r="T46"/>
      <c r="U46"/>
      <c r="V46"/>
      <c r="W46"/>
      <c r="X46"/>
      <c r="Y46"/>
      <c r="Z46"/>
      <c r="AA46"/>
      <c r="AB46"/>
    </row>
    <row r="47" spans="2:28" ht="14.25" customHeight="1" x14ac:dyDescent="0.25">
      <c r="B47" s="204" t="s">
        <v>466</v>
      </c>
      <c r="C47" s="311">
        <v>-1</v>
      </c>
      <c r="D47" s="486">
        <v>-1</v>
      </c>
      <c r="E47" s="550">
        <v>44</v>
      </c>
      <c r="F47" s="554">
        <v>0</v>
      </c>
      <c r="G47" s="535">
        <f t="shared" si="0"/>
        <v>0</v>
      </c>
      <c r="H47" s="554">
        <v>8.3333333333333329E-2</v>
      </c>
      <c r="I47" s="535">
        <f t="shared" si="1"/>
        <v>0.10185185185185187</v>
      </c>
      <c r="J47" s="1438"/>
      <c r="K47" s="1383"/>
      <c r="L47" s="205" t="s">
        <v>455</v>
      </c>
      <c r="M47" s="582">
        <f>M46-'S2.7 energy recovery calc'!B27*'S2.7 energy recovery calc'!C27/1000000</f>
        <v>-7.4250000000000149E-2</v>
      </c>
      <c r="N47" s="205" t="s">
        <v>456</v>
      </c>
      <c r="O47" t="s">
        <v>3</v>
      </c>
      <c r="P47"/>
      <c r="S47"/>
      <c r="T47"/>
      <c r="U47"/>
      <c r="V47"/>
      <c r="W47"/>
      <c r="X47"/>
      <c r="Y47"/>
      <c r="Z47"/>
      <c r="AA47"/>
      <c r="AB47"/>
    </row>
    <row r="48" spans="2:28" s="211" customFormat="1" ht="15" customHeight="1" x14ac:dyDescent="0.25">
      <c r="B48" s="552" t="s">
        <v>45</v>
      </c>
      <c r="C48" s="547"/>
      <c r="D48" s="548"/>
      <c r="E48" s="498"/>
      <c r="F48" s="557">
        <f>SUM(F36:F47)</f>
        <v>1</v>
      </c>
      <c r="G48" s="558">
        <f>SUM(G36:G47)</f>
        <v>1</v>
      </c>
      <c r="H48" s="557">
        <f>SUM(H36:H47)</f>
        <v>1</v>
      </c>
      <c r="I48" s="558">
        <f>SUM(I36:I47)</f>
        <v>1.0000000000000002</v>
      </c>
      <c r="J48" s="1439"/>
      <c r="K48" s="1384"/>
      <c r="L48" s="205" t="s">
        <v>459</v>
      </c>
      <c r="M48" s="583">
        <f>'S2.6 energy demand chemicals'!N31*M45</f>
        <v>0.39216369379412858</v>
      </c>
      <c r="N48" s="205" t="s">
        <v>460</v>
      </c>
      <c r="O48" t="s">
        <v>3</v>
      </c>
      <c r="R48" s="184"/>
      <c r="S48"/>
      <c r="T48"/>
      <c r="U48"/>
      <c r="V48"/>
      <c r="W48"/>
      <c r="X48"/>
      <c r="Y48"/>
      <c r="Z48"/>
      <c r="AA48"/>
      <c r="AB48"/>
    </row>
    <row r="49" spans="2:20" ht="15" x14ac:dyDescent="0.25">
      <c r="B49" s="496" t="s">
        <v>2009</v>
      </c>
      <c r="C49" s="1464"/>
      <c r="D49" s="1465"/>
      <c r="E49" s="206"/>
      <c r="F49" s="1470">
        <f>SUMPRODUCT(F36:F47,C36:C47)</f>
        <v>0.98244577043851811</v>
      </c>
      <c r="G49" s="1471"/>
      <c r="H49" s="1470">
        <f>SUMPRODUCT(H36:H47,C36:C47)</f>
        <v>0.7035318970126887</v>
      </c>
      <c r="I49" s="1471"/>
      <c r="J49" s="1350">
        <f>'S2.6 energy demand chemicals'!N52</f>
        <v>0.17014505590542731</v>
      </c>
      <c r="K49" s="1359"/>
      <c r="L49" s="1358">
        <f>M48+M47</f>
        <v>0.31791369379412843</v>
      </c>
      <c r="M49" s="1359"/>
      <c r="N49"/>
      <c r="O49"/>
    </row>
    <row r="50" spans="2:20" ht="15.75" thickBot="1" x14ac:dyDescent="0.3">
      <c r="B50" s="497" t="s">
        <v>2010</v>
      </c>
      <c r="C50" s="1458"/>
      <c r="D50" s="1466"/>
      <c r="E50" s="543"/>
      <c r="F50" s="1352">
        <f>SUMPRODUCT(F36:F47,D36:D47)</f>
        <v>0.28208170426776041</v>
      </c>
      <c r="G50" s="1361"/>
      <c r="H50" s="1352">
        <f>SUMPRODUCT(H36:H47,D36:D47)</f>
        <v>0.33799462892897925</v>
      </c>
      <c r="I50" s="1361"/>
      <c r="J50" s="1352">
        <f>'S2.6 energy demand chemicals'!T52</f>
        <v>0.13673826807600575</v>
      </c>
      <c r="K50" s="1361"/>
      <c r="L50" s="1360">
        <f>SUM(M42,M43-M41)</f>
        <v>-2.1205110104735234</v>
      </c>
      <c r="M50" s="1361"/>
      <c r="N50"/>
      <c r="O50"/>
    </row>
    <row r="51" spans="2:20" ht="176.25" customHeight="1" x14ac:dyDescent="0.25">
      <c r="B51" s="1366" t="str">
        <f>'S2.9 overview inventory '!P84</f>
        <v>constituents identification: gaseous product constituents from literature review; products with wide utilization potential individually considered, rest approximated with natural gas;
constituents shares: material utilization - max high impact products: separation of individual fractions for material utilization assumed, product composed of substances with highest alternative production impacts, prioritization based on alternative production impact, maximum share of each product based on literature review (maximum share mentioned in literature), assuming molar shares given; material utilization - intermediate composition: separation of individual fractions for material utilization assumed, equal distribution between all distinguished gaseous products, resulting in a share below maximum possible share according to literature review except for butane, which was neglected; utilization as syngas: utilization of whole product as syngas assumed, alternative production impacts of syngas considered; energetic utilization kann nicht transportiert werden =&gt; in Industrie verwendet - natural gas furnace Wärme ersetzt, vor allem Elektrizität; emission and heating values approximated with refinery gas; assumed can be also used as synthesis gas;  energetic utilization: approximation of heating value and emission factor with refinery gas - for fossil scenario, substitution of natural gas based on heating values, calculation of emission difference via emission factors and consideration of production impacts of avoided natural gas, for renewable scenario, calculation of producible amount of electricity and heat via assumed efficiencies and substitution with alternative energy mix for this scenario; assuming product composition reflects possible degree of component separation (such as only 90% separation efficiency of CO from remaining product);</v>
      </c>
      <c r="C51" s="1366"/>
      <c r="D51" s="1366"/>
      <c r="E51" s="1366"/>
      <c r="F51" s="1366"/>
      <c r="G51" s="1366"/>
      <c r="H51" s="1366"/>
      <c r="I51" s="1366"/>
      <c r="J51" s="1366"/>
      <c r="K51" s="1366"/>
      <c r="L51" s="1366"/>
      <c r="M51" s="1366"/>
      <c r="O51"/>
      <c r="P51"/>
      <c r="Q51"/>
      <c r="R51"/>
      <c r="S51"/>
      <c r="T51"/>
    </row>
    <row r="52" spans="2:20" ht="34.5" customHeight="1" thickBot="1" x14ac:dyDescent="0.25">
      <c r="B52" s="1379" t="s">
        <v>468</v>
      </c>
      <c r="C52" s="1379"/>
      <c r="D52" s="1379"/>
      <c r="E52" s="1379"/>
      <c r="F52" s="1379"/>
      <c r="G52" s="1379"/>
      <c r="H52" s="1379"/>
      <c r="I52" s="1379"/>
      <c r="J52" s="1379"/>
      <c r="K52" s="1379"/>
      <c r="L52" s="1379"/>
      <c r="M52" s="1379"/>
      <c r="R52" s="212"/>
    </row>
    <row r="53" spans="2:20" ht="40.5" customHeight="1" x14ac:dyDescent="0.2">
      <c r="B53" s="1450" t="s">
        <v>1223</v>
      </c>
      <c r="C53" s="1451"/>
      <c r="D53" s="1452"/>
      <c r="E53" s="1453" t="s">
        <v>469</v>
      </c>
      <c r="F53" s="1454"/>
      <c r="G53" s="1455"/>
      <c r="H53" s="1447" t="s">
        <v>470</v>
      </c>
      <c r="I53" s="1448"/>
      <c r="J53" s="1449"/>
      <c r="K53" s="1444" t="s">
        <v>471</v>
      </c>
      <c r="L53" s="1445"/>
      <c r="M53" s="1446"/>
      <c r="N53" s="1441" t="s">
        <v>472</v>
      </c>
      <c r="O53" s="1442"/>
      <c r="P53" s="1443"/>
    </row>
    <row r="54" spans="2:20" x14ac:dyDescent="0.2">
      <c r="B54" s="551" t="s">
        <v>1545</v>
      </c>
      <c r="C54" s="680"/>
      <c r="D54" s="583">
        <v>0.28611628</v>
      </c>
      <c r="E54" s="204" t="s">
        <v>473</v>
      </c>
      <c r="F54" s="215">
        <f>'S2.7 energy recovery calc'!B33/'S2.7 energy recovery calc'!B26</f>
        <v>0.27313041666666665</v>
      </c>
      <c r="G54" s="206" t="s">
        <v>450</v>
      </c>
      <c r="H54" s="204" t="s">
        <v>473</v>
      </c>
      <c r="I54" s="215">
        <f>'S2.7 energy recovery calc'!B32/'S2.7 energy recovery calc'!B26</f>
        <v>0.43186467849613486</v>
      </c>
      <c r="J54" s="206" t="s">
        <v>450</v>
      </c>
      <c r="K54" s="204" t="s">
        <v>473</v>
      </c>
      <c r="L54" s="215">
        <f>'S2.7 energy recovery calc'!B31/'S2.7 energy recovery calc'!B26</f>
        <v>0.56308124999999998</v>
      </c>
      <c r="M54" s="206" t="s">
        <v>450</v>
      </c>
      <c r="N54" s="204" t="s">
        <v>1547</v>
      </c>
      <c r="O54" s="203">
        <f>'S2.7 energy recovery calc'!B32*'S2.7 energy recovery calc'!A4</f>
        <v>3.1094256851721709</v>
      </c>
      <c r="P54" s="206" t="s">
        <v>1548</v>
      </c>
      <c r="R54" s="184" t="s">
        <v>3</v>
      </c>
    </row>
    <row r="55" spans="2:20" x14ac:dyDescent="0.2">
      <c r="B55" s="551" t="s">
        <v>1546</v>
      </c>
      <c r="C55" s="680"/>
      <c r="D55" s="583">
        <v>0.32867986999999999</v>
      </c>
      <c r="E55" s="204" t="s">
        <v>452</v>
      </c>
      <c r="F55" s="215">
        <f>F54*('S2.7 energy recovery calc'!B26*'S2.7 energy recovery calc'!C26/1000000)</f>
        <v>0.73548558600000002</v>
      </c>
      <c r="G55" s="206" t="s">
        <v>453</v>
      </c>
      <c r="H55" s="204" t="s">
        <v>452</v>
      </c>
      <c r="I55" s="215">
        <f>I54*('S2.7 energy recovery calc'!B26*'S2.7 energy recovery calc'!C26/1000000)</f>
        <v>1.162925206254392</v>
      </c>
      <c r="J55" s="206" t="s">
        <v>453</v>
      </c>
      <c r="K55" s="204" t="s">
        <v>452</v>
      </c>
      <c r="L55" s="215">
        <f>L54*('S2.7 energy recovery calc'!B26*'S2.7 energy recovery calc'!C26/1000000)</f>
        <v>1.5162651899999999</v>
      </c>
      <c r="M55" s="206" t="s">
        <v>453</v>
      </c>
      <c r="N55" s="204" t="s">
        <v>1549</v>
      </c>
      <c r="O55" s="203">
        <f>'S2.7 energy recovery calc'!B32*'S2.7 energy recovery calc'!A5</f>
        <v>14.51065319747013</v>
      </c>
      <c r="P55" s="206" t="s">
        <v>1431</v>
      </c>
      <c r="R55" s="184" t="s">
        <v>3</v>
      </c>
    </row>
    <row r="56" spans="2:20" x14ac:dyDescent="0.2">
      <c r="B56" s="551" t="s">
        <v>1553</v>
      </c>
      <c r="C56" s="680"/>
      <c r="D56" s="798">
        <v>4.1857368000000001E-3</v>
      </c>
      <c r="E56" s="204" t="s">
        <v>474</v>
      </c>
      <c r="F56" s="215">
        <f>'S2.7 energy recovery calc'!B33*'S2.7 energy recovery calc'!C33/1000000</f>
        <v>1.6558666666666666</v>
      </c>
      <c r="G56" s="206" t="s">
        <v>475</v>
      </c>
      <c r="H56" s="204" t="s">
        <v>474</v>
      </c>
      <c r="I56" s="215">
        <f>'S2.7 energy recovery calc'!B32*'S2.7 energy recovery calc'!C32/1000000</f>
        <v>2.6182009838369638</v>
      </c>
      <c r="J56" s="206" t="s">
        <v>475</v>
      </c>
      <c r="K56" s="204" t="s">
        <v>474</v>
      </c>
      <c r="L56" s="215">
        <f>'S2.7 energy recovery calc'!B31*'S2.7 energy recovery calc'!C31/1000000</f>
        <v>3.4356666666666671</v>
      </c>
      <c r="M56" s="206" t="s">
        <v>475</v>
      </c>
      <c r="N56" s="204" t="s">
        <v>1550</v>
      </c>
      <c r="O56" s="215">
        <f>'S2.7 energy recovery calc'!B32*'S2.7 energy recovery calc'!C32/1000000</f>
        <v>2.6182009838369638</v>
      </c>
      <c r="P56" s="206" t="s">
        <v>37</v>
      </c>
      <c r="R56" s="184" t="s">
        <v>3</v>
      </c>
    </row>
    <row r="57" spans="2:20" x14ac:dyDescent="0.2">
      <c r="B57" s="551" t="s">
        <v>1554</v>
      </c>
      <c r="C57" s="680"/>
      <c r="D57" s="798">
        <v>5.1729953000000002E-3</v>
      </c>
      <c r="E57" s="204" t="s">
        <v>476</v>
      </c>
      <c r="F57" s="207">
        <f>F55-F56</f>
        <v>-0.92038108066666657</v>
      </c>
      <c r="G57" s="206" t="s">
        <v>477</v>
      </c>
      <c r="H57" s="204" t="s">
        <v>476</v>
      </c>
      <c r="I57" s="207">
        <f>I55-I56</f>
        <v>-1.4552757775825718</v>
      </c>
      <c r="J57" s="206" t="s">
        <v>477</v>
      </c>
      <c r="K57" s="204" t="s">
        <v>476</v>
      </c>
      <c r="L57" s="207">
        <f>L55-L56</f>
        <v>-1.9194014766666672</v>
      </c>
      <c r="M57" s="206" t="s">
        <v>477</v>
      </c>
      <c r="N57" s="204" t="s">
        <v>3</v>
      </c>
      <c r="O57" s="207"/>
      <c r="P57" s="206"/>
      <c r="R57" s="184" t="s">
        <v>3</v>
      </c>
    </row>
    <row r="58" spans="2:20" x14ac:dyDescent="0.2">
      <c r="B58" s="551"/>
      <c r="C58" s="680"/>
      <c r="D58" s="798"/>
      <c r="E58" s="521" t="s">
        <v>1463</v>
      </c>
      <c r="F58" s="522">
        <f>'S2.6 energy demand chemicals'!N31*F54</f>
        <v>0.10386601996366489</v>
      </c>
      <c r="G58" s="523" t="s">
        <v>460</v>
      </c>
      <c r="H58" s="521" t="s">
        <v>1463</v>
      </c>
      <c r="I58" s="522">
        <f>'S2.6 energy demand chemicals'!T31*I54</f>
        <v>0.16422947640073504</v>
      </c>
      <c r="J58" s="523" t="s">
        <v>460</v>
      </c>
      <c r="K58" s="521" t="s">
        <v>1463</v>
      </c>
      <c r="L58" s="522">
        <f>'S2.6 energy demand chemicals'!T31*L54</f>
        <v>0.21412850706057227</v>
      </c>
      <c r="M58" s="523" t="s">
        <v>460</v>
      </c>
      <c r="N58" s="204" t="s">
        <v>1551</v>
      </c>
      <c r="O58" s="215">
        <f>'S2.5 energy supply scenarios'!B43*('S2.2.3 Pyro_cred'!O54/3.6)</f>
        <v>5.2658158606740182E-2</v>
      </c>
      <c r="P58" s="206" t="s">
        <v>37</v>
      </c>
      <c r="R58" s="184" t="s">
        <v>3</v>
      </c>
    </row>
    <row r="59" spans="2:20" x14ac:dyDescent="0.2">
      <c r="B59" s="551"/>
      <c r="C59" s="680"/>
      <c r="D59" s="798"/>
      <c r="E59" s="521"/>
      <c r="F59" s="524"/>
      <c r="G59" s="525">
        <f>F57+F58</f>
        <v>-0.81651506070300173</v>
      </c>
      <c r="H59" s="521"/>
      <c r="I59" s="524"/>
      <c r="J59" s="525">
        <f>I57+I58</f>
        <v>-1.2910463011818367</v>
      </c>
      <c r="K59" s="521"/>
      <c r="L59" s="524"/>
      <c r="M59" s="525">
        <f>L57+L58</f>
        <v>-1.7052729696060949</v>
      </c>
      <c r="N59" s="204" t="s">
        <v>1552</v>
      </c>
      <c r="O59" s="207">
        <f>'S2.5 energy supply scenarios'!B40*('S2.2.3 Pyro_cred'!O55/3.6)</f>
        <v>0.25333822010115548</v>
      </c>
      <c r="P59" s="206" t="s">
        <v>37</v>
      </c>
      <c r="R59" s="184" t="s">
        <v>3</v>
      </c>
    </row>
    <row r="60" spans="2:20" x14ac:dyDescent="0.2">
      <c r="B60" s="551"/>
      <c r="C60" s="680"/>
      <c r="D60" s="798"/>
      <c r="E60" s="571" t="s">
        <v>1547</v>
      </c>
      <c r="F60" s="572">
        <f>'S2.7 energy recovery calc'!B33*'S2.7 energy recovery calc'!A4</f>
        <v>1.9665389999999996</v>
      </c>
      <c r="G60" s="573" t="s">
        <v>1548</v>
      </c>
      <c r="H60" s="571" t="s">
        <v>1547</v>
      </c>
      <c r="I60" s="572">
        <f>'S2.7 energy recovery calc'!B32*'S2.7 energy recovery calc'!A4</f>
        <v>3.1094256851721709</v>
      </c>
      <c r="J60" s="573" t="s">
        <v>1548</v>
      </c>
      <c r="K60" s="571" t="s">
        <v>1547</v>
      </c>
      <c r="L60" s="572">
        <f>'S2.7 energy recovery calc'!B31*'S2.7 energy recovery calc'!A4</f>
        <v>4.0541849999999995</v>
      </c>
      <c r="M60" s="573" t="s">
        <v>1548</v>
      </c>
      <c r="N60" s="204"/>
      <c r="O60" s="201"/>
      <c r="P60" s="202"/>
      <c r="R60" s="184" t="s">
        <v>3</v>
      </c>
    </row>
    <row r="61" spans="2:20" x14ac:dyDescent="0.2">
      <c r="B61" s="551"/>
      <c r="C61" s="680"/>
      <c r="D61" s="798"/>
      <c r="E61" s="571" t="s">
        <v>1549</v>
      </c>
      <c r="F61" s="572">
        <f>'S2.7 energy recovery calc'!B33*'S2.7 energy recovery calc'!A5</f>
        <v>9.1771819999999984</v>
      </c>
      <c r="G61" s="573" t="s">
        <v>1431</v>
      </c>
      <c r="H61" s="571" t="s">
        <v>1549</v>
      </c>
      <c r="I61" s="572">
        <f>'S2.7 energy recovery calc'!B32*'S2.7 energy recovery calc'!A5</f>
        <v>14.51065319747013</v>
      </c>
      <c r="J61" s="573" t="s">
        <v>1431</v>
      </c>
      <c r="K61" s="571" t="s">
        <v>1549</v>
      </c>
      <c r="L61" s="572">
        <f>'S2.7 energy recovery calc'!B31*'S2.7 energy recovery calc'!A5</f>
        <v>18.919529999999998</v>
      </c>
      <c r="M61" s="573" t="s">
        <v>1431</v>
      </c>
      <c r="N61" s="204"/>
      <c r="O61" s="201"/>
      <c r="P61" s="202"/>
      <c r="R61" s="184" t="s">
        <v>3</v>
      </c>
    </row>
    <row r="62" spans="2:20" x14ac:dyDescent="0.2">
      <c r="B62" s="551"/>
      <c r="C62" s="680"/>
      <c r="D62" s="798"/>
      <c r="E62" s="571" t="s">
        <v>1550</v>
      </c>
      <c r="F62" s="572">
        <f>'S2.7 energy recovery calc'!B33*'S2.7 energy recovery calc'!C33/1000000</f>
        <v>1.6558666666666666</v>
      </c>
      <c r="G62" s="573" t="s">
        <v>37</v>
      </c>
      <c r="H62" s="571" t="s">
        <v>1550</v>
      </c>
      <c r="I62" s="572">
        <f>'S2.7 energy recovery calc'!B32*'S2.7 energy recovery calc'!C32/1000000</f>
        <v>2.6182009838369638</v>
      </c>
      <c r="J62" s="573" t="s">
        <v>37</v>
      </c>
      <c r="K62" s="571" t="s">
        <v>1550</v>
      </c>
      <c r="L62" s="572">
        <f>'S2.7 energy recovery calc'!B31*'S2.7 energy recovery calc'!C31/1000000</f>
        <v>3.4356666666666671</v>
      </c>
      <c r="M62" s="573" t="s">
        <v>37</v>
      </c>
      <c r="N62" s="204"/>
      <c r="O62" s="201"/>
      <c r="P62" s="202"/>
      <c r="R62" s="184" t="s">
        <v>3</v>
      </c>
    </row>
    <row r="63" spans="2:20" x14ac:dyDescent="0.2">
      <c r="B63" s="204"/>
      <c r="C63" s="205"/>
      <c r="D63" s="206"/>
      <c r="E63" s="574" t="s">
        <v>1551</v>
      </c>
      <c r="F63" s="575">
        <f>'S2.5 energy supply scenarios'!B21*('S2.2.3 Pyro_cred'!F60/3.6)</f>
        <v>0.22686648761486994</v>
      </c>
      <c r="G63" s="576" t="s">
        <v>37</v>
      </c>
      <c r="H63" s="574" t="s">
        <v>1551</v>
      </c>
      <c r="I63" s="575">
        <f>'S2.5 energy supply scenarios'!B21*('S2.2.3 Pyro_cred'!I60/3.6)</f>
        <v>0.35871370142899328</v>
      </c>
      <c r="J63" s="576" t="s">
        <v>37</v>
      </c>
      <c r="K63" s="574" t="s">
        <v>1551</v>
      </c>
      <c r="L63" s="575">
        <f>'S2.5 energy supply scenarios'!B21*('S2.2.3 Pyro_cred'!L60/3.6)</f>
        <v>0.46770428203604991</v>
      </c>
      <c r="M63" s="576" t="s">
        <v>37</v>
      </c>
      <c r="N63" s="204"/>
      <c r="O63" s="201"/>
      <c r="P63" s="202"/>
      <c r="R63" s="184" t="s">
        <v>3</v>
      </c>
    </row>
    <row r="64" spans="2:20" x14ac:dyDescent="0.2">
      <c r="B64" s="204"/>
      <c r="C64" s="205"/>
      <c r="D64" s="206"/>
      <c r="E64" s="577" t="s">
        <v>1552</v>
      </c>
      <c r="F64" s="578">
        <f>'S2.5 energy supply scenarios'!B40*('S2.2.3 Pyro_cred'!F61/3.6)</f>
        <v>0.16022234986841966</v>
      </c>
      <c r="G64" s="579" t="s">
        <v>37</v>
      </c>
      <c r="H64" s="577" t="s">
        <v>1552</v>
      </c>
      <c r="I64" s="578">
        <f>'S2.5 energy supply scenarios'!B40*('S2.2.3 Pyro_cred'!I61/3.6)</f>
        <v>0.25333822010115548</v>
      </c>
      <c r="J64" s="579" t="s">
        <v>37</v>
      </c>
      <c r="K64" s="577" t="s">
        <v>1552</v>
      </c>
      <c r="L64" s="578">
        <f>'S2.5 energy supply scenarios'!B40*('S2.2.3 Pyro_cred'!L61/3.6)</f>
        <v>0.33031180541107963</v>
      </c>
      <c r="M64" s="579" t="s">
        <v>37</v>
      </c>
      <c r="N64" s="204"/>
      <c r="O64" s="201"/>
      <c r="P64" s="202"/>
      <c r="R64" s="184" t="s">
        <v>3</v>
      </c>
    </row>
    <row r="65" spans="2:18" x14ac:dyDescent="0.2">
      <c r="B65" s="204"/>
      <c r="C65" s="205"/>
      <c r="D65" s="206"/>
      <c r="E65" s="571"/>
      <c r="F65" s="580"/>
      <c r="G65" s="581">
        <f>SUM(F63,F64-F62)</f>
        <v>-1.2687778291833771</v>
      </c>
      <c r="H65" s="571"/>
      <c r="I65" s="580"/>
      <c r="J65" s="581">
        <f>SUM(I63,I64-I62)</f>
        <v>-2.006149062306815</v>
      </c>
      <c r="K65" s="571"/>
      <c r="L65" s="580"/>
      <c r="M65" s="581">
        <f>SUM(L63,L64-L62)</f>
        <v>-2.6376505792195375</v>
      </c>
      <c r="N65" s="204"/>
      <c r="O65" s="201"/>
      <c r="P65" s="202"/>
      <c r="R65" s="184" t="s">
        <v>3</v>
      </c>
    </row>
    <row r="66" spans="2:18" ht="15" thickBot="1" x14ac:dyDescent="0.25">
      <c r="B66" s="208" t="s">
        <v>2002</v>
      </c>
      <c r="C66" s="209" t="s">
        <v>3</v>
      </c>
      <c r="D66" s="210">
        <f>-AVERAGE(D54:D57)</f>
        <v>-0.15603872052500001</v>
      </c>
      <c r="E66" s="208" t="s">
        <v>2002</v>
      </c>
      <c r="F66" s="209" t="s">
        <v>3</v>
      </c>
      <c r="G66" s="210">
        <f>G59</f>
        <v>-0.81651506070300173</v>
      </c>
      <c r="H66" s="208" t="s">
        <v>2002</v>
      </c>
      <c r="I66" s="209" t="s">
        <v>3</v>
      </c>
      <c r="J66" s="210">
        <f>J59</f>
        <v>-1.2910463011818367</v>
      </c>
      <c r="K66" s="208" t="s">
        <v>2002</v>
      </c>
      <c r="L66" s="209" t="s">
        <v>3</v>
      </c>
      <c r="M66" s="210">
        <f>M59</f>
        <v>-1.7052729696060949</v>
      </c>
      <c r="N66" s="208" t="s">
        <v>2002</v>
      </c>
      <c r="O66" s="209" t="s">
        <v>3</v>
      </c>
      <c r="P66" s="460">
        <f>SUM(O58,O59)-O56</f>
        <v>-2.3122046051290681</v>
      </c>
      <c r="R66" s="184" t="s">
        <v>3</v>
      </c>
    </row>
    <row r="67" spans="2:18" ht="94.15" customHeight="1" x14ac:dyDescent="0.2">
      <c r="B67" s="1434" t="str">
        <f>'S2.9 overview inventory '!P102</f>
        <v>landfill: Ecoinvent process;
energetic utilization: high heating value: for elements contributing most to heating value, maximum shares from literature review chosen; low heating value: median shares from literature review chosen, ash share calculated as difference, resulting in a very similar share as median ash share; intermediate heating value: lower ash share than for low heating value (10%), shares of remaining elements calculated by scaling median values so that sum amounts to 90%; heating value calculation with approximation formula based on elemental composition; emission factors calculated stoichiometrically from C content; substituted energy: fossil scenario: substitution of natural gas based on heating values, consideration of emission difference via emission factors and impacts of alternative natural gas production; renewable scenario: heat and electricity production calculated via heating value as well as heat and electricity efficiencies, emissions calculated via emission factor; substitution of renewable energy mix</v>
      </c>
      <c r="C67" s="1434"/>
      <c r="D67" s="1434"/>
      <c r="E67" s="1434"/>
      <c r="F67" s="1434"/>
      <c r="G67" s="1434"/>
      <c r="H67" s="1434"/>
      <c r="I67" s="1434"/>
      <c r="J67" s="1434"/>
      <c r="K67" s="1434"/>
      <c r="L67" s="1434"/>
      <c r="M67" s="1434"/>
      <c r="N67" s="1434"/>
      <c r="O67" s="1434"/>
      <c r="P67" s="1434"/>
    </row>
    <row r="68" spans="2:18" ht="15" x14ac:dyDescent="0.25">
      <c r="B68"/>
    </row>
    <row r="69" spans="2:18" x14ac:dyDescent="0.2">
      <c r="B69" s="218"/>
      <c r="H69" s="459"/>
    </row>
  </sheetData>
  <mergeCells count="41">
    <mergeCell ref="B12:B13"/>
    <mergeCell ref="C12:D12"/>
    <mergeCell ref="E12:H12"/>
    <mergeCell ref="B51:M51"/>
    <mergeCell ref="B10:M10"/>
    <mergeCell ref="C33:D34"/>
    <mergeCell ref="F50:G50"/>
    <mergeCell ref="F49:G49"/>
    <mergeCell ref="H49:I49"/>
    <mergeCell ref="H50:I50"/>
    <mergeCell ref="F34:G34"/>
    <mergeCell ref="B32:M32"/>
    <mergeCell ref="B31:G31"/>
    <mergeCell ref="F33:M33"/>
    <mergeCell ref="J34:K34"/>
    <mergeCell ref="J35:K35"/>
    <mergeCell ref="B9:F9"/>
    <mergeCell ref="B3:F3"/>
    <mergeCell ref="B2:F2"/>
    <mergeCell ref="B4:F4"/>
    <mergeCell ref="N53:P53"/>
    <mergeCell ref="K53:M53"/>
    <mergeCell ref="H53:J53"/>
    <mergeCell ref="B53:D53"/>
    <mergeCell ref="B52:M52"/>
    <mergeCell ref="E53:G53"/>
    <mergeCell ref="C29:D30"/>
    <mergeCell ref="C28:D28"/>
    <mergeCell ref="G14:G28"/>
    <mergeCell ref="C49:D50"/>
    <mergeCell ref="H34:I34"/>
    <mergeCell ref="E33:E35"/>
    <mergeCell ref="B67:P67"/>
    <mergeCell ref="L49:M49"/>
    <mergeCell ref="L50:M50"/>
    <mergeCell ref="L35:M35"/>
    <mergeCell ref="B33:B35"/>
    <mergeCell ref="L34:M34"/>
    <mergeCell ref="J49:K49"/>
    <mergeCell ref="J50:K50"/>
    <mergeCell ref="J36:K48"/>
  </mergeCell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0ACA7-3F3E-4B22-A0E3-F91E18579D18}">
  <sheetPr>
    <tabColor rgb="FFC46200"/>
  </sheetPr>
  <dimension ref="B2:Q31"/>
  <sheetViews>
    <sheetView zoomScale="70" zoomScaleNormal="70" workbookViewId="0">
      <selection activeCell="B34" sqref="B34"/>
    </sheetView>
  </sheetViews>
  <sheetFormatPr defaultColWidth="9" defaultRowHeight="14.25" x14ac:dyDescent="0.2"/>
  <cols>
    <col min="1" max="1" width="3.28515625" style="184" customWidth="1"/>
    <col min="2" max="2" width="21.7109375" style="184" customWidth="1"/>
    <col min="3" max="17" width="19.7109375" style="184" customWidth="1"/>
    <col min="18" max="16384" width="9" style="184"/>
  </cols>
  <sheetData>
    <row r="2" spans="2:17" ht="15" x14ac:dyDescent="0.25">
      <c r="B2" s="217" t="s">
        <v>121</v>
      </c>
      <c r="C2" s="217"/>
    </row>
    <row r="3" spans="2:17" ht="15" x14ac:dyDescent="0.25">
      <c r="B3" s="216" t="s">
        <v>1147</v>
      </c>
      <c r="C3" s="217"/>
    </row>
    <row r="4" spans="2:17" ht="15" thickBot="1" x14ac:dyDescent="0.25">
      <c r="B4" s="1476" t="s">
        <v>1147</v>
      </c>
      <c r="C4" s="1476"/>
      <c r="D4" s="1476"/>
      <c r="E4" s="1476"/>
      <c r="F4" s="1476"/>
      <c r="G4" s="1476"/>
      <c r="H4" s="1476"/>
      <c r="I4" s="1476"/>
      <c r="J4" s="1476"/>
      <c r="K4" s="1476"/>
      <c r="L4" s="1476"/>
      <c r="M4" s="1476"/>
      <c r="N4" s="1476"/>
      <c r="O4" s="1476"/>
      <c r="P4" s="1476"/>
      <c r="Q4" s="1476"/>
    </row>
    <row r="5" spans="2:17" ht="29.25" thickBot="1" x14ac:dyDescent="0.25">
      <c r="B5" s="219"/>
      <c r="C5" s="596" t="s">
        <v>478</v>
      </c>
      <c r="D5" s="1415" t="s">
        <v>479</v>
      </c>
      <c r="E5" s="1417"/>
      <c r="F5" s="1416" t="s">
        <v>480</v>
      </c>
      <c r="G5" s="1417"/>
      <c r="H5" s="1416" t="s">
        <v>481</v>
      </c>
      <c r="I5" s="1416"/>
      <c r="J5" s="1416"/>
      <c r="K5" s="1418" t="s">
        <v>482</v>
      </c>
      <c r="L5" s="1419"/>
      <c r="M5" s="1420"/>
      <c r="N5" s="1415" t="s">
        <v>483</v>
      </c>
      <c r="O5" s="1416"/>
      <c r="P5" s="1417"/>
      <c r="Q5" s="699" t="s">
        <v>1576</v>
      </c>
    </row>
    <row r="6" spans="2:17" x14ac:dyDescent="0.2">
      <c r="B6" s="566" t="s">
        <v>419</v>
      </c>
      <c r="C6" s="597" t="s">
        <v>422</v>
      </c>
      <c r="D6" s="598" t="s">
        <v>423</v>
      </c>
      <c r="E6" s="599" t="s">
        <v>421</v>
      </c>
      <c r="F6" s="600" t="s">
        <v>422</v>
      </c>
      <c r="G6" s="601" t="s">
        <v>422</v>
      </c>
      <c r="H6" s="600" t="s">
        <v>422</v>
      </c>
      <c r="I6" s="600" t="s">
        <v>422</v>
      </c>
      <c r="J6" s="600" t="s">
        <v>422</v>
      </c>
      <c r="K6" s="602" t="s">
        <v>422</v>
      </c>
      <c r="L6" s="600" t="s">
        <v>422</v>
      </c>
      <c r="M6" s="601" t="s">
        <v>422</v>
      </c>
      <c r="N6" s="838" t="s">
        <v>423</v>
      </c>
      <c r="O6" s="838" t="s">
        <v>423</v>
      </c>
      <c r="P6" s="603" t="s">
        <v>421</v>
      </c>
      <c r="Q6" s="601" t="s">
        <v>422</v>
      </c>
    </row>
    <row r="7" spans="2:17" ht="42.75" x14ac:dyDescent="0.2">
      <c r="B7" s="567" t="s">
        <v>428</v>
      </c>
      <c r="C7" s="526" t="s">
        <v>430</v>
      </c>
      <c r="D7" s="220" t="s">
        <v>430</v>
      </c>
      <c r="E7" s="221" t="s">
        <v>430</v>
      </c>
      <c r="F7" s="222" t="s">
        <v>431</v>
      </c>
      <c r="G7" s="223" t="s">
        <v>429</v>
      </c>
      <c r="H7" s="224" t="s">
        <v>430</v>
      </c>
      <c r="I7" s="224" t="s">
        <v>430</v>
      </c>
      <c r="J7" s="224" t="s">
        <v>430</v>
      </c>
      <c r="K7" s="220" t="s">
        <v>430</v>
      </c>
      <c r="L7" s="224" t="s">
        <v>430</v>
      </c>
      <c r="M7" s="221" t="s">
        <v>430</v>
      </c>
      <c r="N7" s="222" t="s">
        <v>431</v>
      </c>
      <c r="O7" s="222" t="s">
        <v>431</v>
      </c>
      <c r="P7" s="223" t="s">
        <v>429</v>
      </c>
      <c r="Q7" s="503" t="s">
        <v>431</v>
      </c>
    </row>
    <row r="8" spans="2:17" ht="42.75" x14ac:dyDescent="0.2">
      <c r="B8" s="568" t="s">
        <v>447</v>
      </c>
      <c r="C8" s="527" t="s">
        <v>430</v>
      </c>
      <c r="D8" s="226" t="s">
        <v>430</v>
      </c>
      <c r="E8" s="227" t="s">
        <v>430</v>
      </c>
      <c r="F8" s="228" t="s">
        <v>430</v>
      </c>
      <c r="G8" s="227" t="s">
        <v>430</v>
      </c>
      <c r="H8" s="570" t="s">
        <v>1576</v>
      </c>
      <c r="I8" s="530" t="s">
        <v>1581</v>
      </c>
      <c r="J8" s="529" t="s">
        <v>429</v>
      </c>
      <c r="K8" s="226" t="s">
        <v>430</v>
      </c>
      <c r="L8" s="228" t="s">
        <v>430</v>
      </c>
      <c r="M8" s="227" t="s">
        <v>430</v>
      </c>
      <c r="N8" s="570" t="s">
        <v>1576</v>
      </c>
      <c r="O8" s="530" t="s">
        <v>1581</v>
      </c>
      <c r="P8" s="229" t="s">
        <v>429</v>
      </c>
      <c r="Q8" s="604" t="s">
        <v>1576</v>
      </c>
    </row>
    <row r="9" spans="2:17" ht="45.75" thickBot="1" x14ac:dyDescent="0.25">
      <c r="B9" s="605" t="s">
        <v>468</v>
      </c>
      <c r="C9" s="606" t="s">
        <v>487</v>
      </c>
      <c r="D9" s="707" t="s">
        <v>487</v>
      </c>
      <c r="E9" s="259" t="s">
        <v>487</v>
      </c>
      <c r="F9" s="564" t="s">
        <v>487</v>
      </c>
      <c r="G9" s="259" t="s">
        <v>487</v>
      </c>
      <c r="H9" s="564" t="s">
        <v>487</v>
      </c>
      <c r="I9" s="564" t="s">
        <v>487</v>
      </c>
      <c r="J9" s="564" t="s">
        <v>487</v>
      </c>
      <c r="K9" s="563" t="s">
        <v>486</v>
      </c>
      <c r="L9" s="957" t="s">
        <v>484</v>
      </c>
      <c r="M9" s="565" t="s">
        <v>1223</v>
      </c>
      <c r="N9" s="835" t="s">
        <v>486</v>
      </c>
      <c r="O9" s="835" t="s">
        <v>486</v>
      </c>
      <c r="P9" s="837" t="s">
        <v>1223</v>
      </c>
      <c r="Q9" s="697" t="s">
        <v>484</v>
      </c>
    </row>
    <row r="10" spans="2:17" ht="43.5" thickBot="1" x14ac:dyDescent="0.25">
      <c r="B10" s="607" t="s">
        <v>1939</v>
      </c>
      <c r="C10" s="608">
        <f>'S2.2.3 Pyro_cred'!D6*'S2.2.3 Pyro_cred'!F29+'S2.2.3 Pyro_cred'!D7*'S2.2.3 Pyro_cred'!H49+'S2.2.3 Pyro_cred'!D8*'S2.2.3 Pyro_cred'!G66</f>
        <v>0.50319677031516563</v>
      </c>
      <c r="D10" s="609">
        <f>'S2.2.3 Pyro_cred'!E6*'S2.2.3 Pyro_cred'!F29+'S2.2.3 Pyro_cred'!E7*'S2.2.3 Pyro_cred'!H49+'S2.2.3 Pyro_cred'!E8*'S2.2.3 Pyro_cred'!G66</f>
        <v>0.28975629703368688</v>
      </c>
      <c r="E10" s="562">
        <f>'S2.2.3 Pyro_cred'!C6*'S2.2.3 Pyro_cred'!F29+'S2.2.3 Pyro_cred'!C7*'S2.2.3 Pyro_cred'!H49+'S2.2.3 Pyro_cred'!C8*'S2.2.3 Pyro_cred'!G66</f>
        <v>0.67394914894034885</v>
      </c>
      <c r="F10" s="233">
        <f>'S2.2.3 Pyro_cred'!D6*'S2.2.3 Pyro_cred'!G29+'S2.2.3 Pyro_cred'!D7*'S2.2.3 Pyro_cred'!H49+'S2.2.3 Pyro_cred'!D8*'S2.2.3 Pyro_cred'!G66</f>
        <v>0.24908099888013735</v>
      </c>
      <c r="G10" s="562">
        <f>'S2.2.3 Pyro_cred'!D6*'S2.2.3 Pyro_cred'!E29+'S2.2.3 Pyro_cred'!D7*'S2.2.3 Pyro_cred'!H49+'S2.2.3 Pyro_cred'!D8*'S2.2.3 Pyro_cred'!G66</f>
        <v>0.80376049865808374</v>
      </c>
      <c r="H10" s="233">
        <f>'S2.2.3 Pyro_cred'!D6*'S2.2.3 Pyro_cred'!F29+'S2.2.3 Pyro_cred'!D7*'S2.2.3 Pyro_cred'!L49+'S2.2.3 Pyro_cred'!D8*'S2.2.3 Pyro_cred'!G66</f>
        <v>0.4241450386553608</v>
      </c>
      <c r="I10" s="233">
        <f>'S2.2.3 Pyro_cred'!D6*'S2.2.3 Pyro_cred'!F29+'S2.2.3 Pyro_cred'!D7*'S2.2.3 Pyro_cred'!J49+'S2.2.3 Pyro_cred'!D8*'S2.2.3 Pyro_cred'!G66</f>
        <v>0.39385246788817707</v>
      </c>
      <c r="J10" s="233">
        <f>'S2.2.3 Pyro_cred'!D6*'S2.2.3 Pyro_cred'!F29+'S2.2.3 Pyro_cred'!D7*'S2.2.3 Pyro_cred'!F49+'S2.2.3 Pyro_cred'!D8*'S2.2.3 Pyro_cred'!G66</f>
        <v>0.56037411436746065</v>
      </c>
      <c r="K10" s="691">
        <f>'S2.2.3 Pyro_cred'!D6*'S2.2.3 Pyro_cred'!F29+'S2.2.3 Pyro_cred'!D7*'S2.2.3 Pyro_cred'!H49+'S2.2.3 Pyro_cred'!D8*'S2.2.3 Pyro_cred'!M66</f>
        <v>0.32100139899003149</v>
      </c>
      <c r="L10" s="528">
        <f>'S2.2.3 Pyro_cred'!D6*'S2.2.3 Pyro_cred'!F29+'S2.2.3 Pyro_cred'!D7*'S2.2.3 Pyro_cred'!H49+'S2.2.3 Pyro_cred'!D8*'S2.2.3 Pyro_cred'!J66</f>
        <v>0.40591786601700441</v>
      </c>
      <c r="M10" s="232">
        <f>'S2.2.3 Pyro_cred'!D6*'S2.2.3 Pyro_cred'!F29+'S2.2.3 Pyro_cred'!D7*'S2.2.3 Pyro_cred'!H49+'S2.2.3 Pyro_cred'!D8*'S2.2.3 Pyro_cred'!D66</f>
        <v>0.63859442005165601</v>
      </c>
      <c r="N10" s="532">
        <f>'S2.2.3 Pyro_cred'!E6*'S2.2.3 Pyro_cred'!G29+'S2.2.3 Pyro_cred'!E7*'S2.2.3 Pyro_cred'!L49+'S2.2.3 Pyro_cred'!E8*'S2.2.3 Pyro_cred'!M66</f>
        <v>-0.27206533309677761</v>
      </c>
      <c r="O10" s="828">
        <f>'S2.2.3 Pyro_cred'!E6*'S2.2.3 Pyro_cred'!G29+'S2.2.3 Pyro_cred'!E7*'S2.2.3 Pyro_cred'!J49+'S2.2.3 Pyro_cred'!E8*'S2.2.3 Pyro_cred'!M66</f>
        <v>-0.3189818756264402</v>
      </c>
      <c r="P10" s="235">
        <f>'S2.2.3 Pyro_cred'!C6*'S2.2.3 Pyro_cred'!E29+'S2.2.3 Pyro_cred'!C7*'S2.2.3 Pyro_cred'!F49+'S2.2.3 Pyro_cred'!C8*'S2.2.3 Pyro_cred'!D66</f>
        <v>1.1742401604946995</v>
      </c>
      <c r="Q10" s="235">
        <f>'S2.2.3 Pyro_cred'!D6*'S2.2.3 Pyro_cred'!H29+'S2.2.3 Pyro_cred'!D7*'S2.2.3 Pyro_cred'!L49+'S2.2.3 Pyro_cred'!D8*'S2.2.3 Pyro_cred'!J66</f>
        <v>7.2750362922171297E-2</v>
      </c>
    </row>
    <row r="11" spans="2:17" ht="15" x14ac:dyDescent="0.25">
      <c r="D11" s="1479">
        <f>E10-D10</f>
        <v>0.38419285190666197</v>
      </c>
      <c r="E11" s="1480"/>
      <c r="F11" s="1473">
        <f>G10-F10</f>
        <v>0.55467949977794639</v>
      </c>
      <c r="G11" s="1473"/>
      <c r="H11" s="1427">
        <f>J10-H10</f>
        <v>0.13622907571209986</v>
      </c>
      <c r="I11" s="1427"/>
      <c r="J11" s="1427"/>
      <c r="K11" s="1474">
        <f>M10-K10</f>
        <v>0.31759302106162451</v>
      </c>
      <c r="L11" s="1474"/>
      <c r="M11" s="1474"/>
      <c r="N11" s="820">
        <f>P10-N10</f>
        <v>1.4463054935914772</v>
      </c>
      <c r="O11" s="820">
        <f>P10-O10</f>
        <v>1.4932220361211397</v>
      </c>
      <c r="P11"/>
    </row>
    <row r="13" spans="2:17" ht="15" thickBot="1" x14ac:dyDescent="0.25">
      <c r="B13" s="1476" t="s">
        <v>1148</v>
      </c>
      <c r="C13" s="1476"/>
      <c r="D13" s="1476"/>
      <c r="E13" s="1476"/>
      <c r="F13" s="1476"/>
      <c r="G13" s="1476"/>
      <c r="H13" s="1476"/>
      <c r="I13" s="1476"/>
      <c r="J13" s="1476"/>
      <c r="K13" s="1476"/>
      <c r="L13" s="1476"/>
      <c r="M13" s="1476"/>
      <c r="N13" s="1476"/>
      <c r="O13" s="1476"/>
      <c r="P13" s="1476"/>
      <c r="Q13" s="1476"/>
    </row>
    <row r="14" spans="2:17" ht="29.25" thickBot="1" x14ac:dyDescent="0.25">
      <c r="B14" s="219"/>
      <c r="C14" s="596" t="s">
        <v>478</v>
      </c>
      <c r="D14" s="1415" t="s">
        <v>479</v>
      </c>
      <c r="E14" s="1417"/>
      <c r="F14" s="1416" t="s">
        <v>480</v>
      </c>
      <c r="G14" s="1417"/>
      <c r="H14" s="1416" t="s">
        <v>481</v>
      </c>
      <c r="I14" s="1416"/>
      <c r="J14" s="1416"/>
      <c r="K14" s="1415" t="s">
        <v>482</v>
      </c>
      <c r="L14" s="1416"/>
      <c r="M14" s="1417"/>
      <c r="N14" s="1418" t="s">
        <v>483</v>
      </c>
      <c r="O14" s="1419"/>
      <c r="P14" s="1420"/>
      <c r="Q14" s="699" t="s">
        <v>1576</v>
      </c>
    </row>
    <row r="15" spans="2:17" ht="14.25" customHeight="1" x14ac:dyDescent="0.2">
      <c r="B15" s="566" t="s">
        <v>419</v>
      </c>
      <c r="C15" s="597" t="s">
        <v>422</v>
      </c>
      <c r="D15" s="598" t="s">
        <v>423</v>
      </c>
      <c r="E15" s="599" t="s">
        <v>421</v>
      </c>
      <c r="F15" s="600" t="s">
        <v>422</v>
      </c>
      <c r="G15" s="601" t="s">
        <v>422</v>
      </c>
      <c r="H15" s="600" t="s">
        <v>422</v>
      </c>
      <c r="I15" s="600" t="s">
        <v>422</v>
      </c>
      <c r="J15" s="600" t="s">
        <v>422</v>
      </c>
      <c r="K15" s="1477"/>
      <c r="L15" s="1477"/>
      <c r="M15" s="601" t="s">
        <v>422</v>
      </c>
      <c r="N15" s="598" t="s">
        <v>423</v>
      </c>
      <c r="O15" s="838" t="s">
        <v>423</v>
      </c>
      <c r="P15" s="603" t="s">
        <v>421</v>
      </c>
      <c r="Q15" s="601" t="s">
        <v>422</v>
      </c>
    </row>
    <row r="16" spans="2:17" ht="42.75" x14ac:dyDescent="0.2">
      <c r="B16" s="567" t="s">
        <v>428</v>
      </c>
      <c r="C16" s="526" t="s">
        <v>430</v>
      </c>
      <c r="D16" s="220" t="s">
        <v>430</v>
      </c>
      <c r="E16" s="221" t="s">
        <v>430</v>
      </c>
      <c r="F16" s="222" t="s">
        <v>431</v>
      </c>
      <c r="G16" s="223" t="s">
        <v>429</v>
      </c>
      <c r="H16" s="224" t="s">
        <v>430</v>
      </c>
      <c r="I16" s="224" t="s">
        <v>430</v>
      </c>
      <c r="J16" s="224" t="s">
        <v>430</v>
      </c>
      <c r="K16" s="1478"/>
      <c r="L16" s="1478"/>
      <c r="M16" s="221" t="s">
        <v>430</v>
      </c>
      <c r="N16" s="225" t="s">
        <v>431</v>
      </c>
      <c r="O16" s="222" t="s">
        <v>431</v>
      </c>
      <c r="P16" s="223" t="s">
        <v>429</v>
      </c>
      <c r="Q16" s="503" t="s">
        <v>431</v>
      </c>
    </row>
    <row r="17" spans="2:17" ht="42.75" x14ac:dyDescent="0.2">
      <c r="B17" s="568" t="s">
        <v>447</v>
      </c>
      <c r="C17" s="527" t="s">
        <v>430</v>
      </c>
      <c r="D17" s="226" t="s">
        <v>430</v>
      </c>
      <c r="E17" s="227" t="s">
        <v>430</v>
      </c>
      <c r="F17" s="228" t="s">
        <v>430</v>
      </c>
      <c r="G17" s="227" t="s">
        <v>430</v>
      </c>
      <c r="H17" s="570" t="s">
        <v>1576</v>
      </c>
      <c r="I17" s="530" t="s">
        <v>1581</v>
      </c>
      <c r="J17" s="529" t="s">
        <v>429</v>
      </c>
      <c r="K17" s="1478"/>
      <c r="L17" s="1478"/>
      <c r="M17" s="227" t="s">
        <v>430</v>
      </c>
      <c r="N17" s="836" t="s">
        <v>1576</v>
      </c>
      <c r="O17" s="530" t="s">
        <v>1581</v>
      </c>
      <c r="P17" s="229" t="s">
        <v>429</v>
      </c>
      <c r="Q17" s="604" t="s">
        <v>1576</v>
      </c>
    </row>
    <row r="18" spans="2:17" ht="86.25" thickBot="1" x14ac:dyDescent="0.25">
      <c r="B18" s="605" t="s">
        <v>468</v>
      </c>
      <c r="C18" s="834" t="s">
        <v>472</v>
      </c>
      <c r="D18" s="830" t="s">
        <v>472</v>
      </c>
      <c r="E18" s="831" t="s">
        <v>472</v>
      </c>
      <c r="F18" s="832" t="s">
        <v>472</v>
      </c>
      <c r="G18" s="831" t="s">
        <v>472</v>
      </c>
      <c r="H18" s="832" t="s">
        <v>472</v>
      </c>
      <c r="I18" s="832" t="s">
        <v>472</v>
      </c>
      <c r="J18" s="832" t="s">
        <v>472</v>
      </c>
      <c r="K18" s="1430"/>
      <c r="L18" s="1430"/>
      <c r="M18" s="565" t="s">
        <v>1223</v>
      </c>
      <c r="N18" s="830" t="s">
        <v>472</v>
      </c>
      <c r="O18" s="832" t="s">
        <v>472</v>
      </c>
      <c r="P18" s="565" t="s">
        <v>1223</v>
      </c>
      <c r="Q18" s="834" t="s">
        <v>472</v>
      </c>
    </row>
    <row r="19" spans="2:17" ht="43.5" thickBot="1" x14ac:dyDescent="0.25">
      <c r="B19" s="607" t="s">
        <v>1939</v>
      </c>
      <c r="C19" s="608">
        <f>'S2.2.3 Pyro_cred'!D6*'S2.2.3 Pyro_cred'!F30+'S2.2.3 Pyro_cred'!D7*'S2.2.3 Pyro_cred'!H50+'S2.2.3 Pyro_cred'!D8*'S2.2.3 Pyro_cred'!P66</f>
        <v>-0.20494053280487357</v>
      </c>
      <c r="D19" s="609">
        <f>'S2.2.3 Pyro_cred'!E6*'S2.2.3 Pyro_cred'!F30+'S2.2.3 Pyro_cred'!E7*'S2.2.3 Pyro_cred'!H50+'S2.2.3 Pyro_cred'!E8*'S2.2.3 Pyro_cred'!P66</f>
        <v>-0.50322358779031995</v>
      </c>
      <c r="E19" s="562">
        <f>'S2.2.3 Pyro_cred'!C6*'S2.2.3 Pyro_cred'!F30+'S2.2.3 Pyro_cred'!C7*'S2.2.3 Pyro_cred'!H50+'S2.2.3 Pyro_cred'!C8*'S2.2.3 Pyro_cred'!P66</f>
        <v>3.3685911183483797E-2</v>
      </c>
      <c r="F19" s="233">
        <f>'S2.2.3 Pyro_cred'!D6*'S2.2.3 Pyro_cred'!G30+'S2.2.3 Pyro_cred'!D7*'S2.2.3 Pyro_cred'!H50+'S2.2.3 Pyro_cred'!D8*'S2.2.3 Pyro_cred'!P66</f>
        <v>-0.39417689111122067</v>
      </c>
      <c r="G19" s="562">
        <f>'S2.2.3 Pyro_cred'!D6*'S2.2.3 Pyro_cred'!E30+'S2.2.3 Pyro_cred'!D7*'S2.2.3 Pyro_cred'!H50+'S2.2.3 Pyro_cred'!D8*'S2.2.3 Pyro_cred'!P66</f>
        <v>-0.17588202430278299</v>
      </c>
      <c r="H19" s="233">
        <f>'S2.2.3 Pyro_cred'!C6*'S2.2.3 Pyro_cred'!F30+'S2.2.3 Pyro_cred'!C7*'S2.2.3 Pyro_cred'!L50+'S2.2.3 Pyro_cred'!C8*'S2.2.3 Pyro_cred'!P66</f>
        <v>-0.24904223734780401</v>
      </c>
      <c r="I19" s="233">
        <f>'S2.2.3 Pyro_cred'!C6*'S2.2.3 Pyro_cred'!F30+'S2.2.3 Pyro_cred'!C7*'S2.2.3 Pyro_cred'!J50+'S2.2.3 Pyro_cred'!C8*'S2.2.3 Pyro_cred'!P66</f>
        <v>1.0541429685391845E-2</v>
      </c>
      <c r="J19" s="233">
        <f>'S2.2.3 Pyro_cred'!C6*'S2.2.3 Pyro_cred'!F30+'S2.2.3 Pyro_cred'!C7*'S2.2.3 Pyro_cred'!F50+'S2.2.3 Pyro_cred'!C8*'S2.2.3 Pyro_cred'!P66</f>
        <v>2.7255924847443602E-2</v>
      </c>
      <c r="K19" s="531"/>
      <c r="L19" s="234"/>
      <c r="M19" s="562">
        <f>'S2.2.3 Pyro_cred'!D6*'S2.2.3 Pyro_cred'!F30+'S2.2.3 Pyro_cred'!D7*'S2.2.3 Pyro_cred'!H50+'S2.2.3 Pyro_cred'!D8*'S2.2.3 Pyro_cred'!D66</f>
        <v>0.23707347353896044</v>
      </c>
      <c r="N19" s="532">
        <f>'S2.2.3 Pyro_cred'!E6*'S2.2.3 Pyro_cred'!G30+'S2.2.3 Pyro_cred'!E7*'S2.2.3 Pyro_cred'!L50+'S2.2.3 Pyro_cred'!E8*'S2.2.3 Pyro_cred'!P66</f>
        <v>-1.40086907877827</v>
      </c>
      <c r="O19" s="828">
        <f>'S2.2.3 Pyro_cred'!E6*'S2.2.3 Pyro_cred'!G30+'S2.2.3 Pyro_cred'!E7*'S2.2.3 Pyro_cred'!J50+'S2.2.3 Pyro_cred'!E8*'S2.2.3 Pyro_cred'!P66</f>
        <v>-0.6841924328387945</v>
      </c>
      <c r="P19" s="235">
        <f>'S2.2.3 Pyro_cred'!C6*'S2.2.3 Pyro_cred'!E30+'S2.2.3 Pyro_cred'!C7*'S2.2.3 Pyro_cred'!F50+'S2.2.3 Pyro_cred'!C8*'S2.2.3 Pyro_cred'!D66</f>
        <v>0.31313881775760588</v>
      </c>
      <c r="Q19" s="235">
        <f>'S2.2.3 Pyro_cred'!D6*'S2.2.3 Pyro_cred'!G30+'S2.2.3 Pyro_cred'!D7*'S2.2.3 Pyro_cred'!L50+'S2.2.3 Pyro_cred'!D8*'S2.2.3 Pyro_cred'!P66</f>
        <v>-0.89817054718873379</v>
      </c>
    </row>
    <row r="20" spans="2:17" ht="15" x14ac:dyDescent="0.25">
      <c r="D20" s="1479">
        <f>E19-D19</f>
        <v>0.53690949897380369</v>
      </c>
      <c r="E20" s="1480"/>
      <c r="F20" s="1473">
        <f>G19-F19</f>
        <v>0.21829486680843768</v>
      </c>
      <c r="G20" s="1473"/>
      <c r="H20" s="1427">
        <f>J19-H19</f>
        <v>0.27629816219524761</v>
      </c>
      <c r="I20" s="1427"/>
      <c r="J20" s="1427"/>
      <c r="K20" s="1474">
        <f>M19-K19</f>
        <v>0.23707347353896044</v>
      </c>
      <c r="L20" s="1474"/>
      <c r="M20" s="1474"/>
      <c r="N20" s="820">
        <f>P19-N19</f>
        <v>1.7140078965358758</v>
      </c>
      <c r="O20" s="820">
        <f>P19-O19</f>
        <v>0.99733125059640038</v>
      </c>
      <c r="P20"/>
    </row>
    <row r="23" spans="2:17" x14ac:dyDescent="0.2">
      <c r="B23" s="216" t="s">
        <v>1473</v>
      </c>
    </row>
    <row r="25" spans="2:17" ht="27.4" customHeight="1" x14ac:dyDescent="0.2">
      <c r="B25" s="1475" t="s">
        <v>1940</v>
      </c>
      <c r="C25" s="1476"/>
      <c r="D25" s="1476"/>
      <c r="E25" s="1476"/>
    </row>
    <row r="26" spans="2:17" x14ac:dyDescent="0.2">
      <c r="B26" s="184" t="s">
        <v>1130</v>
      </c>
      <c r="C26" s="184" t="s">
        <v>422</v>
      </c>
      <c r="D26" s="184" t="s">
        <v>1128</v>
      </c>
      <c r="E26" s="184" t="s">
        <v>1708</v>
      </c>
      <c r="F26" s="184" t="s">
        <v>3</v>
      </c>
    </row>
    <row r="27" spans="2:17" ht="18" x14ac:dyDescent="0.25">
      <c r="B27" s="730">
        <f>'S2.2.2 Pyro_imp'!O75-'S2.2.4 Pyro_res'!N10</f>
        <v>1.5125280098836371</v>
      </c>
      <c r="C27" s="729">
        <f>'S2.2.2 Pyro_imp'!N85-'S2.2.4 Pyro_res'!C10</f>
        <v>0.18966671296026361</v>
      </c>
      <c r="D27" s="730">
        <f>'S2.2.2 Pyro_imp'!M85-'S2.2.4 Pyro_res'!P10</f>
        <v>-0.80421178109385838</v>
      </c>
      <c r="E27" s="730">
        <f>'S2.2.2 Pyro_imp'!N75-'S2.2.4 Pyro_res'!Q10</f>
        <v>0.5147123569319173</v>
      </c>
    </row>
    <row r="29" spans="2:17" ht="27.4" customHeight="1" x14ac:dyDescent="0.2">
      <c r="B29" s="1475" t="s">
        <v>1941</v>
      </c>
      <c r="C29" s="1476"/>
      <c r="D29" s="1476"/>
      <c r="E29" s="1476"/>
    </row>
    <row r="30" spans="2:17" x14ac:dyDescent="0.2">
      <c r="B30" s="184" t="s">
        <v>1130</v>
      </c>
      <c r="C30" s="184" t="s">
        <v>422</v>
      </c>
      <c r="D30" s="184" t="s">
        <v>1128</v>
      </c>
      <c r="E30" s="184" t="s">
        <v>1708</v>
      </c>
      <c r="F30" s="184" t="s">
        <v>3</v>
      </c>
    </row>
    <row r="31" spans="2:17" ht="18" x14ac:dyDescent="0.25">
      <c r="B31" s="730">
        <f>'S2.2.2 Pyro_imp'!T75-'S2.2.4 Pyro_res'!N19</f>
        <v>1.803292413289868</v>
      </c>
      <c r="C31" s="729">
        <f>'S2.2.2 Pyro_imp'!S85-'S2.2.4 Pyro_res'!C19</f>
        <v>0.50408830314992736</v>
      </c>
      <c r="D31" s="730">
        <f>'S2.2.2 Pyro_imp'!R85-'S2.2.4 Pyro_res'!P19</f>
        <v>-8.9080031975485752E-2</v>
      </c>
      <c r="E31" s="730">
        <f>'S2.2.2 Pyro_imp'!S75-'S2.2.4 Pyro_res'!Q19</f>
        <v>1.1528534562652708</v>
      </c>
    </row>
  </sheetData>
  <mergeCells count="23">
    <mergeCell ref="B25:E25"/>
    <mergeCell ref="B29:E29"/>
    <mergeCell ref="K15:L18"/>
    <mergeCell ref="N5:P5"/>
    <mergeCell ref="B4:Q4"/>
    <mergeCell ref="B13:Q13"/>
    <mergeCell ref="N14:P14"/>
    <mergeCell ref="D20:E20"/>
    <mergeCell ref="F20:G20"/>
    <mergeCell ref="H20:J20"/>
    <mergeCell ref="K20:M20"/>
    <mergeCell ref="D14:E14"/>
    <mergeCell ref="F14:G14"/>
    <mergeCell ref="H14:J14"/>
    <mergeCell ref="K14:M14"/>
    <mergeCell ref="D11:E11"/>
    <mergeCell ref="F11:G11"/>
    <mergeCell ref="H11:J11"/>
    <mergeCell ref="K11:M11"/>
    <mergeCell ref="D5:E5"/>
    <mergeCell ref="F5:G5"/>
    <mergeCell ref="H5:J5"/>
    <mergeCell ref="K5:M5"/>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EA23A-E632-4ED4-8AC2-95B3C14A7A7C}">
  <sheetPr>
    <tabColor rgb="FF663300"/>
  </sheetPr>
  <dimension ref="A1:Z49"/>
  <sheetViews>
    <sheetView zoomScale="33" workbookViewId="0"/>
  </sheetViews>
  <sheetFormatPr defaultColWidth="11.42578125" defaultRowHeight="15" x14ac:dyDescent="0.25"/>
  <cols>
    <col min="3" max="3" width="21.7109375" bestFit="1" customWidth="1"/>
    <col min="5" max="5" width="25.85546875" bestFit="1" customWidth="1"/>
    <col min="8" max="8" width="15.28515625" bestFit="1" customWidth="1"/>
    <col min="14" max="14" width="21.85546875" customWidth="1"/>
    <col min="19" max="19" width="20.7109375" customWidth="1"/>
  </cols>
  <sheetData>
    <row r="1" spans="2:26" ht="75" x14ac:dyDescent="0.25">
      <c r="B1" s="299" t="s">
        <v>86</v>
      </c>
      <c r="C1" s="299" t="s">
        <v>87</v>
      </c>
      <c r="D1" s="299" t="s">
        <v>88</v>
      </c>
      <c r="E1" s="299" t="s">
        <v>89</v>
      </c>
      <c r="F1" s="299" t="s">
        <v>91</v>
      </c>
      <c r="G1" s="299" t="s">
        <v>92</v>
      </c>
      <c r="H1" s="299" t="s">
        <v>90</v>
      </c>
      <c r="I1" s="299" t="s">
        <v>1225</v>
      </c>
      <c r="J1" s="299" t="s">
        <v>93</v>
      </c>
      <c r="K1" s="299" t="s">
        <v>94</v>
      </c>
      <c r="L1" s="299" t="s">
        <v>1226</v>
      </c>
      <c r="M1" s="299" t="s">
        <v>95</v>
      </c>
      <c r="N1" s="299" t="s">
        <v>1227</v>
      </c>
      <c r="O1" s="299" t="s">
        <v>1228</v>
      </c>
      <c r="P1" s="299" t="s">
        <v>97</v>
      </c>
      <c r="Q1" s="299" t="s">
        <v>98</v>
      </c>
      <c r="R1" s="299" t="s">
        <v>99</v>
      </c>
      <c r="S1" s="299" t="s">
        <v>100</v>
      </c>
      <c r="T1" s="299" t="s">
        <v>101</v>
      </c>
      <c r="U1" s="299" t="s">
        <v>1229</v>
      </c>
      <c r="V1" s="299" t="s">
        <v>1230</v>
      </c>
      <c r="W1" s="299" t="s">
        <v>102</v>
      </c>
      <c r="X1" s="299" t="s">
        <v>489</v>
      </c>
      <c r="Y1" s="299" t="s">
        <v>490</v>
      </c>
      <c r="Z1" s="299" t="s">
        <v>119</v>
      </c>
    </row>
    <row r="2" spans="2:26" x14ac:dyDescent="0.25">
      <c r="C2" t="s">
        <v>1231</v>
      </c>
      <c r="D2" t="s">
        <v>1232</v>
      </c>
      <c r="E2" t="s">
        <v>1233</v>
      </c>
      <c r="F2" t="s">
        <v>20</v>
      </c>
      <c r="G2" t="s">
        <v>144</v>
      </c>
      <c r="H2" t="s">
        <v>1234</v>
      </c>
      <c r="I2" t="s">
        <v>1235</v>
      </c>
      <c r="J2">
        <v>190</v>
      </c>
      <c r="L2">
        <v>1.5</v>
      </c>
      <c r="N2" t="s">
        <v>1236</v>
      </c>
      <c r="O2" t="s">
        <v>1237</v>
      </c>
      <c r="S2" t="s">
        <v>1238</v>
      </c>
      <c r="V2">
        <v>99.47</v>
      </c>
      <c r="W2" t="s">
        <v>948</v>
      </c>
    </row>
    <row r="3" spans="2:26" x14ac:dyDescent="0.25">
      <c r="C3" t="s">
        <v>1239</v>
      </c>
      <c r="D3" t="s">
        <v>1232</v>
      </c>
      <c r="F3" t="s">
        <v>20</v>
      </c>
      <c r="G3" t="s">
        <v>144</v>
      </c>
      <c r="H3" t="s">
        <v>1240</v>
      </c>
      <c r="I3" t="s">
        <v>1241</v>
      </c>
      <c r="J3">
        <v>197</v>
      </c>
      <c r="L3">
        <v>7</v>
      </c>
      <c r="N3" t="s">
        <v>1236</v>
      </c>
      <c r="O3" t="s">
        <v>1242</v>
      </c>
      <c r="R3" t="s">
        <v>1243</v>
      </c>
      <c r="S3" t="s">
        <v>1244</v>
      </c>
      <c r="V3">
        <v>73.27</v>
      </c>
      <c r="W3" t="s">
        <v>948</v>
      </c>
    </row>
    <row r="4" spans="2:26" x14ac:dyDescent="0.25">
      <c r="C4" t="s">
        <v>1245</v>
      </c>
      <c r="D4" t="s">
        <v>1232</v>
      </c>
      <c r="E4" t="s">
        <v>1246</v>
      </c>
      <c r="F4" t="s">
        <v>20</v>
      </c>
      <c r="G4" t="s">
        <v>144</v>
      </c>
      <c r="H4" t="s">
        <v>1240</v>
      </c>
      <c r="I4" t="s">
        <v>1247</v>
      </c>
      <c r="J4">
        <v>196</v>
      </c>
      <c r="L4">
        <v>1</v>
      </c>
      <c r="N4" t="s">
        <v>1236</v>
      </c>
      <c r="O4" t="s">
        <v>1248</v>
      </c>
      <c r="S4" t="s">
        <v>1249</v>
      </c>
      <c r="V4">
        <v>65.3</v>
      </c>
      <c r="W4" t="s">
        <v>948</v>
      </c>
    </row>
    <row r="5" spans="2:26" x14ac:dyDescent="0.25">
      <c r="C5" t="s">
        <v>1245</v>
      </c>
      <c r="D5" t="s">
        <v>1232</v>
      </c>
      <c r="E5" t="s">
        <v>1246</v>
      </c>
      <c r="F5" t="s">
        <v>20</v>
      </c>
      <c r="G5" t="s">
        <v>144</v>
      </c>
      <c r="H5" t="s">
        <v>1250</v>
      </c>
      <c r="I5" t="s">
        <v>1251</v>
      </c>
      <c r="J5">
        <v>196</v>
      </c>
      <c r="L5">
        <v>1</v>
      </c>
      <c r="N5" t="s">
        <v>1236</v>
      </c>
      <c r="O5" t="s">
        <v>1248</v>
      </c>
      <c r="S5" t="s">
        <v>1249</v>
      </c>
      <c r="V5">
        <v>65.3</v>
      </c>
      <c r="W5" t="s">
        <v>948</v>
      </c>
    </row>
    <row r="6" spans="2:26" x14ac:dyDescent="0.25">
      <c r="C6" t="s">
        <v>1252</v>
      </c>
      <c r="D6" t="s">
        <v>1232</v>
      </c>
      <c r="E6" t="s">
        <v>1246</v>
      </c>
      <c r="F6" t="s">
        <v>20</v>
      </c>
      <c r="G6" t="s">
        <v>144</v>
      </c>
      <c r="H6" t="s">
        <v>1253</v>
      </c>
      <c r="I6" t="s">
        <v>1254</v>
      </c>
      <c r="J6">
        <v>196</v>
      </c>
      <c r="L6">
        <v>1.25</v>
      </c>
      <c r="N6" t="s">
        <v>1236</v>
      </c>
      <c r="O6" t="s">
        <v>1255</v>
      </c>
      <c r="R6" t="s">
        <v>1256</v>
      </c>
      <c r="S6" t="s">
        <v>1257</v>
      </c>
      <c r="U6">
        <v>92</v>
      </c>
      <c r="V6">
        <v>79</v>
      </c>
      <c r="W6" t="s">
        <v>948</v>
      </c>
    </row>
    <row r="7" spans="2:26" x14ac:dyDescent="0.25">
      <c r="C7" t="s">
        <v>1258</v>
      </c>
      <c r="D7" t="s">
        <v>1232</v>
      </c>
      <c r="E7" t="s">
        <v>1259</v>
      </c>
      <c r="F7" t="s">
        <v>20</v>
      </c>
      <c r="G7" t="s">
        <v>144</v>
      </c>
      <c r="H7" t="s">
        <v>1260</v>
      </c>
      <c r="I7" t="s">
        <v>170</v>
      </c>
      <c r="J7">
        <v>450</v>
      </c>
      <c r="K7">
        <v>15.3</v>
      </c>
      <c r="L7">
        <v>0.5</v>
      </c>
      <c r="N7" t="s">
        <v>1236</v>
      </c>
      <c r="O7" t="s">
        <v>1261</v>
      </c>
      <c r="R7" t="s">
        <v>1262</v>
      </c>
      <c r="S7" t="s">
        <v>1263</v>
      </c>
      <c r="V7">
        <v>93.5</v>
      </c>
      <c r="W7" t="s">
        <v>948</v>
      </c>
    </row>
    <row r="8" spans="2:26" x14ac:dyDescent="0.25">
      <c r="C8" t="s">
        <v>1258</v>
      </c>
      <c r="D8" t="s">
        <v>1232</v>
      </c>
      <c r="E8" t="s">
        <v>1259</v>
      </c>
      <c r="F8" t="s">
        <v>20</v>
      </c>
      <c r="G8" t="s">
        <v>144</v>
      </c>
      <c r="H8" t="s">
        <v>1264</v>
      </c>
      <c r="I8" t="s">
        <v>170</v>
      </c>
      <c r="J8">
        <v>350</v>
      </c>
      <c r="K8">
        <v>2.4900000000000002</v>
      </c>
      <c r="L8">
        <v>1.2</v>
      </c>
      <c r="N8" t="s">
        <v>1236</v>
      </c>
      <c r="O8" t="s">
        <v>1261</v>
      </c>
      <c r="R8" t="s">
        <v>1262</v>
      </c>
      <c r="S8" t="s">
        <v>1263</v>
      </c>
      <c r="V8">
        <v>94</v>
      </c>
      <c r="W8" t="s">
        <v>948</v>
      </c>
    </row>
    <row r="9" spans="2:26" x14ac:dyDescent="0.25">
      <c r="C9" t="s">
        <v>1258</v>
      </c>
      <c r="D9" t="s">
        <v>1232</v>
      </c>
      <c r="E9" t="s">
        <v>1259</v>
      </c>
      <c r="F9" t="s">
        <v>20</v>
      </c>
      <c r="G9" t="s">
        <v>144</v>
      </c>
      <c r="H9" t="s">
        <v>1264</v>
      </c>
      <c r="I9" t="s">
        <v>170</v>
      </c>
      <c r="J9">
        <v>300</v>
      </c>
      <c r="K9">
        <v>1.1000000000000001</v>
      </c>
      <c r="L9">
        <v>2</v>
      </c>
      <c r="N9" t="s">
        <v>1236</v>
      </c>
      <c r="O9" t="s">
        <v>1261</v>
      </c>
      <c r="R9" t="s">
        <v>1262</v>
      </c>
      <c r="S9" t="s">
        <v>1263</v>
      </c>
      <c r="V9">
        <v>92</v>
      </c>
      <c r="W9" t="s">
        <v>948</v>
      </c>
    </row>
    <row r="10" spans="2:26" x14ac:dyDescent="0.25">
      <c r="C10" t="s">
        <v>1265</v>
      </c>
      <c r="D10" t="s">
        <v>1232</v>
      </c>
      <c r="E10" t="s">
        <v>1259</v>
      </c>
      <c r="F10" t="s">
        <v>20</v>
      </c>
      <c r="G10" t="s">
        <v>144</v>
      </c>
      <c r="H10" t="s">
        <v>1266</v>
      </c>
      <c r="I10" t="s">
        <v>1267</v>
      </c>
      <c r="J10">
        <v>260</v>
      </c>
      <c r="K10" t="s">
        <v>1268</v>
      </c>
      <c r="L10">
        <v>1</v>
      </c>
      <c r="N10" t="s">
        <v>1236</v>
      </c>
      <c r="O10" t="s">
        <v>1269</v>
      </c>
      <c r="R10" t="s">
        <v>1270</v>
      </c>
      <c r="V10">
        <v>92.2</v>
      </c>
      <c r="W10" t="s">
        <v>948</v>
      </c>
    </row>
    <row r="11" spans="2:26" x14ac:dyDescent="0.25">
      <c r="C11" t="s">
        <v>1271</v>
      </c>
      <c r="D11" t="s">
        <v>1232</v>
      </c>
      <c r="E11" t="s">
        <v>1272</v>
      </c>
      <c r="F11" t="s">
        <v>20</v>
      </c>
      <c r="G11" t="s">
        <v>144</v>
      </c>
      <c r="H11" t="s">
        <v>1273</v>
      </c>
      <c r="I11" t="s">
        <v>1274</v>
      </c>
      <c r="J11">
        <v>180</v>
      </c>
      <c r="K11" t="s">
        <v>1275</v>
      </c>
      <c r="L11">
        <v>2</v>
      </c>
      <c r="N11" t="s">
        <v>1236</v>
      </c>
      <c r="O11" t="s">
        <v>1242</v>
      </c>
      <c r="U11">
        <v>75.099999999999994</v>
      </c>
      <c r="V11">
        <v>46.4</v>
      </c>
      <c r="W11" t="s">
        <v>948</v>
      </c>
    </row>
    <row r="12" spans="2:26" x14ac:dyDescent="0.25">
      <c r="C12" t="s">
        <v>1276</v>
      </c>
      <c r="D12" t="s">
        <v>1232</v>
      </c>
      <c r="F12" t="s">
        <v>20</v>
      </c>
      <c r="G12" t="s">
        <v>1277</v>
      </c>
      <c r="H12" t="s">
        <v>1278</v>
      </c>
      <c r="I12" t="s">
        <v>1241</v>
      </c>
      <c r="J12">
        <v>40</v>
      </c>
      <c r="L12">
        <v>1.5</v>
      </c>
      <c r="N12" t="s">
        <v>1236</v>
      </c>
      <c r="O12" t="s">
        <v>1255</v>
      </c>
      <c r="U12">
        <v>90.5</v>
      </c>
      <c r="V12">
        <v>82</v>
      </c>
      <c r="W12" t="s">
        <v>948</v>
      </c>
    </row>
    <row r="13" spans="2:26" x14ac:dyDescent="0.25">
      <c r="C13" t="s">
        <v>1279</v>
      </c>
      <c r="D13" t="s">
        <v>1232</v>
      </c>
      <c r="E13" t="s">
        <v>1280</v>
      </c>
      <c r="F13" t="s">
        <v>20</v>
      </c>
      <c r="G13" t="s">
        <v>144</v>
      </c>
      <c r="H13" t="s">
        <v>1281</v>
      </c>
      <c r="I13" t="s">
        <v>1282</v>
      </c>
      <c r="J13">
        <v>190</v>
      </c>
      <c r="K13" t="s">
        <v>1275</v>
      </c>
      <c r="L13">
        <v>3</v>
      </c>
      <c r="N13" t="s">
        <v>1236</v>
      </c>
      <c r="O13" t="s">
        <v>1283</v>
      </c>
      <c r="R13" t="s">
        <v>1270</v>
      </c>
      <c r="S13" t="s">
        <v>1284</v>
      </c>
      <c r="V13">
        <v>79</v>
      </c>
      <c r="W13" t="s">
        <v>948</v>
      </c>
    </row>
    <row r="14" spans="2:26" x14ac:dyDescent="0.25">
      <c r="C14" t="s">
        <v>1285</v>
      </c>
      <c r="D14" t="s">
        <v>1232</v>
      </c>
      <c r="E14" t="s">
        <v>1272</v>
      </c>
      <c r="F14" t="s">
        <v>20</v>
      </c>
      <c r="G14" t="s">
        <v>144</v>
      </c>
      <c r="H14" t="s">
        <v>1286</v>
      </c>
      <c r="I14" t="s">
        <v>1287</v>
      </c>
      <c r="J14">
        <v>185</v>
      </c>
      <c r="K14" t="s">
        <v>1275</v>
      </c>
      <c r="L14">
        <v>0.5</v>
      </c>
      <c r="N14" t="s">
        <v>1236</v>
      </c>
      <c r="O14" t="s">
        <v>1288</v>
      </c>
      <c r="R14" t="s">
        <v>1289</v>
      </c>
      <c r="U14">
        <v>100</v>
      </c>
      <c r="V14">
        <v>84</v>
      </c>
      <c r="W14" t="s">
        <v>948</v>
      </c>
    </row>
    <row r="15" spans="2:26" x14ac:dyDescent="0.25">
      <c r="C15" t="s">
        <v>1290</v>
      </c>
      <c r="D15" t="s">
        <v>1232</v>
      </c>
      <c r="E15" t="s">
        <v>1272</v>
      </c>
      <c r="F15" t="s">
        <v>20</v>
      </c>
      <c r="G15" t="s">
        <v>144</v>
      </c>
      <c r="H15" t="s">
        <v>1291</v>
      </c>
      <c r="I15" t="s">
        <v>1292</v>
      </c>
      <c r="J15">
        <v>190</v>
      </c>
      <c r="K15" t="s">
        <v>1275</v>
      </c>
      <c r="L15">
        <v>0.6</v>
      </c>
      <c r="N15" t="s">
        <v>1236</v>
      </c>
      <c r="O15" t="s">
        <v>1288</v>
      </c>
      <c r="R15" t="s">
        <v>1293</v>
      </c>
      <c r="U15">
        <v>100</v>
      </c>
      <c r="V15">
        <v>84.5</v>
      </c>
      <c r="W15" t="s">
        <v>948</v>
      </c>
    </row>
    <row r="16" spans="2:26" x14ac:dyDescent="0.25">
      <c r="C16" t="s">
        <v>1294</v>
      </c>
      <c r="D16" t="s">
        <v>1232</v>
      </c>
      <c r="E16" t="s">
        <v>1295</v>
      </c>
      <c r="F16" t="s">
        <v>20</v>
      </c>
      <c r="G16" t="s">
        <v>144</v>
      </c>
      <c r="H16" t="s">
        <v>1296</v>
      </c>
      <c r="I16" t="s">
        <v>1267</v>
      </c>
      <c r="J16">
        <v>300</v>
      </c>
      <c r="K16">
        <v>1.1000000000000001</v>
      </c>
      <c r="L16">
        <v>1.2</v>
      </c>
      <c r="N16" t="s">
        <v>1236</v>
      </c>
      <c r="O16" t="s">
        <v>1297</v>
      </c>
      <c r="R16" t="s">
        <v>1293</v>
      </c>
      <c r="V16">
        <v>90</v>
      </c>
      <c r="W16" t="s">
        <v>948</v>
      </c>
    </row>
    <row r="17" spans="3:26" x14ac:dyDescent="0.25">
      <c r="C17" t="s">
        <v>1298</v>
      </c>
      <c r="D17" t="s">
        <v>1232</v>
      </c>
      <c r="E17" t="s">
        <v>1280</v>
      </c>
      <c r="F17" t="s">
        <v>20</v>
      </c>
      <c r="G17" t="s">
        <v>144</v>
      </c>
      <c r="H17" t="s">
        <v>1299</v>
      </c>
      <c r="I17" t="s">
        <v>1300</v>
      </c>
      <c r="J17">
        <v>190</v>
      </c>
      <c r="K17" t="s">
        <v>1275</v>
      </c>
      <c r="L17">
        <v>2</v>
      </c>
      <c r="N17" t="s">
        <v>1301</v>
      </c>
      <c r="O17" t="s">
        <v>1302</v>
      </c>
      <c r="V17">
        <v>100</v>
      </c>
      <c r="W17" t="s">
        <v>948</v>
      </c>
    </row>
    <row r="18" spans="3:26" x14ac:dyDescent="0.25">
      <c r="C18" t="s">
        <v>1303</v>
      </c>
      <c r="D18" t="s">
        <v>1232</v>
      </c>
      <c r="E18" t="s">
        <v>1272</v>
      </c>
      <c r="F18" t="s">
        <v>20</v>
      </c>
      <c r="G18" t="s">
        <v>144</v>
      </c>
      <c r="H18" t="s">
        <v>1304</v>
      </c>
      <c r="I18" t="s">
        <v>1300</v>
      </c>
      <c r="J18">
        <v>190</v>
      </c>
      <c r="K18" t="s">
        <v>1275</v>
      </c>
      <c r="L18">
        <v>2</v>
      </c>
      <c r="N18" t="s">
        <v>1236</v>
      </c>
      <c r="O18" t="s">
        <v>1242</v>
      </c>
      <c r="R18" t="s">
        <v>1305</v>
      </c>
      <c r="S18" t="s">
        <v>1284</v>
      </c>
      <c r="U18">
        <v>100</v>
      </c>
      <c r="V18">
        <v>71.2</v>
      </c>
      <c r="W18" t="s">
        <v>948</v>
      </c>
    </row>
    <row r="19" spans="3:26" x14ac:dyDescent="0.25">
      <c r="C19" t="s">
        <v>1306</v>
      </c>
      <c r="D19" t="s">
        <v>1232</v>
      </c>
      <c r="E19" t="s">
        <v>1272</v>
      </c>
      <c r="F19" t="s">
        <v>20</v>
      </c>
      <c r="G19" t="s">
        <v>144</v>
      </c>
      <c r="H19" t="s">
        <v>1307</v>
      </c>
      <c r="I19" t="s">
        <v>1300</v>
      </c>
      <c r="J19">
        <v>180</v>
      </c>
      <c r="K19" t="s">
        <v>1275</v>
      </c>
      <c r="L19">
        <v>4</v>
      </c>
      <c r="N19" t="s">
        <v>1236</v>
      </c>
      <c r="O19" t="s">
        <v>1288</v>
      </c>
      <c r="U19">
        <v>98.2</v>
      </c>
      <c r="V19">
        <v>85.2</v>
      </c>
      <c r="W19" t="s">
        <v>948</v>
      </c>
    </row>
    <row r="20" spans="3:26" x14ac:dyDescent="0.25">
      <c r="C20" t="s">
        <v>1306</v>
      </c>
      <c r="D20" t="s">
        <v>1232</v>
      </c>
      <c r="E20" t="s">
        <v>1272</v>
      </c>
      <c r="F20" t="s">
        <v>20</v>
      </c>
      <c r="G20" t="s">
        <v>144</v>
      </c>
      <c r="H20" t="s">
        <v>1307</v>
      </c>
      <c r="I20" t="s">
        <v>1300</v>
      </c>
      <c r="J20">
        <v>180</v>
      </c>
      <c r="K20" t="s">
        <v>1275</v>
      </c>
      <c r="L20">
        <v>3</v>
      </c>
      <c r="N20" t="s">
        <v>1236</v>
      </c>
      <c r="O20" s="345" t="s">
        <v>1288</v>
      </c>
      <c r="U20">
        <v>94.3</v>
      </c>
      <c r="V20">
        <v>82.9</v>
      </c>
      <c r="W20" t="s">
        <v>948</v>
      </c>
    </row>
    <row r="21" spans="3:26" x14ac:dyDescent="0.25">
      <c r="C21" t="s">
        <v>1306</v>
      </c>
      <c r="D21" t="s">
        <v>1232</v>
      </c>
      <c r="E21" t="s">
        <v>1272</v>
      </c>
      <c r="F21" t="s">
        <v>20</v>
      </c>
      <c r="G21" t="s">
        <v>144</v>
      </c>
      <c r="H21" t="s">
        <v>1308</v>
      </c>
      <c r="I21" t="s">
        <v>1300</v>
      </c>
      <c r="J21">
        <v>180</v>
      </c>
      <c r="K21" t="s">
        <v>1275</v>
      </c>
      <c r="L21">
        <v>3</v>
      </c>
      <c r="N21" t="s">
        <v>1236</v>
      </c>
      <c r="O21" t="s">
        <v>1288</v>
      </c>
      <c r="U21">
        <v>97.1</v>
      </c>
      <c r="V21">
        <v>84.5</v>
      </c>
      <c r="W21" t="s">
        <v>948</v>
      </c>
    </row>
    <row r="22" spans="3:26" x14ac:dyDescent="0.25">
      <c r="C22" t="s">
        <v>1309</v>
      </c>
      <c r="D22" t="s">
        <v>1232</v>
      </c>
      <c r="E22" t="s">
        <v>1272</v>
      </c>
      <c r="F22" t="s">
        <v>20</v>
      </c>
      <c r="G22" t="s">
        <v>144</v>
      </c>
      <c r="H22" t="s">
        <v>1310</v>
      </c>
      <c r="I22" t="s">
        <v>1300</v>
      </c>
      <c r="J22">
        <v>170</v>
      </c>
      <c r="K22" t="s">
        <v>1275</v>
      </c>
      <c r="L22">
        <v>0.5</v>
      </c>
      <c r="N22" t="s">
        <v>1236</v>
      </c>
      <c r="O22" t="s">
        <v>1288</v>
      </c>
      <c r="U22">
        <v>100</v>
      </c>
      <c r="V22">
        <v>82.8</v>
      </c>
      <c r="W22" t="s">
        <v>948</v>
      </c>
    </row>
    <row r="23" spans="3:26" x14ac:dyDescent="0.25">
      <c r="C23" t="s">
        <v>1311</v>
      </c>
      <c r="D23" t="s">
        <v>1232</v>
      </c>
      <c r="E23" t="s">
        <v>1272</v>
      </c>
      <c r="F23" t="s">
        <v>20</v>
      </c>
      <c r="G23" t="s">
        <v>144</v>
      </c>
      <c r="H23" t="s">
        <v>1312</v>
      </c>
      <c r="I23" t="s">
        <v>1300</v>
      </c>
      <c r="J23">
        <v>190</v>
      </c>
      <c r="K23" t="s">
        <v>1275</v>
      </c>
      <c r="L23">
        <v>0.3</v>
      </c>
      <c r="N23" t="s">
        <v>1236</v>
      </c>
      <c r="O23" t="s">
        <v>1288</v>
      </c>
      <c r="U23">
        <v>100</v>
      </c>
      <c r="V23">
        <v>82</v>
      </c>
      <c r="W23" t="s">
        <v>948</v>
      </c>
    </row>
    <row r="25" spans="3:26" x14ac:dyDescent="0.25">
      <c r="C25" t="s">
        <v>1313</v>
      </c>
      <c r="D25" t="s">
        <v>1232</v>
      </c>
      <c r="E25" t="s">
        <v>1314</v>
      </c>
      <c r="F25" t="s">
        <v>1315</v>
      </c>
      <c r="G25" t="s">
        <v>1316</v>
      </c>
      <c r="H25" t="s">
        <v>1317</v>
      </c>
      <c r="I25" t="s">
        <v>1267</v>
      </c>
      <c r="J25">
        <v>220</v>
      </c>
      <c r="K25" t="s">
        <v>1275</v>
      </c>
      <c r="L25">
        <v>1.5</v>
      </c>
      <c r="N25" t="s">
        <v>1318</v>
      </c>
      <c r="O25" t="s">
        <v>1319</v>
      </c>
      <c r="R25" t="s">
        <v>1320</v>
      </c>
      <c r="S25" t="s">
        <v>1284</v>
      </c>
      <c r="V25">
        <v>55.4</v>
      </c>
      <c r="W25" t="s">
        <v>1321</v>
      </c>
    </row>
    <row r="26" spans="3:26" x14ac:dyDescent="0.25">
      <c r="C26" t="s">
        <v>1322</v>
      </c>
      <c r="D26" t="s">
        <v>1232</v>
      </c>
      <c r="F26" t="s">
        <v>1315</v>
      </c>
      <c r="G26" t="s">
        <v>1316</v>
      </c>
      <c r="H26" t="s">
        <v>1323</v>
      </c>
      <c r="I26" t="s">
        <v>1324</v>
      </c>
      <c r="J26">
        <v>180</v>
      </c>
      <c r="L26">
        <v>2.5</v>
      </c>
      <c r="N26" t="s">
        <v>1325</v>
      </c>
      <c r="O26" s="345" t="s">
        <v>1326</v>
      </c>
      <c r="W26" t="s">
        <v>1327</v>
      </c>
    </row>
    <row r="27" spans="3:26" x14ac:dyDescent="0.25">
      <c r="C27" t="s">
        <v>1328</v>
      </c>
      <c r="D27" t="s">
        <v>1232</v>
      </c>
      <c r="E27" t="s">
        <v>1329</v>
      </c>
      <c r="F27" t="s">
        <v>1315</v>
      </c>
      <c r="G27" t="s">
        <v>1316</v>
      </c>
      <c r="H27" t="s">
        <v>1330</v>
      </c>
      <c r="J27">
        <v>189</v>
      </c>
      <c r="L27">
        <v>0.5</v>
      </c>
      <c r="N27" t="s">
        <v>1331</v>
      </c>
      <c r="O27" t="s">
        <v>1332</v>
      </c>
      <c r="V27">
        <v>82.3</v>
      </c>
      <c r="W27" t="s">
        <v>1327</v>
      </c>
    </row>
    <row r="28" spans="3:26" x14ac:dyDescent="0.25">
      <c r="C28" t="s">
        <v>1333</v>
      </c>
      <c r="D28" t="s">
        <v>1232</v>
      </c>
      <c r="E28" t="s">
        <v>1272</v>
      </c>
      <c r="F28" t="s">
        <v>1315</v>
      </c>
      <c r="G28" t="s">
        <v>1316</v>
      </c>
      <c r="H28" t="s">
        <v>1334</v>
      </c>
      <c r="I28" t="s">
        <v>1335</v>
      </c>
      <c r="J28">
        <v>190</v>
      </c>
      <c r="L28">
        <v>3</v>
      </c>
      <c r="N28" t="s">
        <v>1331</v>
      </c>
      <c r="O28" t="s">
        <v>1336</v>
      </c>
      <c r="V28">
        <v>66.400000000000006</v>
      </c>
      <c r="W28" t="s">
        <v>1327</v>
      </c>
    </row>
    <row r="29" spans="3:26" x14ac:dyDescent="0.25">
      <c r="C29" t="s">
        <v>1337</v>
      </c>
      <c r="D29" t="s">
        <v>1232</v>
      </c>
      <c r="E29" t="s">
        <v>1272</v>
      </c>
      <c r="F29" t="s">
        <v>1315</v>
      </c>
      <c r="G29" t="s">
        <v>1316</v>
      </c>
      <c r="H29" t="s">
        <v>1338</v>
      </c>
      <c r="I29" t="s">
        <v>1267</v>
      </c>
      <c r="J29">
        <v>197.85</v>
      </c>
      <c r="L29">
        <v>2</v>
      </c>
      <c r="N29" t="s">
        <v>1236</v>
      </c>
      <c r="O29" t="s">
        <v>1326</v>
      </c>
      <c r="S29" t="s">
        <v>1339</v>
      </c>
      <c r="U29">
        <v>90</v>
      </c>
      <c r="W29" t="s">
        <v>1327</v>
      </c>
    </row>
    <row r="30" spans="3:26" x14ac:dyDescent="0.25">
      <c r="C30" t="s">
        <v>1340</v>
      </c>
      <c r="D30" t="s">
        <v>1232</v>
      </c>
      <c r="E30" t="s">
        <v>1272</v>
      </c>
      <c r="F30" t="s">
        <v>1315</v>
      </c>
      <c r="G30" t="s">
        <v>1316</v>
      </c>
      <c r="H30" t="s">
        <v>1341</v>
      </c>
      <c r="I30" t="s">
        <v>1342</v>
      </c>
      <c r="J30">
        <v>180</v>
      </c>
      <c r="L30">
        <v>0.3</v>
      </c>
      <c r="N30" t="s">
        <v>1343</v>
      </c>
      <c r="O30" t="s">
        <v>1344</v>
      </c>
      <c r="R30" t="s">
        <v>1293</v>
      </c>
      <c r="S30" t="s">
        <v>1345</v>
      </c>
      <c r="W30" t="s">
        <v>1327</v>
      </c>
    </row>
    <row r="31" spans="3:26" x14ac:dyDescent="0.25">
      <c r="C31" t="s">
        <v>1346</v>
      </c>
      <c r="D31" t="s">
        <v>1232</v>
      </c>
      <c r="E31" t="s">
        <v>1329</v>
      </c>
      <c r="F31" t="s">
        <v>1315</v>
      </c>
      <c r="G31" t="s">
        <v>1316</v>
      </c>
      <c r="H31" t="s">
        <v>1330</v>
      </c>
      <c r="I31" t="s">
        <v>1347</v>
      </c>
      <c r="J31">
        <v>190</v>
      </c>
      <c r="L31">
        <v>6</v>
      </c>
      <c r="N31" t="s">
        <v>1348</v>
      </c>
      <c r="O31" t="s">
        <v>1349</v>
      </c>
      <c r="V31">
        <v>76.5</v>
      </c>
      <c r="W31" t="s">
        <v>1327</v>
      </c>
      <c r="Z31" t="s">
        <v>1350</v>
      </c>
    </row>
    <row r="32" spans="3:26" x14ac:dyDescent="0.25">
      <c r="C32" t="s">
        <v>1351</v>
      </c>
      <c r="D32" t="s">
        <v>1232</v>
      </c>
      <c r="F32" t="s">
        <v>1315</v>
      </c>
      <c r="G32" t="s">
        <v>1316</v>
      </c>
      <c r="H32" t="s">
        <v>1352</v>
      </c>
      <c r="I32" t="s">
        <v>1292</v>
      </c>
      <c r="J32">
        <v>220</v>
      </c>
      <c r="K32" t="s">
        <v>1275</v>
      </c>
      <c r="L32">
        <v>1</v>
      </c>
      <c r="N32" t="s">
        <v>1353</v>
      </c>
      <c r="O32" t="s">
        <v>1354</v>
      </c>
      <c r="U32">
        <v>94</v>
      </c>
      <c r="V32">
        <v>82.4</v>
      </c>
      <c r="W32" t="s">
        <v>1327</v>
      </c>
      <c r="Z32" t="s">
        <v>1355</v>
      </c>
    </row>
    <row r="33" spans="1:23" x14ac:dyDescent="0.25">
      <c r="C33" t="s">
        <v>1356</v>
      </c>
      <c r="D33" t="s">
        <v>1232</v>
      </c>
      <c r="E33" t="s">
        <v>1329</v>
      </c>
      <c r="F33" t="s">
        <v>1315</v>
      </c>
      <c r="G33" t="s">
        <v>1316</v>
      </c>
      <c r="H33" t="s">
        <v>1357</v>
      </c>
      <c r="I33" t="s">
        <v>1358</v>
      </c>
      <c r="J33">
        <v>189</v>
      </c>
      <c r="K33" t="s">
        <v>1359</v>
      </c>
      <c r="L33">
        <v>2</v>
      </c>
      <c r="N33" t="s">
        <v>1331</v>
      </c>
      <c r="O33" t="s">
        <v>1332</v>
      </c>
      <c r="V33">
        <v>85</v>
      </c>
      <c r="W33" t="s">
        <v>1327</v>
      </c>
    </row>
    <row r="35" spans="1:23" x14ac:dyDescent="0.25">
      <c r="C35" t="s">
        <v>1360</v>
      </c>
      <c r="D35" t="s">
        <v>1232</v>
      </c>
      <c r="F35" t="s">
        <v>1361</v>
      </c>
      <c r="G35" t="s">
        <v>1362</v>
      </c>
      <c r="H35" t="s">
        <v>1363</v>
      </c>
      <c r="I35" t="s">
        <v>1300</v>
      </c>
      <c r="J35">
        <v>300</v>
      </c>
      <c r="K35" t="s">
        <v>1359</v>
      </c>
      <c r="L35">
        <v>1</v>
      </c>
      <c r="N35" t="s">
        <v>1364</v>
      </c>
      <c r="V35">
        <v>86</v>
      </c>
      <c r="W35" t="s">
        <v>1365</v>
      </c>
    </row>
    <row r="37" spans="1:23" x14ac:dyDescent="0.25">
      <c r="C37" s="165" t="s">
        <v>1366</v>
      </c>
      <c r="D37" t="s">
        <v>1232</v>
      </c>
      <c r="E37" t="s">
        <v>1295</v>
      </c>
      <c r="F37" t="s">
        <v>27</v>
      </c>
      <c r="G37" t="s">
        <v>1367</v>
      </c>
      <c r="H37" t="s">
        <v>123</v>
      </c>
      <c r="J37">
        <v>220</v>
      </c>
      <c r="L37">
        <v>1.4</v>
      </c>
      <c r="N37" t="s">
        <v>1236</v>
      </c>
      <c r="O37" t="s">
        <v>1368</v>
      </c>
      <c r="R37" t="s">
        <v>1293</v>
      </c>
      <c r="S37" t="s">
        <v>1263</v>
      </c>
      <c r="V37" s="947">
        <f>0.9*95.6</f>
        <v>86.039999999999992</v>
      </c>
      <c r="W37" t="s">
        <v>1369</v>
      </c>
    </row>
    <row r="39" spans="1:23" x14ac:dyDescent="0.25">
      <c r="A39" s="1478" t="s">
        <v>20</v>
      </c>
      <c r="B39" s="165" t="s">
        <v>412</v>
      </c>
      <c r="J39" s="346">
        <f>_xlfn.QUARTILE.INC(J$2:J$23,0)</f>
        <v>40</v>
      </c>
      <c r="L39" s="346">
        <f>_xlfn.QUARTILE.INC(L$2:L$23,0)</f>
        <v>0.3</v>
      </c>
      <c r="V39" s="346">
        <f>_xlfn.QUARTILE.INC(V$2:V$23,0)</f>
        <v>46.4</v>
      </c>
    </row>
    <row r="40" spans="1:23" x14ac:dyDescent="0.25">
      <c r="A40" s="1478"/>
      <c r="B40" s="165" t="s">
        <v>413</v>
      </c>
      <c r="J40" s="346">
        <f>_xlfn.QUARTILE.INC(J$2:J$23,1)</f>
        <v>181.25</v>
      </c>
      <c r="L40" s="346">
        <f>_xlfn.QUARTILE.INC(L$2:L$23,1)</f>
        <v>1</v>
      </c>
      <c r="V40" s="346">
        <f>_xlfn.QUARTILE.INC(V$2:V$23,1)</f>
        <v>79</v>
      </c>
    </row>
    <row r="41" spans="1:23" x14ac:dyDescent="0.25">
      <c r="A41" s="1478"/>
      <c r="B41" s="165" t="s">
        <v>414</v>
      </c>
      <c r="J41" s="346">
        <f>_xlfn.QUARTILE.INC(J$2:J$23,2)</f>
        <v>190</v>
      </c>
      <c r="L41" s="346">
        <f>_xlfn.QUARTILE.INC(L$2:L$23,2)</f>
        <v>1.375</v>
      </c>
      <c r="V41" s="346">
        <f>_xlfn.QUARTILE.INC(V$2:V$23,2)</f>
        <v>83.45</v>
      </c>
    </row>
    <row r="42" spans="1:23" x14ac:dyDescent="0.25">
      <c r="A42" s="1478"/>
      <c r="B42" s="165" t="s">
        <v>415</v>
      </c>
      <c r="J42" s="346">
        <f>_xlfn.QUARTILE.INC(J$2:J$23,3)</f>
        <v>196.75</v>
      </c>
      <c r="L42" s="346">
        <f>_xlfn.QUARTILE.INC(L$2:L$23,3)</f>
        <v>2</v>
      </c>
      <c r="V42" s="346">
        <f>_xlfn.QUARTILE.INC(V$2:V$23,3)</f>
        <v>91.5</v>
      </c>
    </row>
    <row r="43" spans="1:23" x14ac:dyDescent="0.25">
      <c r="A43" s="1478"/>
      <c r="B43" s="165" t="s">
        <v>416</v>
      </c>
      <c r="J43" s="346">
        <f>_xlfn.QUARTILE.INC(J$2:J$23,4)</f>
        <v>450</v>
      </c>
      <c r="L43" s="346">
        <f>_xlfn.QUARTILE.INC(L$2:L$23,4)</f>
        <v>7</v>
      </c>
      <c r="V43" s="346">
        <f>_xlfn.QUARTILE.INC(V$2:V$23,4)</f>
        <v>100</v>
      </c>
    </row>
    <row r="45" spans="1:23" x14ac:dyDescent="0.25">
      <c r="A45" s="1478" t="s">
        <v>28</v>
      </c>
      <c r="B45" s="165" t="s">
        <v>412</v>
      </c>
      <c r="J45">
        <f>_xlfn.QUARTILE.INC(J$25:J$33,0)</f>
        <v>180</v>
      </c>
      <c r="L45">
        <f>_xlfn.QUARTILE.INC(L$25:L$33,0)</f>
        <v>0.3</v>
      </c>
      <c r="V45" s="66">
        <f>_xlfn.QUARTILE.INC(V$25:V$33,0)</f>
        <v>55.4</v>
      </c>
    </row>
    <row r="46" spans="1:23" x14ac:dyDescent="0.25">
      <c r="A46" s="1478"/>
      <c r="B46" s="165" t="s">
        <v>413</v>
      </c>
      <c r="J46">
        <f>_xlfn.QUARTILE.INC(J$25:J$33,1)</f>
        <v>189</v>
      </c>
      <c r="L46">
        <f>_xlfn.QUARTILE.INC(L$25:L$33,1)</f>
        <v>1</v>
      </c>
      <c r="V46" s="66">
        <f>_xlfn.QUARTILE.INC(V$25:V$33,1)</f>
        <v>68.925000000000011</v>
      </c>
    </row>
    <row r="47" spans="1:23" x14ac:dyDescent="0.25">
      <c r="A47" s="1478"/>
      <c r="B47" s="165" t="s">
        <v>414</v>
      </c>
      <c r="J47">
        <f>_xlfn.QUARTILE.INC(J$25:J$33,2)</f>
        <v>190</v>
      </c>
      <c r="L47">
        <f>_xlfn.QUARTILE.INC(L$25:L$33,2)</f>
        <v>2</v>
      </c>
      <c r="V47" s="66">
        <f>_xlfn.QUARTILE.INC(V$25:V$33,2)</f>
        <v>79.400000000000006</v>
      </c>
    </row>
    <row r="48" spans="1:23" x14ac:dyDescent="0.25">
      <c r="A48" s="1478"/>
      <c r="B48" s="165" t="s">
        <v>415</v>
      </c>
      <c r="J48" s="66">
        <f>_xlfn.QUARTILE.INC(J$25:J$33,3)</f>
        <v>197.85</v>
      </c>
      <c r="L48" s="66">
        <f>_xlfn.QUARTILE.INC(L$25:L$33,3)</f>
        <v>2.5</v>
      </c>
      <c r="V48" s="66">
        <f>_xlfn.QUARTILE.INC(V$25:V$33,3)</f>
        <v>82.375</v>
      </c>
    </row>
    <row r="49" spans="1:22" x14ac:dyDescent="0.25">
      <c r="A49" s="1478"/>
      <c r="B49" s="165" t="s">
        <v>416</v>
      </c>
      <c r="J49">
        <f>_xlfn.QUARTILE.INC(J$25:J$33,4)</f>
        <v>220</v>
      </c>
      <c r="L49">
        <f>_xlfn.QUARTILE.INC(L$25:L$33,4)</f>
        <v>6</v>
      </c>
      <c r="V49" s="66">
        <f>_xlfn.QUARTILE.INC(V$25:V$33,4)</f>
        <v>85</v>
      </c>
    </row>
  </sheetData>
  <mergeCells count="2">
    <mergeCell ref="A39:A43"/>
    <mergeCell ref="A45:A49"/>
  </mergeCells>
  <pageMargins left="0.7" right="0.7" top="0.78740157499999996" bottom="0.78740157499999996"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25444-2062-4EE3-B7BF-024C825C2514}">
  <sheetPr>
    <tabColor rgb="FF663300"/>
  </sheetPr>
  <dimension ref="A1:AP139"/>
  <sheetViews>
    <sheetView zoomScale="70" zoomScaleNormal="70" workbookViewId="0">
      <selection activeCell="B141" sqref="B141"/>
    </sheetView>
  </sheetViews>
  <sheetFormatPr defaultRowHeight="15" x14ac:dyDescent="0.25"/>
  <cols>
    <col min="1" max="1" width="18.5703125" customWidth="1"/>
    <col min="2" max="2" width="28.28515625" customWidth="1"/>
    <col min="3" max="3" width="10.140625" bestFit="1" customWidth="1"/>
    <col min="4" max="4" width="16.28515625" bestFit="1" customWidth="1"/>
    <col min="5" max="5" width="12.140625" bestFit="1" customWidth="1"/>
    <col min="7" max="7" width="9" style="360"/>
  </cols>
  <sheetData>
    <row r="1" spans="2:8" x14ac:dyDescent="0.25">
      <c r="G1" s="165"/>
    </row>
    <row r="2" spans="2:8" x14ac:dyDescent="0.25">
      <c r="B2" s="47" t="s">
        <v>1388</v>
      </c>
      <c r="G2" s="165"/>
      <c r="H2" s="47"/>
    </row>
    <row r="3" spans="2:8" x14ac:dyDescent="0.25">
      <c r="B3" s="47"/>
      <c r="G3" s="165"/>
      <c r="H3" s="47"/>
    </row>
    <row r="4" spans="2:8" x14ac:dyDescent="0.25">
      <c r="B4" s="68" t="s">
        <v>1144</v>
      </c>
      <c r="G4" s="165"/>
      <c r="H4" s="47"/>
    </row>
    <row r="5" spans="2:8" x14ac:dyDescent="0.25">
      <c r="B5" s="47" t="s">
        <v>1866</v>
      </c>
      <c r="G5" s="165"/>
    </row>
    <row r="6" spans="2:8" x14ac:dyDescent="0.25">
      <c r="C6" s="294" t="s">
        <v>423</v>
      </c>
      <c r="D6" s="294" t="s">
        <v>422</v>
      </c>
      <c r="E6" s="294" t="s">
        <v>421</v>
      </c>
      <c r="F6" s="294"/>
      <c r="G6" s="950" t="s">
        <v>30</v>
      </c>
    </row>
    <row r="7" spans="2:8" x14ac:dyDescent="0.25">
      <c r="B7" t="s">
        <v>1390</v>
      </c>
      <c r="C7" s="66">
        <f>'S2.3.1 Depoly_lit'!J40</f>
        <v>181.25</v>
      </c>
      <c r="D7" s="66">
        <f>'S2.3.1 Depoly_lit'!J41</f>
        <v>190</v>
      </c>
      <c r="E7" s="66">
        <f>'S2.3.1 Depoly_lit'!J42</f>
        <v>196.75</v>
      </c>
      <c r="F7" s="66"/>
      <c r="G7" s="950"/>
    </row>
    <row r="8" spans="2:8" x14ac:dyDescent="0.25">
      <c r="B8" t="s">
        <v>1391</v>
      </c>
      <c r="C8" s="66">
        <f>D8-D8*($D$7-$C$7)/$D$7</f>
        <v>286.18421052631578</v>
      </c>
      <c r="D8" s="66">
        <f>'S2.3.1 Depoly_lit'!J35</f>
        <v>300</v>
      </c>
      <c r="E8" s="66">
        <f>D8+D8*($E$7-$D$7)/$D$7</f>
        <v>310.65789473684208</v>
      </c>
      <c r="F8" s="66"/>
      <c r="G8" s="950"/>
    </row>
    <row r="9" spans="2:8" x14ac:dyDescent="0.25">
      <c r="B9" t="s">
        <v>1392</v>
      </c>
      <c r="C9" s="66">
        <f>D9-D9*($D$7-$C$7)/$D$7</f>
        <v>209.86842105263159</v>
      </c>
      <c r="D9" s="66">
        <f>'S2.3.1 Depoly_lit'!J37</f>
        <v>220</v>
      </c>
      <c r="E9" s="66">
        <f>D9+D9*($E$7-$D$7)/$D$7</f>
        <v>227.81578947368422</v>
      </c>
      <c r="F9" s="66"/>
      <c r="G9" s="950"/>
    </row>
    <row r="10" spans="2:8" x14ac:dyDescent="0.25">
      <c r="B10" t="s">
        <v>1393</v>
      </c>
      <c r="C10" s="66">
        <f>'S2.3.1 Depoly_lit'!J46</f>
        <v>189</v>
      </c>
      <c r="D10" s="66">
        <f>'S2.3.1 Depoly_lit'!J47</f>
        <v>190</v>
      </c>
      <c r="E10" s="66">
        <f>'S2.3.1 Depoly_lit'!J48</f>
        <v>197.85</v>
      </c>
      <c r="F10" s="66"/>
      <c r="G10" s="950"/>
    </row>
    <row r="11" spans="2:8" x14ac:dyDescent="0.25">
      <c r="B11" t="s">
        <v>1387</v>
      </c>
      <c r="C11" s="1478">
        <v>25</v>
      </c>
      <c r="D11" s="1478"/>
      <c r="E11" s="1478"/>
      <c r="F11" s="359"/>
      <c r="G11" s="950"/>
    </row>
    <row r="12" spans="2:8" x14ac:dyDescent="0.25">
      <c r="B12" t="s">
        <v>1389</v>
      </c>
      <c r="C12" s="432">
        <v>1.05</v>
      </c>
      <c r="D12" s="134"/>
      <c r="G12" s="950" t="s">
        <v>0</v>
      </c>
    </row>
    <row r="13" spans="2:8" x14ac:dyDescent="0.25">
      <c r="B13" t="s">
        <v>1394</v>
      </c>
      <c r="C13">
        <v>2.1</v>
      </c>
      <c r="D13" s="134"/>
      <c r="G13" s="950" t="s">
        <v>0</v>
      </c>
    </row>
    <row r="14" spans="2:8" x14ac:dyDescent="0.25">
      <c r="B14" t="s">
        <v>1395</v>
      </c>
      <c r="C14">
        <v>1.6</v>
      </c>
      <c r="D14" s="134"/>
      <c r="G14" s="950" t="s">
        <v>0</v>
      </c>
    </row>
    <row r="15" spans="2:8" x14ac:dyDescent="0.25">
      <c r="B15" t="s">
        <v>1396</v>
      </c>
      <c r="C15" s="1121">
        <f>AVERAGE(2.359,2.996)</f>
        <v>2.6775000000000002</v>
      </c>
      <c r="D15" s="134"/>
      <c r="G15" s="950" t="s">
        <v>1895</v>
      </c>
    </row>
    <row r="16" spans="2:8" x14ac:dyDescent="0.25">
      <c r="B16" t="s">
        <v>1385</v>
      </c>
      <c r="C16" s="1478">
        <v>2.3940000000000001</v>
      </c>
      <c r="D16" s="1478"/>
      <c r="E16" s="1478"/>
      <c r="F16" s="359"/>
      <c r="G16" s="950" t="s">
        <v>1863</v>
      </c>
    </row>
    <row r="17" spans="2:7" x14ac:dyDescent="0.25">
      <c r="B17" t="s">
        <v>1401</v>
      </c>
      <c r="C17" s="243">
        <f>(1-'S2.3.3 Depoly_cred'!D13)</f>
        <v>0.20999999999999996</v>
      </c>
      <c r="D17" s="243">
        <f>(1-'S2.3.3 Depoly_cred'!E13)</f>
        <v>0.16549999999999998</v>
      </c>
      <c r="E17" s="243">
        <f>(1-'S2.3.3 Depoly_cred'!F13)</f>
        <v>8.4999999999999964E-2</v>
      </c>
      <c r="G17" s="950"/>
    </row>
    <row r="18" spans="2:7" x14ac:dyDescent="0.25">
      <c r="B18" s="294" t="s">
        <v>1397</v>
      </c>
      <c r="C18" s="369">
        <f t="shared" ref="C18:E21" si="0">$C12*(C7-$C$11)</f>
        <v>164.0625</v>
      </c>
      <c r="D18" s="369">
        <f t="shared" si="0"/>
        <v>173.25</v>
      </c>
      <c r="E18" s="369">
        <f t="shared" si="0"/>
        <v>180.33750000000001</v>
      </c>
      <c r="G18" s="950"/>
    </row>
    <row r="19" spans="2:7" x14ac:dyDescent="0.25">
      <c r="B19" s="294" t="s">
        <v>1398</v>
      </c>
      <c r="C19" s="369">
        <f t="shared" si="0"/>
        <v>548.48684210526312</v>
      </c>
      <c r="D19" s="369">
        <f t="shared" si="0"/>
        <v>577.5</v>
      </c>
      <c r="E19" s="369">
        <f t="shared" si="0"/>
        <v>599.88157894736844</v>
      </c>
      <c r="G19" s="950"/>
    </row>
    <row r="20" spans="2:7" x14ac:dyDescent="0.25">
      <c r="B20" s="294" t="s">
        <v>1399</v>
      </c>
      <c r="C20" s="369">
        <f t="shared" si="0"/>
        <v>295.78947368421058</v>
      </c>
      <c r="D20" s="369">
        <f t="shared" si="0"/>
        <v>312</v>
      </c>
      <c r="E20" s="369">
        <f t="shared" si="0"/>
        <v>324.50526315789477</v>
      </c>
      <c r="G20" s="950"/>
    </row>
    <row r="21" spans="2:7" x14ac:dyDescent="0.25">
      <c r="B21" s="294" t="s">
        <v>1400</v>
      </c>
      <c r="C21" s="369">
        <f t="shared" si="0"/>
        <v>439.11</v>
      </c>
      <c r="D21" s="369">
        <f t="shared" si="0"/>
        <v>441.78750000000002</v>
      </c>
      <c r="E21" s="369">
        <f t="shared" si="0"/>
        <v>462.80587500000001</v>
      </c>
      <c r="G21" s="950"/>
    </row>
    <row r="22" spans="2:7" x14ac:dyDescent="0.25">
      <c r="B22" s="294" t="s">
        <v>1426</v>
      </c>
      <c r="C22" s="1499">
        <f>$D$88*$C$16*(AVERAGE(D7:D10)-$C$11)</f>
        <v>154.65239999999997</v>
      </c>
      <c r="D22" s="1499"/>
      <c r="E22" s="1499"/>
      <c r="G22" s="950"/>
    </row>
    <row r="23" spans="2:7" x14ac:dyDescent="0.25">
      <c r="G23" s="950"/>
    </row>
    <row r="24" spans="2:7" x14ac:dyDescent="0.25">
      <c r="B24" s="294" t="s">
        <v>1425</v>
      </c>
      <c r="C24" s="66"/>
      <c r="D24" s="66"/>
      <c r="E24" s="66"/>
      <c r="G24" s="950"/>
    </row>
    <row r="25" spans="2:7" x14ac:dyDescent="0.25">
      <c r="B25" s="47" t="s">
        <v>1865</v>
      </c>
      <c r="C25" s="66"/>
      <c r="D25" s="66"/>
      <c r="E25" s="66"/>
      <c r="G25" s="950"/>
    </row>
    <row r="26" spans="2:7" x14ac:dyDescent="0.25">
      <c r="B26" t="s">
        <v>1402</v>
      </c>
      <c r="C26" s="30">
        <f>'S2.3.1 Depoly_lit'!L40</f>
        <v>1</v>
      </c>
      <c r="D26" s="30">
        <f>'S2.3.1 Depoly_lit'!L41</f>
        <v>1.375</v>
      </c>
      <c r="E26" s="30">
        <f>'S2.3.1 Depoly_lit'!L42</f>
        <v>2</v>
      </c>
      <c r="G26" s="950"/>
    </row>
    <row r="27" spans="2:7" x14ac:dyDescent="0.25">
      <c r="B27" t="s">
        <v>1403</v>
      </c>
      <c r="C27" s="30">
        <f>D27-D27*($D$26-$C$26)/$D$26</f>
        <v>0.72727272727272729</v>
      </c>
      <c r="D27" s="30">
        <f>'S2.3.1 Depoly_lit'!L35</f>
        <v>1</v>
      </c>
      <c r="E27" s="30">
        <f>D27+D27*($E$26-$D$26)/$D$26</f>
        <v>1.4545454545454546</v>
      </c>
      <c r="G27" s="950"/>
    </row>
    <row r="28" spans="2:7" x14ac:dyDescent="0.25">
      <c r="B28" t="s">
        <v>1404</v>
      </c>
      <c r="C28" s="30">
        <f>D28-D28*($D$26-$C$26)/$D$26</f>
        <v>1.0181818181818181</v>
      </c>
      <c r="D28" s="30">
        <f>'S2.3.1 Depoly_lit'!L37</f>
        <v>1.4</v>
      </c>
      <c r="E28" s="30">
        <f>D28+D28*($E$26-$D$26)/$D$26</f>
        <v>2.0363636363636362</v>
      </c>
      <c r="G28" s="950"/>
    </row>
    <row r="29" spans="2:7" x14ac:dyDescent="0.25">
      <c r="B29" t="s">
        <v>1405</v>
      </c>
      <c r="C29" s="30">
        <f>'S2.3.1 Depoly_lit'!L46</f>
        <v>1</v>
      </c>
      <c r="D29" s="30">
        <f>'S2.3.1 Depoly_lit'!L47</f>
        <v>2</v>
      </c>
      <c r="E29" s="30">
        <f>'S2.3.1 Depoly_lit'!L48</f>
        <v>2.5</v>
      </c>
      <c r="G29" s="950"/>
    </row>
    <row r="30" spans="2:7" x14ac:dyDescent="0.25">
      <c r="B30" t="s">
        <v>1407</v>
      </c>
      <c r="C30" s="66">
        <v>50</v>
      </c>
      <c r="D30" s="66">
        <f>AVERAGE(C30,E30)</f>
        <v>10025</v>
      </c>
      <c r="E30" s="66">
        <v>20000</v>
      </c>
      <c r="G30" s="951" t="s">
        <v>1859</v>
      </c>
    </row>
    <row r="31" spans="2:7" x14ac:dyDescent="0.25">
      <c r="B31" t="s">
        <v>1408</v>
      </c>
      <c r="C31" s="30">
        <v>2</v>
      </c>
      <c r="D31" s="66">
        <f>AVERAGE(C31,E31)</f>
        <v>13.5</v>
      </c>
      <c r="E31" s="30">
        <v>25</v>
      </c>
      <c r="G31" s="950" t="s">
        <v>1860</v>
      </c>
    </row>
    <row r="32" spans="2:7" x14ac:dyDescent="0.25">
      <c r="B32" t="s">
        <v>1412</v>
      </c>
      <c r="C32" s="67">
        <v>3.5000000000000003E-2</v>
      </c>
      <c r="D32" s="67">
        <f>AVERAGE(C32,E32)</f>
        <v>4.2500000000000003E-2</v>
      </c>
      <c r="E32" s="67">
        <v>0.05</v>
      </c>
      <c r="G32" s="950" t="s">
        <v>1861</v>
      </c>
    </row>
    <row r="33" spans="2:7" x14ac:dyDescent="0.25">
      <c r="B33" t="s">
        <v>1413</v>
      </c>
      <c r="C33" s="366"/>
      <c r="D33" s="366">
        <v>24000</v>
      </c>
      <c r="E33" s="366"/>
      <c r="G33" s="950" t="s">
        <v>1862</v>
      </c>
    </row>
    <row r="34" spans="2:7" x14ac:dyDescent="0.25">
      <c r="B34" t="s">
        <v>1501</v>
      </c>
      <c r="C34" s="26">
        <f>$D$33/365/24</f>
        <v>2.7397260273972606</v>
      </c>
      <c r="D34" s="26">
        <f>$D$33/365/24</f>
        <v>2.7397260273972606</v>
      </c>
      <c r="E34" s="26">
        <f>$D$33/365/24</f>
        <v>2.7397260273972606</v>
      </c>
      <c r="G34" s="950"/>
    </row>
    <row r="35" spans="2:7" x14ac:dyDescent="0.25">
      <c r="B35" t="s">
        <v>1386</v>
      </c>
      <c r="C35" s="30">
        <f>AVERAGE(C26:C29)</f>
        <v>0.93636363636363629</v>
      </c>
      <c r="D35" s="30">
        <f>AVERAGE(D26:D29)</f>
        <v>1.4437500000000001</v>
      </c>
      <c r="E35" s="30">
        <f>AVERAGE(E26:E29)</f>
        <v>1.9977272727272726</v>
      </c>
      <c r="G35" s="950"/>
    </row>
    <row r="36" spans="2:7" x14ac:dyDescent="0.25">
      <c r="B36" t="s">
        <v>1509</v>
      </c>
      <c r="C36" s="26">
        <f>$C$34*C35</f>
        <v>2.5653798256537983</v>
      </c>
      <c r="D36" s="26">
        <f>$D$34*D35</f>
        <v>3.9554794520547953</v>
      </c>
      <c r="E36" s="26">
        <f>$E$34*E35</f>
        <v>5.4732254047322542</v>
      </c>
      <c r="G36" s="950" t="s">
        <v>1414</v>
      </c>
    </row>
    <row r="37" spans="2:7" x14ac:dyDescent="0.25">
      <c r="B37" t="s">
        <v>1416</v>
      </c>
      <c r="C37" s="26"/>
      <c r="D37" s="26">
        <v>1.113</v>
      </c>
      <c r="E37" s="26"/>
      <c r="G37" s="950" t="s">
        <v>1863</v>
      </c>
    </row>
    <row r="38" spans="2:7" x14ac:dyDescent="0.25">
      <c r="B38" t="s">
        <v>1417</v>
      </c>
      <c r="C38" s="26"/>
      <c r="D38" s="26">
        <v>1.55</v>
      </c>
      <c r="E38" s="26"/>
      <c r="G38" s="950" t="s">
        <v>1863</v>
      </c>
    </row>
    <row r="39" spans="2:7" x14ac:dyDescent="0.25">
      <c r="B39" t="s">
        <v>1418</v>
      </c>
      <c r="C39" s="26"/>
      <c r="D39" s="26">
        <v>1.0900000000000001</v>
      </c>
      <c r="E39" s="26"/>
      <c r="G39" s="950" t="s">
        <v>1863</v>
      </c>
    </row>
    <row r="40" spans="2:7" x14ac:dyDescent="0.25">
      <c r="B40" t="s">
        <v>1419</v>
      </c>
      <c r="C40" s="26"/>
      <c r="D40" s="26">
        <v>1.36</v>
      </c>
      <c r="E40" s="26"/>
      <c r="G40" s="950" t="s">
        <v>1863</v>
      </c>
    </row>
    <row r="41" spans="2:7" x14ac:dyDescent="0.25">
      <c r="B41" t="s">
        <v>1420</v>
      </c>
      <c r="C41" s="26"/>
      <c r="D41" s="949">
        <v>1</v>
      </c>
      <c r="E41" s="26"/>
      <c r="G41" s="950" t="s">
        <v>1896</v>
      </c>
    </row>
    <row r="42" spans="2:7" x14ac:dyDescent="0.25">
      <c r="B42" t="s">
        <v>1511</v>
      </c>
      <c r="C42" s="26"/>
      <c r="D42" s="26">
        <v>0.8</v>
      </c>
      <c r="E42" s="26"/>
      <c r="G42" s="950" t="s">
        <v>1864</v>
      </c>
    </row>
    <row r="43" spans="2:7" x14ac:dyDescent="0.25">
      <c r="B43" t="s">
        <v>1512</v>
      </c>
      <c r="C43" s="26"/>
      <c r="D43" s="26">
        <f>1-D42</f>
        <v>0.19999999999999996</v>
      </c>
      <c r="E43" s="26"/>
      <c r="G43" s="950"/>
    </row>
    <row r="44" spans="2:7" x14ac:dyDescent="0.25">
      <c r="B44" t="s">
        <v>1510</v>
      </c>
      <c r="C44" s="30">
        <f>C36/D38+D36/D43*D42/D37</f>
        <v>15.870643334604189</v>
      </c>
      <c r="D44" s="30">
        <f>D36/D38+D36/D43*D42/D37</f>
        <v>16.767481803249993</v>
      </c>
      <c r="E44" s="30">
        <f>E36/D38+E36/D43*D42/D37</f>
        <v>23.201285328700102</v>
      </c>
      <c r="G44" s="950" t="s">
        <v>1897</v>
      </c>
    </row>
    <row r="45" spans="2:7" x14ac:dyDescent="0.25">
      <c r="B45" s="367" t="s">
        <v>1421</v>
      </c>
      <c r="C45" s="368">
        <f>C36/($D$42*$D$37+$D$43*$D$39)</f>
        <v>2.3144891967284358</v>
      </c>
      <c r="D45" s="368">
        <f>D36/($D$42*$D$37+$D$43*$D$39)</f>
        <v>3.5686389859750949</v>
      </c>
      <c r="E45" s="368">
        <f>E36/($D$42*$D$37+$D$43*$D$39)</f>
        <v>4.9379514658356678</v>
      </c>
      <c r="G45" s="950"/>
    </row>
    <row r="46" spans="2:7" x14ac:dyDescent="0.25">
      <c r="B46" t="s">
        <v>1415</v>
      </c>
      <c r="C46" s="30"/>
      <c r="D46" s="30">
        <v>3</v>
      </c>
      <c r="E46" s="66"/>
      <c r="G46" s="950" t="s">
        <v>1411</v>
      </c>
    </row>
    <row r="47" spans="2:7" x14ac:dyDescent="0.25">
      <c r="B47" t="s">
        <v>1409</v>
      </c>
      <c r="C47" s="30"/>
      <c r="D47" s="30">
        <f>SQRT(D44/D46/PI())</f>
        <v>1.3338234796230581</v>
      </c>
      <c r="E47" s="30"/>
    </row>
    <row r="48" spans="2:7" x14ac:dyDescent="0.25">
      <c r="B48" t="s">
        <v>1422</v>
      </c>
      <c r="C48" s="30"/>
      <c r="D48" s="30">
        <f>2*PI()*D47*D46</f>
        <v>25.141980268616244</v>
      </c>
      <c r="E48" s="30"/>
    </row>
    <row r="49" spans="1:5" x14ac:dyDescent="0.25">
      <c r="B49" t="s">
        <v>1507</v>
      </c>
      <c r="C49" s="30"/>
      <c r="D49" s="26">
        <v>0.25</v>
      </c>
      <c r="E49" s="30"/>
    </row>
    <row r="50" spans="1:5" x14ac:dyDescent="0.25">
      <c r="B50" t="s">
        <v>1410</v>
      </c>
      <c r="C50" s="30"/>
      <c r="D50" s="30">
        <f>D47+D49</f>
        <v>1.5838234796230581</v>
      </c>
      <c r="E50" s="30"/>
    </row>
    <row r="51" spans="1:5" x14ac:dyDescent="0.25">
      <c r="B51" t="s">
        <v>1423</v>
      </c>
      <c r="C51" s="30"/>
      <c r="D51" s="30">
        <f>2*PI()*D50*D46</f>
        <v>29.854369249000936</v>
      </c>
      <c r="E51" s="30"/>
    </row>
    <row r="52" spans="1:5" x14ac:dyDescent="0.25">
      <c r="A52" s="268" t="s">
        <v>1513</v>
      </c>
      <c r="B52" t="s">
        <v>1502</v>
      </c>
      <c r="C52" s="30"/>
      <c r="D52" s="419">
        <f>1/(D30*D48)</f>
        <v>3.9674927104254923E-6</v>
      </c>
      <c r="E52" s="30"/>
    </row>
    <row r="53" spans="1:5" x14ac:dyDescent="0.25">
      <c r="A53" s="15" t="s">
        <v>1514</v>
      </c>
      <c r="C53" s="30"/>
      <c r="D53" s="419">
        <f>1/(C30*D48)</f>
        <v>7.9548228844031116E-4</v>
      </c>
      <c r="E53" s="30"/>
    </row>
    <row r="54" spans="1:5" x14ac:dyDescent="0.25">
      <c r="A54" s="34" t="s">
        <v>1515</v>
      </c>
      <c r="C54" s="30"/>
      <c r="D54" s="419">
        <f>1/(E30*D48)</f>
        <v>1.9887057211007779E-6</v>
      </c>
      <c r="E54" s="30"/>
    </row>
    <row r="55" spans="1:5" x14ac:dyDescent="0.25">
      <c r="A55" s="268" t="s">
        <v>1513</v>
      </c>
      <c r="B55" t="s">
        <v>1503</v>
      </c>
      <c r="C55" s="30"/>
      <c r="D55" s="418">
        <f>D49/(D32*(D51-D48)/LN(D51/D48))</f>
        <v>0.21444378867551167</v>
      </c>
      <c r="E55" s="30"/>
    </row>
    <row r="56" spans="1:5" x14ac:dyDescent="0.25">
      <c r="A56" s="15" t="s">
        <v>1514</v>
      </c>
      <c r="C56" s="30"/>
      <c r="D56" s="418">
        <f>D49/(C32*(D51-D48)/LN(D51/D48))</f>
        <v>0.26039602910597848</v>
      </c>
      <c r="E56" s="30"/>
    </row>
    <row r="57" spans="1:5" x14ac:dyDescent="0.25">
      <c r="A57" s="34" t="s">
        <v>1515</v>
      </c>
      <c r="C57" s="30"/>
      <c r="D57" s="418">
        <f>D49/(E32*(D51-D48)/LN(D51/D48))</f>
        <v>0.18227722037418492</v>
      </c>
      <c r="E57" s="30"/>
    </row>
    <row r="58" spans="1:5" x14ac:dyDescent="0.25">
      <c r="A58" s="268" t="s">
        <v>1513</v>
      </c>
      <c r="B58" t="s">
        <v>1504</v>
      </c>
      <c r="C58" s="30"/>
      <c r="D58" s="67">
        <f>1/(D31*D51)</f>
        <v>2.4811803410166814E-3</v>
      </c>
      <c r="E58" s="30"/>
    </row>
    <row r="59" spans="1:5" x14ac:dyDescent="0.25">
      <c r="A59" s="15" t="s">
        <v>1514</v>
      </c>
      <c r="C59" s="30"/>
      <c r="D59" s="67">
        <f>1/(C31*D51)</f>
        <v>1.67479673018626E-2</v>
      </c>
      <c r="E59" s="30"/>
    </row>
    <row r="60" spans="1:5" x14ac:dyDescent="0.25">
      <c r="A60" s="34" t="s">
        <v>1515</v>
      </c>
      <c r="C60" s="30"/>
      <c r="D60" s="67">
        <f>1/(E31*D51)</f>
        <v>1.3398373841490081E-3</v>
      </c>
      <c r="E60" s="30"/>
    </row>
    <row r="61" spans="1:5" x14ac:dyDescent="0.25">
      <c r="A61" s="268" t="s">
        <v>1513</v>
      </c>
      <c r="B61" t="s">
        <v>1505</v>
      </c>
      <c r="C61" s="26" t="s">
        <v>3</v>
      </c>
      <c r="D61" s="383">
        <f>SUM(D52,D55,D58)</f>
        <v>0.21692893650923878</v>
      </c>
      <c r="E61" s="26"/>
    </row>
    <row r="62" spans="1:5" x14ac:dyDescent="0.25">
      <c r="A62" s="15" t="s">
        <v>1514</v>
      </c>
      <c r="C62" s="26"/>
      <c r="D62" s="383">
        <f>SUM(D53,D56,D59)</f>
        <v>0.27793947869628138</v>
      </c>
      <c r="E62" s="26"/>
    </row>
    <row r="63" spans="1:5" x14ac:dyDescent="0.25">
      <c r="A63" s="34" t="s">
        <v>1515</v>
      </c>
      <c r="C63" s="26"/>
      <c r="D63" s="383">
        <f>SUM(D54,D57,D60)</f>
        <v>0.18361904646405502</v>
      </c>
      <c r="E63" s="26"/>
    </row>
    <row r="64" spans="1:5" x14ac:dyDescent="0.25">
      <c r="A64" s="268" t="s">
        <v>1513</v>
      </c>
      <c r="B64" s="1494" t="s">
        <v>1506</v>
      </c>
      <c r="C64" s="420">
        <f t="shared" ref="C64:E66" si="1">(C$7-$C$11)/$D61</f>
        <v>720.28196198410569</v>
      </c>
      <c r="D64" s="420">
        <f t="shared" si="1"/>
        <v>760.6177518552156</v>
      </c>
      <c r="E64" s="421">
        <f t="shared" si="1"/>
        <v>791.73393261292892</v>
      </c>
    </row>
    <row r="65" spans="1:42" x14ac:dyDescent="0.25">
      <c r="A65" s="15" t="s">
        <v>1514</v>
      </c>
      <c r="B65" s="1495"/>
      <c r="C65" s="420">
        <f t="shared" si="1"/>
        <v>562.17274614212806</v>
      </c>
      <c r="D65" s="420">
        <f t="shared" si="1"/>
        <v>593.65441992608726</v>
      </c>
      <c r="E65" s="421">
        <f t="shared" si="1"/>
        <v>617.94028255942715</v>
      </c>
    </row>
    <row r="66" spans="1:42" x14ac:dyDescent="0.25">
      <c r="A66" s="34" t="s">
        <v>1515</v>
      </c>
      <c r="B66" s="1496"/>
      <c r="C66" s="420">
        <f t="shared" si="1"/>
        <v>850.94658211607293</v>
      </c>
      <c r="D66" s="420">
        <f t="shared" si="1"/>
        <v>898.59959071457297</v>
      </c>
      <c r="E66" s="421">
        <f t="shared" si="1"/>
        <v>935.36048306198734</v>
      </c>
    </row>
    <row r="67" spans="1:42" x14ac:dyDescent="0.25">
      <c r="A67" s="268" t="s">
        <v>1513</v>
      </c>
      <c r="B67" s="1490" t="s">
        <v>1508</v>
      </c>
      <c r="C67" s="420">
        <f>(C7-$C$11)/(2*$D$49/$D$32/(2*D50*PI()))</f>
        <v>132.16778052943124</v>
      </c>
      <c r="D67" s="420">
        <f>(D7-$C$11)/(2*$D$49/$D$32/(2*D50*PI()))</f>
        <v>139.56917623907938</v>
      </c>
      <c r="E67" s="421">
        <f>(E10-$C$11)/(2*$D$49/$D$32/(2*D50*PI()))</f>
        <v>146.20928553287803</v>
      </c>
    </row>
    <row r="68" spans="1:42" x14ac:dyDescent="0.25">
      <c r="A68" s="15" t="s">
        <v>1514</v>
      </c>
      <c r="B68" s="1491"/>
      <c r="C68" s="57">
        <f>(C7-$C$11)/(2*$D$49/$C$32/(2*D50*PI()))</f>
        <v>108.84405455364926</v>
      </c>
      <c r="D68" s="57">
        <f>(D7-$C$11)/(2*$D$49/$C$32/(2*D50*PI()))</f>
        <v>114.93932160865361</v>
      </c>
      <c r="E68" s="58">
        <f>(E10-$C$11)/(2*$D$49/$C$32/(2*D50*PI()))</f>
        <v>120.40764690942895</v>
      </c>
    </row>
    <row r="69" spans="1:42" x14ac:dyDescent="0.25">
      <c r="A69" s="34" t="s">
        <v>1515</v>
      </c>
      <c r="B69" s="1492"/>
      <c r="C69" s="422">
        <f>(C7-$C$11)/(2*$D$49/$E$32/(2*D50*PI()))</f>
        <v>155.49150650521318</v>
      </c>
      <c r="D69" s="422">
        <f>(D7-$C$11)/(2*$D$49/$E$32/(2*D50*PI()))</f>
        <v>164.19903086950512</v>
      </c>
      <c r="E69" s="423">
        <f>(E10-$C$11)/(2*$D$49/$E$32/(2*D50*PI()))</f>
        <v>172.01092415632704</v>
      </c>
    </row>
    <row r="70" spans="1:42" x14ac:dyDescent="0.25">
      <c r="A70" t="s">
        <v>1513</v>
      </c>
      <c r="B70" s="1493" t="s">
        <v>1424</v>
      </c>
      <c r="C70" s="366">
        <f t="shared" ref="C70:E72" si="2">(C64+C67)*C$35*3600/1000</f>
        <v>2873.5305865819946</v>
      </c>
      <c r="D70" s="366">
        <f t="shared" si="2"/>
        <v>4678.7215587700985</v>
      </c>
      <c r="E70" s="366">
        <f t="shared" si="2"/>
        <v>6745.5170897740709</v>
      </c>
    </row>
    <row r="71" spans="1:42" x14ac:dyDescent="0.25">
      <c r="A71" t="s">
        <v>1514</v>
      </c>
      <c r="B71" s="1493"/>
      <c r="C71" s="366">
        <f t="shared" si="2"/>
        <v>2261.9366336181288</v>
      </c>
      <c r="D71" s="366">
        <f t="shared" si="2"/>
        <v>3682.9159716268159</v>
      </c>
      <c r="E71" s="366">
        <f t="shared" si="2"/>
        <v>5310.0640636619273</v>
      </c>
    </row>
    <row r="72" spans="1:42" x14ac:dyDescent="0.25">
      <c r="A72" t="s">
        <v>1515</v>
      </c>
      <c r="B72" s="1493"/>
      <c r="C72" s="366">
        <f t="shared" si="2"/>
        <v>3392.611302370663</v>
      </c>
      <c r="D72" s="366">
        <f t="shared" si="2"/>
        <v>5523.8958356832463</v>
      </c>
      <c r="E72" s="366">
        <f t="shared" si="2"/>
        <v>7964.0138204582572</v>
      </c>
    </row>
    <row r="73" spans="1:42" x14ac:dyDescent="0.25">
      <c r="B73" s="47" t="s">
        <v>1468</v>
      </c>
      <c r="C73" s="366">
        <f>C36*1000</f>
        <v>2565.3798256537984</v>
      </c>
      <c r="D73" s="366">
        <f>D36*1000</f>
        <v>3955.4794520547953</v>
      </c>
      <c r="E73" s="366">
        <f>E36*1000</f>
        <v>5473.225404732254</v>
      </c>
    </row>
    <row r="74" spans="1:42" x14ac:dyDescent="0.25">
      <c r="A74" t="s">
        <v>1513</v>
      </c>
      <c r="B74" s="1497" t="s">
        <v>1516</v>
      </c>
      <c r="C74" s="424">
        <f>C70/$C$73</f>
        <v>1.1201189616627871</v>
      </c>
      <c r="D74" s="424">
        <f>D70/$D$73</f>
        <v>1.1828456235159035</v>
      </c>
      <c r="E74" s="424">
        <f>E70/$E$73</f>
        <v>1.2324573886435901</v>
      </c>
    </row>
    <row r="75" spans="1:42" x14ac:dyDescent="0.25">
      <c r="A75" t="s">
        <v>1514</v>
      </c>
      <c r="B75" s="1497"/>
      <c r="C75" s="424">
        <f>C71/$C$73</f>
        <v>0.88171607611425107</v>
      </c>
      <c r="D75" s="424">
        <f>D71/$D$73</f>
        <v>0.93109217637664943</v>
      </c>
      <c r="E75" s="424">
        <f>E71/$E$73</f>
        <v>0.97018917932207682</v>
      </c>
    </row>
    <row r="76" spans="1:42" ht="19.5" thickBot="1" x14ac:dyDescent="0.35">
      <c r="A76" t="s">
        <v>1515</v>
      </c>
      <c r="B76" s="1497"/>
      <c r="C76" s="424">
        <f>C72/$C$73</f>
        <v>1.3224596484483699</v>
      </c>
      <c r="D76" s="424">
        <f>D72/$D$73</f>
        <v>1.3965173887614784</v>
      </c>
      <c r="E76" s="424">
        <f>E72/$E$73</f>
        <v>1.4550860290848648</v>
      </c>
      <c r="G76" s="1500" t="s">
        <v>1535</v>
      </c>
      <c r="H76" s="1500"/>
      <c r="I76" s="1500"/>
      <c r="J76" s="1500"/>
      <c r="K76" s="1500"/>
      <c r="L76" s="1500"/>
      <c r="M76" s="1500"/>
      <c r="N76" s="1500"/>
      <c r="O76" s="1500"/>
      <c r="P76" s="1500"/>
      <c r="Q76" s="1500"/>
      <c r="R76" s="1500"/>
      <c r="S76" s="1500"/>
      <c r="T76" s="1500"/>
      <c r="U76" s="1500"/>
      <c r="V76" s="1500"/>
      <c r="W76" s="1500"/>
      <c r="X76" s="1500"/>
      <c r="Y76" s="1500"/>
      <c r="Z76" s="1500"/>
      <c r="AA76" s="1500"/>
      <c r="AB76" s="1500"/>
      <c r="AC76" s="1500"/>
      <c r="AD76" s="1500"/>
      <c r="AE76" s="1500"/>
      <c r="AF76" s="1500"/>
      <c r="AG76" s="1500"/>
      <c r="AH76" s="1500"/>
      <c r="AI76" s="1500"/>
      <c r="AJ76" s="1500"/>
      <c r="AK76" s="1500"/>
      <c r="AL76" s="1500"/>
      <c r="AM76" s="1500"/>
      <c r="AN76" s="1500"/>
      <c r="AO76" s="1500"/>
      <c r="AP76" s="1500"/>
    </row>
    <row r="77" spans="1:42" x14ac:dyDescent="0.25">
      <c r="A77" s="54"/>
      <c r="B77" s="294"/>
      <c r="C77" s="59"/>
      <c r="D77" s="59"/>
      <c r="E77" s="59"/>
      <c r="G77" s="1486" t="s">
        <v>1540</v>
      </c>
      <c r="H77" s="1487"/>
      <c r="I77" s="1487"/>
      <c r="J77" s="1487"/>
      <c r="K77" s="1487"/>
      <c r="L77" s="1487"/>
      <c r="M77" s="1487" t="s">
        <v>1523</v>
      </c>
      <c r="N77" s="1487"/>
      <c r="O77" s="1487"/>
      <c r="P77" s="1487"/>
      <c r="Q77" s="1487"/>
      <c r="R77" s="1488"/>
      <c r="S77" s="1486" t="s">
        <v>1517</v>
      </c>
      <c r="T77" s="1487"/>
      <c r="U77" s="1487"/>
      <c r="V77" s="1487"/>
      <c r="W77" s="1487"/>
      <c r="X77" s="1487"/>
      <c r="Y77" s="1487" t="s">
        <v>1523</v>
      </c>
      <c r="Z77" s="1487"/>
      <c r="AA77" s="1487"/>
      <c r="AB77" s="1487"/>
      <c r="AC77" s="1487"/>
      <c r="AD77" s="1488"/>
      <c r="AE77" s="1486" t="s">
        <v>1517</v>
      </c>
      <c r="AF77" s="1487"/>
      <c r="AG77" s="1487"/>
      <c r="AH77" s="1487"/>
      <c r="AI77" s="1487"/>
      <c r="AJ77" s="1487"/>
      <c r="AK77" s="1487" t="s">
        <v>1523</v>
      </c>
      <c r="AL77" s="1487"/>
      <c r="AM77" s="1487"/>
      <c r="AN77" s="1487"/>
      <c r="AO77" s="1487"/>
      <c r="AP77" s="1488"/>
    </row>
    <row r="78" spans="1:42" x14ac:dyDescent="0.25">
      <c r="B78" s="294"/>
      <c r="C78" s="59"/>
      <c r="D78" s="59"/>
      <c r="E78" s="59"/>
      <c r="G78" s="1481" t="s">
        <v>1469</v>
      </c>
      <c r="H78" s="1482"/>
      <c r="I78" s="1482"/>
      <c r="J78" s="1482"/>
      <c r="K78" s="1482"/>
      <c r="L78" s="1482"/>
      <c r="M78" s="1482"/>
      <c r="N78" s="1482"/>
      <c r="O78" s="1482"/>
      <c r="P78" s="1482"/>
      <c r="Q78" s="1482"/>
      <c r="R78" s="1483"/>
      <c r="S78" s="1481" t="s">
        <v>1471</v>
      </c>
      <c r="T78" s="1482"/>
      <c r="U78" s="1482"/>
      <c r="V78" s="1482"/>
      <c r="W78" s="1482"/>
      <c r="X78" s="1482"/>
      <c r="Y78" s="1482"/>
      <c r="Z78" s="1482"/>
      <c r="AA78" s="1482"/>
      <c r="AB78" s="1482"/>
      <c r="AC78" s="1482"/>
      <c r="AD78" s="1483"/>
      <c r="AE78" s="1481" t="s">
        <v>1470</v>
      </c>
      <c r="AF78" s="1482"/>
      <c r="AG78" s="1482"/>
      <c r="AH78" s="1482"/>
      <c r="AI78" s="1482"/>
      <c r="AJ78" s="1482"/>
      <c r="AK78" s="1482"/>
      <c r="AL78" s="1482"/>
      <c r="AM78" s="1482"/>
      <c r="AN78" s="1482"/>
      <c r="AO78" s="1482"/>
      <c r="AP78" s="1483"/>
    </row>
    <row r="79" spans="1:42" x14ac:dyDescent="0.25">
      <c r="B79" s="627" t="s">
        <v>1687</v>
      </c>
      <c r="C79" s="627" t="s">
        <v>1892</v>
      </c>
      <c r="D79" s="627" t="s">
        <v>1893</v>
      </c>
      <c r="E79" s="627" t="s">
        <v>1894</v>
      </c>
      <c r="G79" s="1489" t="s">
        <v>1427</v>
      </c>
      <c r="H79" s="1484"/>
      <c r="I79" s="1484"/>
      <c r="J79" s="1484" t="s">
        <v>485</v>
      </c>
      <c r="K79" s="1484"/>
      <c r="L79" s="1484"/>
      <c r="M79" s="1484" t="s">
        <v>1427</v>
      </c>
      <c r="N79" s="1484"/>
      <c r="O79" s="1484"/>
      <c r="P79" s="1484" t="s">
        <v>485</v>
      </c>
      <c r="Q79" s="1484"/>
      <c r="R79" s="1485"/>
      <c r="S79" s="1489" t="s">
        <v>1427</v>
      </c>
      <c r="T79" s="1484"/>
      <c r="U79" s="1484"/>
      <c r="V79" s="1484" t="s">
        <v>485</v>
      </c>
      <c r="W79" s="1484"/>
      <c r="X79" s="1484"/>
      <c r="Y79" s="1484" t="s">
        <v>1427</v>
      </c>
      <c r="Z79" s="1484"/>
      <c r="AA79" s="1484"/>
      <c r="AB79" s="1484" t="s">
        <v>485</v>
      </c>
      <c r="AC79" s="1484"/>
      <c r="AD79" s="1485"/>
      <c r="AE79" s="1489" t="s">
        <v>1427</v>
      </c>
      <c r="AF79" s="1484"/>
      <c r="AG79" s="1484"/>
      <c r="AH79" s="1484" t="s">
        <v>485</v>
      </c>
      <c r="AI79" s="1484"/>
      <c r="AJ79" s="1484"/>
      <c r="AK79" s="1484" t="s">
        <v>1427</v>
      </c>
      <c r="AL79" s="1484"/>
      <c r="AM79" s="1484"/>
      <c r="AN79" s="1484" t="s">
        <v>485</v>
      </c>
      <c r="AO79" s="1484"/>
      <c r="AP79" s="1485"/>
    </row>
    <row r="80" spans="1:42" x14ac:dyDescent="0.25">
      <c r="B80" s="294" t="s">
        <v>1497</v>
      </c>
      <c r="C80" s="398">
        <f>SUM(C18,$C$22,C75)/3600+C121</f>
        <v>0.12993879613225395</v>
      </c>
      <c r="D80" s="398">
        <f>SUM(D18,$C$22,D74)/3600+D121</f>
        <v>0.28511590156208777</v>
      </c>
      <c r="E80" s="398">
        <f>SUM(E18,$C$22,E76)/3600+E121</f>
        <v>0.48086360723030136</v>
      </c>
      <c r="G80" s="436">
        <f>C80/'S2.1.3 Gas_imp'!$D$22</f>
        <v>0.15870387313863041</v>
      </c>
      <c r="H80" s="425">
        <f>D80/'S2.1.3 Gas_imp'!$D$22</f>
        <v>0.34823316221323619</v>
      </c>
      <c r="I80" s="425">
        <f>E80/'S2.1.3 Gas_imp'!$D$22</f>
        <v>0.58731432944158812</v>
      </c>
      <c r="J80" s="425">
        <f>C80/'S2.1.3 Gas_imp'!$G$22</f>
        <v>0.18562685161750567</v>
      </c>
      <c r="K80" s="425">
        <f>D80/'S2.1.3 Gas_imp'!$G$22</f>
        <v>0.40730843080298257</v>
      </c>
      <c r="L80" s="425">
        <f>E80/'S2.1.3 Gas_imp'!$G$22</f>
        <v>0.68694801032900199</v>
      </c>
      <c r="M80" s="426">
        <f>G80*'S2.5 energy supply scenarios'!$B$11*'S2.5 energy supply scenarios'!$B$6</f>
        <v>3.9124051925606647E-2</v>
      </c>
      <c r="N80" s="426">
        <f>H80*'S2.5 energy supply scenarios'!$B$11*'S2.5 energy supply scenarios'!$B$6</f>
        <v>8.5847257859597528E-2</v>
      </c>
      <c r="O80" s="426">
        <f>I80*'S2.5 energy supply scenarios'!$B$11*'S2.5 energy supply scenarios'!$B$6</f>
        <v>0.14478610929459665</v>
      </c>
      <c r="P80" s="426">
        <f>J80*'S2.5 energy supply scenarios'!$B$36</f>
        <v>1.1316934077802709E-2</v>
      </c>
      <c r="Q80" s="426">
        <f>K80*'S2.5 energy supply scenarios'!$B$36</f>
        <v>2.4831982122008472E-2</v>
      </c>
      <c r="R80" s="437">
        <f>L80*'S2.5 energy supply scenarios'!$B$36</f>
        <v>4.1880499938608574E-2</v>
      </c>
      <c r="S80" s="436">
        <f>C80/'S2.1.3 Gas_imp'!$C$22</f>
        <v>0.1431832464267255</v>
      </c>
      <c r="T80" s="425">
        <f>D80/'S2.1.3 Gas_imp'!$C$22</f>
        <v>0.31417730199678962</v>
      </c>
      <c r="U80" s="425">
        <f>E80/'S2.1.3 Gas_imp'!$C$22</f>
        <v>0.52987725314633538</v>
      </c>
      <c r="V80" s="425">
        <f>C80/'S2.1.3 Gas_imp'!$F$22</f>
        <v>0.14437644014694884</v>
      </c>
      <c r="W80" s="425">
        <f>D80/'S2.1.3 Gas_imp'!$F$22</f>
        <v>0.31679544618009753</v>
      </c>
      <c r="X80" s="425">
        <f>E80/'S2.1.3 Gas_imp'!$F$22</f>
        <v>0.5342928969225571</v>
      </c>
      <c r="Y80" s="426">
        <f>S80*'S2.5 energy supply scenarios'!$B$11*'S2.5 energy supply scenarios'!$B$6</f>
        <v>3.5297870538942573E-2</v>
      </c>
      <c r="Z80" s="426">
        <f>T80*'S2.5 energy supply scenarios'!$B$11*'S2.5 energy supply scenarios'!$B$6</f>
        <v>7.7451727132281351E-2</v>
      </c>
      <c r="AA80" s="426">
        <f>U80*'S2.5 energy supply scenarios'!$B$11*'S2.5 energy supply scenarios'!$B$6</f>
        <v>0.13062658620931217</v>
      </c>
      <c r="AB80" s="426">
        <f>V80*'S2.5 energy supply scenarios'!$B$36</f>
        <v>8.8020598382909949E-3</v>
      </c>
      <c r="AC80" s="426">
        <f>W80*'S2.5 energy supply scenarios'!$B$36</f>
        <v>1.9313763872673254E-2</v>
      </c>
      <c r="AD80" s="437">
        <f>X80*'S2.5 energy supply scenarios'!$B$36</f>
        <v>3.2573722174473338E-2</v>
      </c>
      <c r="AE80" s="436">
        <f>C80/'S2.1.3 Gas_imp'!$E$22</f>
        <v>0.1779983508661013</v>
      </c>
      <c r="AF80" s="425">
        <f>D80/'S2.1.3 Gas_imp'!$E$22</f>
        <v>0.39056972816724356</v>
      </c>
      <c r="AG80" s="425">
        <f>E80/'S2.1.3 Gas_imp'!$E$22</f>
        <v>0.65871727017849502</v>
      </c>
      <c r="AH80" s="425">
        <f>C80/'S2.1.3 Gas_imp'!$H$22</f>
        <v>0.25987759226450791</v>
      </c>
      <c r="AI80" s="425">
        <f>D80/'S2.1.3 Gas_imp'!$H$22</f>
        <v>0.57023180312417554</v>
      </c>
      <c r="AJ80" s="425">
        <f>E80/'S2.1.3 Gas_imp'!$H$22</f>
        <v>0.96172721446060272</v>
      </c>
      <c r="AK80" s="426">
        <f>AE80*'S2.5 energy supply scenarios'!$B$11*'S2.5 energy supply scenarios'!$B$6</f>
        <v>4.3880571937110306E-2</v>
      </c>
      <c r="AL80" s="426">
        <f>AF80*'S2.5 energy supply scenarios'!$B$11*'S2.5 energy supply scenarios'!$B$6</f>
        <v>9.6284167633624143E-2</v>
      </c>
      <c r="AM80" s="426">
        <f>AG80*'S2.5 energy supply scenarios'!$B$11*'S2.5 energy supply scenarios'!$B$6</f>
        <v>0.16238853011637164</v>
      </c>
      <c r="AN80" s="426">
        <f>AH80*'S2.5 energy supply scenarios'!$B$36</f>
        <v>1.584370770892379E-2</v>
      </c>
      <c r="AO80" s="426">
        <f>AI80*'S2.5 energy supply scenarios'!$B$36</f>
        <v>3.4764774970811853E-2</v>
      </c>
      <c r="AP80" s="437">
        <f>AJ80*'S2.5 energy supply scenarios'!$B$36</f>
        <v>5.8632699914052004E-2</v>
      </c>
    </row>
    <row r="81" spans="2:42" x14ac:dyDescent="0.25">
      <c r="B81" s="294" t="s">
        <v>1498</v>
      </c>
      <c r="C81" s="398">
        <f>SUM($C$19,$C$22,C75)/3600+C122</f>
        <v>0.23672333560593814</v>
      </c>
      <c r="D81" s="398">
        <f>SUM($D$19,$C$22,D74)/3600+D122</f>
        <v>0.39740756822875445</v>
      </c>
      <c r="E81" s="398">
        <f>SUM($E$19,$C$22,E76)/3600+E122</f>
        <v>0.5974036291601259</v>
      </c>
      <c r="G81" s="436">
        <f>C81/'S2.1.3 Gas_imp'!$D$22</f>
        <v>0.28912773814465659</v>
      </c>
      <c r="H81" s="425">
        <f>D81/'S2.1.3 Gas_imp'!$D$22</f>
        <v>0.48538328943969899</v>
      </c>
      <c r="I81" s="425">
        <f>E81/'S2.1.3 Gas_imp'!$D$22</f>
        <v>0.7296532875238162</v>
      </c>
      <c r="J81" s="425">
        <f>C81/'S2.1.3 Gas_imp'!$G$22</f>
        <v>0.3381761937227688</v>
      </c>
      <c r="K81" s="425">
        <f>D81/'S2.1.3 Gas_imp'!$G$22</f>
        <v>0.56772509746964928</v>
      </c>
      <c r="L81" s="425">
        <f>E81/'S2.1.3 Gas_imp'!$G$22</f>
        <v>0.85343375594303705</v>
      </c>
      <c r="M81" s="426">
        <f>G81*'S2.5 energy supply scenarios'!$B$11*'S2.5 energy supply scenarios'!$B$6</f>
        <v>7.12764497588768E-2</v>
      </c>
      <c r="N81" s="426">
        <f>H81*'S2.5 energy supply scenarios'!$B$11*'S2.5 energy supply scenarios'!$B$6</f>
        <v>0.1196578296691747</v>
      </c>
      <c r="O81" s="426">
        <f>I81*'S2.5 energy supply scenarios'!$B$11*'S2.5 energy supply scenarios'!$B$6</f>
        <v>0.17987584388589636</v>
      </c>
      <c r="P81" s="426">
        <f>J81*'S2.5 energy supply scenarios'!$B$36</f>
        <v>2.0617263384549552E-2</v>
      </c>
      <c r="Q81" s="426">
        <f>K81*'S2.5 energy supply scenarios'!$B$36</f>
        <v>3.4611951053379997E-2</v>
      </c>
      <c r="R81" s="437">
        <f>L81*'S2.5 energy supply scenarios'!$B$36</f>
        <v>5.2030476580404855E-2</v>
      </c>
      <c r="S81" s="436">
        <f>C81/'S2.1.3 Gas_imp'!$C$22</f>
        <v>0.26085216044731363</v>
      </c>
      <c r="T81" s="425">
        <f>D81/'S2.1.3 Gas_imp'!$C$22</f>
        <v>0.43791467573416282</v>
      </c>
      <c r="U81" s="425">
        <f>E81/'S2.1.3 Gas_imp'!$C$22</f>
        <v>0.6582960100937999</v>
      </c>
      <c r="V81" s="425">
        <f>C81/'S2.1.3 Gas_imp'!$F$22</f>
        <v>0.26302592845104239</v>
      </c>
      <c r="W81" s="425">
        <f>D81/'S2.1.3 Gas_imp'!$F$22</f>
        <v>0.44156396469861603</v>
      </c>
      <c r="X81" s="425">
        <f>E81/'S2.1.3 Gas_imp'!$F$22</f>
        <v>0.66378181017791771</v>
      </c>
      <c r="Y81" s="426">
        <f>S81*'S2.5 energy supply scenarios'!$B$11*'S2.5 energy supply scenarios'!$B$6</f>
        <v>6.4305887867857042E-2</v>
      </c>
      <c r="Z81" s="426">
        <f>T81*'S2.5 energy supply scenarios'!$B$11*'S2.5 energy supply scenarios'!$B$6</f>
        <v>0.10795575541778137</v>
      </c>
      <c r="AA81" s="426">
        <f>U81*'S2.5 energy supply scenarios'!$B$11*'S2.5 energy supply scenarios'!$B$6</f>
        <v>0.16228468008989241</v>
      </c>
      <c r="AB81" s="426">
        <f>V81*'S2.5 energy supply scenarios'!$B$36</f>
        <v>1.6035649299094096E-2</v>
      </c>
      <c r="AC81" s="426">
        <f>W81*'S2.5 energy supply scenarios'!$B$36</f>
        <v>2.6920406374851106E-2</v>
      </c>
      <c r="AD81" s="437">
        <f>X81*'S2.5 energy supply scenarios'!$B$36</f>
        <v>4.0468148451425996E-2</v>
      </c>
      <c r="AE81" s="436">
        <f>C81/'S2.1.3 Gas_imp'!$E$22</f>
        <v>0.32427854192594269</v>
      </c>
      <c r="AF81" s="425">
        <f>D81/'S2.1.3 Gas_imp'!$E$22</f>
        <v>0.54439392908048556</v>
      </c>
      <c r="AG81" s="425">
        <f>E81/'S2.1.3 Gas_imp'!$E$22</f>
        <v>0.81836113583578896</v>
      </c>
      <c r="AH81" s="425">
        <f>C81/'S2.1.3 Gas_imp'!$H$22</f>
        <v>0.47344667121187628</v>
      </c>
      <c r="AI81" s="425">
        <f>D81/'S2.1.3 Gas_imp'!$H$22</f>
        <v>0.7948151364575089</v>
      </c>
      <c r="AJ81" s="425">
        <f>E81/'S2.1.3 Gas_imp'!$H$22</f>
        <v>1.1948072583202518</v>
      </c>
      <c r="AK81" s="426">
        <f>AE81*'S2.5 energy supply scenarios'!$B$11*'S2.5 energy supply scenarios'!$B$6</f>
        <v>7.994190854805551E-2</v>
      </c>
      <c r="AL81" s="426">
        <f>AF81*'S2.5 energy supply scenarios'!$B$11*'S2.5 energy supply scenarios'!$B$6</f>
        <v>0.13420527128991372</v>
      </c>
      <c r="AM81" s="426">
        <f>AG81*'S2.5 energy supply scenarios'!$B$11*'S2.5 energy supply scenarios'!$B$6</f>
        <v>0.20174431120764111</v>
      </c>
      <c r="AN81" s="426">
        <f>AH81*'S2.5 energy supply scenarios'!$B$36</f>
        <v>2.8864168738369372E-2</v>
      </c>
      <c r="AO81" s="426">
        <f>AI81*'S2.5 energy supply scenarios'!$B$36</f>
        <v>4.8456731474731993E-2</v>
      </c>
      <c r="AP81" s="437">
        <f>AJ81*'S2.5 energy supply scenarios'!$B$36</f>
        <v>7.2842667212566797E-2</v>
      </c>
    </row>
    <row r="82" spans="2:42" x14ac:dyDescent="0.25">
      <c r="B82" s="294" t="s">
        <v>1499</v>
      </c>
      <c r="C82" s="398">
        <f>SUM($C$20,$C$22,C75)/3600+C123</f>
        <v>0.16652962215564579</v>
      </c>
      <c r="D82" s="398">
        <f>SUM($D$20,$C$22,D74)/3600+D123</f>
        <v>0.32365756822875441</v>
      </c>
      <c r="E82" s="398">
        <f>SUM($E$20,$C$22,E76)/3600+E123</f>
        <v>0.52091020810749433</v>
      </c>
      <c r="G82" s="436">
        <f>C82/'S2.1.3 Gas_imp'!$D$22</f>
        <v>0.2033949583580402</v>
      </c>
      <c r="H82" s="425">
        <f>D82/'S2.1.3 Gas_imp'!$D$22</f>
        <v>0.39530695356183654</v>
      </c>
      <c r="I82" s="425">
        <f>E82/'S2.1.3 Gas_imp'!$D$22</f>
        <v>0.6362262083755641</v>
      </c>
      <c r="J82" s="425">
        <f>C82/'S2.1.3 Gas_imp'!$G$22</f>
        <v>0.23789946022235114</v>
      </c>
      <c r="K82" s="425">
        <f>D82/'S2.1.3 Gas_imp'!$G$22</f>
        <v>0.46236795461250635</v>
      </c>
      <c r="L82" s="425">
        <f>E82/'S2.1.3 Gas_imp'!$G$22</f>
        <v>0.74415744015356333</v>
      </c>
      <c r="M82" s="426">
        <f>G82*'S2.5 energy supply scenarios'!$B$11*'S2.5 energy supply scenarios'!$B$6</f>
        <v>5.0141403324513979E-2</v>
      </c>
      <c r="N82" s="426">
        <f>H82*'S2.5 energy supply scenarios'!$B$11*'S2.5 energy supply scenarios'!$B$6</f>
        <v>9.7451999575315085E-2</v>
      </c>
      <c r="O82" s="426">
        <f>I82*'S2.5 energy supply scenarios'!$B$11*'S2.5 energy supply scenarios'!$B$6</f>
        <v>0.15684398068328212</v>
      </c>
      <c r="P82" s="426">
        <f>J82*'S2.5 energy supply scenarios'!$B$36</f>
        <v>1.4503788029701717E-2</v>
      </c>
      <c r="Q82" s="426">
        <f>K82*'S2.5 energy supply scenarios'!$B$36</f>
        <v>2.8188743258007971E-2</v>
      </c>
      <c r="R82" s="437">
        <f>L82*'S2.5 energy supply scenarios'!$B$36</f>
        <v>4.5368332330914175E-2</v>
      </c>
      <c r="S82" s="436">
        <f>C82/'S2.1.3 Gas_imp'!$C$22</f>
        <v>0.18350371587398906</v>
      </c>
      <c r="T82" s="425">
        <f>D82/'S2.1.3 Gas_imp'!$C$22</f>
        <v>0.35664745810330911</v>
      </c>
      <c r="U82" s="425">
        <f>E82/'S2.1.3 Gas_imp'!$C$22</f>
        <v>0.57400573896142382</v>
      </c>
      <c r="V82" s="425">
        <f>C82/'S2.1.3 Gas_imp'!$F$22</f>
        <v>0.1850329135062731</v>
      </c>
      <c r="W82" s="425">
        <f>D82/'S2.1.3 Gas_imp'!$F$22</f>
        <v>0.35961952025417154</v>
      </c>
      <c r="X82" s="425">
        <f>E82/'S2.1.3 Gas_imp'!$F$22</f>
        <v>0.57878912011943817</v>
      </c>
      <c r="Y82" s="426">
        <f>S82*'S2.5 energy supply scenarios'!$B$11*'S2.5 energy supply scenarios'!$B$6</f>
        <v>4.5237767462199159E-2</v>
      </c>
      <c r="Z82" s="426">
        <f>T82*'S2.5 energy supply scenarios'!$B$11*'S2.5 energy supply scenarios'!$B$6</f>
        <v>8.7921569864781349E-2</v>
      </c>
      <c r="AA82" s="426">
        <f>U82*'S2.5 energy supply scenarios'!$B$11*'S2.5 energy supply scenarios'!$B$6</f>
        <v>0.14150524428037137</v>
      </c>
      <c r="AB82" s="426">
        <f>V82*'S2.5 energy supply scenarios'!$B$36</f>
        <v>1.1280724023101336E-2</v>
      </c>
      <c r="AC82" s="426">
        <f>W82*'S2.5 energy supply scenarios'!$B$36</f>
        <v>2.1924578089561754E-2</v>
      </c>
      <c r="AD82" s="437">
        <f>X82*'S2.5 energy supply scenarios'!$B$36</f>
        <v>3.5286480701822137E-2</v>
      </c>
      <c r="AE82" s="436">
        <f>C82/'S2.1.3 Gas_imp'!$E$22</f>
        <v>0.22812277007622711</v>
      </c>
      <c r="AF82" s="425">
        <f>D82/'S2.1.3 Gas_imp'!$E$22</f>
        <v>0.44336653182021152</v>
      </c>
      <c r="AG82" s="425">
        <f>E82/'S2.1.3 Gas_imp'!$E$22</f>
        <v>0.71357562754451276</v>
      </c>
      <c r="AH82" s="425">
        <f>C82/'S2.1.3 Gas_imp'!$H$22</f>
        <v>0.33305924431129158</v>
      </c>
      <c r="AI82" s="425">
        <f>D82/'S2.1.3 Gas_imp'!$H$22</f>
        <v>0.64731513645750882</v>
      </c>
      <c r="AJ82" s="425">
        <f>E82/'S2.1.3 Gas_imp'!$H$22</f>
        <v>1.0418204162149887</v>
      </c>
      <c r="AK82" s="426">
        <f>AE82*'S2.5 energy supply scenarios'!$B$11*'S2.5 energy supply scenarios'!$B$6</f>
        <v>5.6237361605405364E-2</v>
      </c>
      <c r="AL82" s="426">
        <f>AF82*'S2.5 energy supply scenarios'!$B$11*'S2.5 energy supply scenarios'!$B$6</f>
        <v>0.10929975979765673</v>
      </c>
      <c r="AM82" s="426">
        <f>AG82*'S2.5 energy supply scenarios'!$B$11*'S2.5 energy supply scenarios'!$B$6</f>
        <v>0.17591234134854461</v>
      </c>
      <c r="AN82" s="426">
        <f>AH82*'S2.5 energy supply scenarios'!$B$36</f>
        <v>2.0305303241582404E-2</v>
      </c>
      <c r="AO82" s="426">
        <f>AI82*'S2.5 energy supply scenarios'!$B$36</f>
        <v>3.9464240561211159E-2</v>
      </c>
      <c r="AP82" s="437">
        <f>AJ82*'S2.5 energy supply scenarios'!$B$36</f>
        <v>6.3515665263279841E-2</v>
      </c>
    </row>
    <row r="83" spans="2:42" ht="15.75" thickBot="1" x14ac:dyDescent="0.3">
      <c r="B83" s="294" t="s">
        <v>1500</v>
      </c>
      <c r="C83" s="398">
        <f>SUM(C21,$C$22,C75)/3600+C124</f>
        <v>0.20634087946558727</v>
      </c>
      <c r="D83" s="398">
        <f>SUM(D21,$C$22,D74)/3600+D124</f>
        <v>0.35970965156208778</v>
      </c>
      <c r="E83" s="398">
        <f>SUM(E21,$C$22,E76)/3600+E124</f>
        <v>0.55932704473030137</v>
      </c>
      <c r="G83" s="438">
        <f>C83/'S2.1.3 Gas_imp'!$D$22</f>
        <v>0.25201939476712892</v>
      </c>
      <c r="H83" s="439">
        <f>D83/'S2.1.3 Gas_imp'!$D$22</f>
        <v>0.43934003244224362</v>
      </c>
      <c r="I83" s="439">
        <f>E83/'S2.1.3 Gas_imp'!$D$22</f>
        <v>0.68314753554845808</v>
      </c>
      <c r="J83" s="439">
        <f>C83/'S2.1.3 Gas_imp'!$G$22</f>
        <v>0.29477268495083897</v>
      </c>
      <c r="K83" s="439">
        <f>D83/'S2.1.3 Gas_imp'!$G$22</f>
        <v>0.51387093080298263</v>
      </c>
      <c r="L83" s="439">
        <f>E83/'S2.1.3 Gas_imp'!$G$22</f>
        <v>0.79903863532900199</v>
      </c>
      <c r="M83" s="440">
        <f>G83*'S2.5 energy supply scenarios'!$B$11*'S2.5 energy supply scenarios'!$B$6</f>
        <v>6.2128413706174807E-2</v>
      </c>
      <c r="N83" s="440">
        <f>H83*'S2.5 energy supply scenarios'!$B$11*'S2.5 energy supply scenarios'!$B$6</f>
        <v>0.10830713770453092</v>
      </c>
      <c r="O83" s="440">
        <f>I83*'S2.5 energy supply scenarios'!$B$11*'S2.5 energy supply scenarios'!$B$6</f>
        <v>0.16841113657195492</v>
      </c>
      <c r="P83" s="440">
        <f>J83*'S2.5 energy supply scenarios'!$B$36</f>
        <v>1.7971123328641075E-2</v>
      </c>
      <c r="Q83" s="440">
        <f>K83*'S2.5 energy supply scenarios'!$B$36</f>
        <v>3.1328675769276705E-2</v>
      </c>
      <c r="R83" s="441">
        <f>L83*'S2.5 energy supply scenarios'!$B$36</f>
        <v>4.8714221476258548E-2</v>
      </c>
      <c r="S83" s="438">
        <f>C83/'S2.1.3 Gas_imp'!$C$22</f>
        <v>0.22737286993453046</v>
      </c>
      <c r="T83" s="439">
        <f>D83/'S2.1.3 Gas_imp'!$C$22</f>
        <v>0.39637427169375894</v>
      </c>
      <c r="U83" s="439">
        <f>E83/'S2.1.3 Gas_imp'!$C$22</f>
        <v>0.61633834130060494</v>
      </c>
      <c r="V83" s="439">
        <f>C83/'S2.1.3 Gas_imp'!$F$22</f>
        <v>0.22926764385065251</v>
      </c>
      <c r="W83" s="439">
        <f>D83/'S2.1.3 Gas_imp'!$F$22</f>
        <v>0.39967739062454199</v>
      </c>
      <c r="X83" s="439">
        <f>E83/'S2.1.3 Gas_imp'!$F$22</f>
        <v>0.62147449414477929</v>
      </c>
      <c r="Y83" s="440">
        <f>S83*'S2.5 energy supply scenarios'!$B$11*'S2.5 energy supply scenarios'!$B$6</f>
        <v>5.6052494459427574E-2</v>
      </c>
      <c r="Z83" s="440">
        <f>T83*'S2.5 energy supply scenarios'!$B$11*'S2.5 energy supply scenarios'!$B$6</f>
        <v>9.7715117350506364E-2</v>
      </c>
      <c r="AA83" s="440">
        <f>U83*'S2.5 energy supply scenarios'!$B$11*'S2.5 energy supply scenarios'!$B$6</f>
        <v>0.1519411769347524</v>
      </c>
      <c r="AB83" s="440">
        <f>V83*'S2.5 energy supply scenarios'!$B$36</f>
        <v>1.3977540366720834E-2</v>
      </c>
      <c r="AC83" s="440">
        <f>W83*'S2.5 energy supply scenarios'!$B$36</f>
        <v>2.4366747820548543E-2</v>
      </c>
      <c r="AD83" s="441">
        <f>X83*'S2.5 energy supply scenarios'!$B$36</f>
        <v>3.7888838925978871E-2</v>
      </c>
      <c r="AE83" s="438">
        <f>C83/'S2.1.3 Gas_imp'!$E$22</f>
        <v>0.28265873899395516</v>
      </c>
      <c r="AF83" s="439">
        <f>D83/'S2.1.3 Gas_imp'!$E$22</f>
        <v>0.49275294734532576</v>
      </c>
      <c r="AG83" s="439">
        <f>E83/'S2.1.3 Gas_imp'!$E$22</f>
        <v>0.76620143113739914</v>
      </c>
      <c r="AH83" s="439">
        <f>C83/'S2.1.3 Gas_imp'!$H$22</f>
        <v>0.41268175893117454</v>
      </c>
      <c r="AI83" s="439">
        <f>D83/'S2.1.3 Gas_imp'!$H$22</f>
        <v>0.71941930312417557</v>
      </c>
      <c r="AJ83" s="439">
        <f>E83/'S2.1.3 Gas_imp'!$H$22</f>
        <v>1.1186540894606027</v>
      </c>
      <c r="AK83" s="440">
        <f>AE83*'S2.5 energy supply scenarios'!$B$11*'S2.5 energy supply scenarios'!$B$6</f>
        <v>6.9681696879357172E-2</v>
      </c>
      <c r="AL83" s="440">
        <f>AF83*'S2.5 energy supply scenarios'!$B$11*'S2.5 energy supply scenarios'!$B$6</f>
        <v>0.12147461506244507</v>
      </c>
      <c r="AM83" s="440">
        <f>AG83*'S2.5 energy supply scenarios'!$B$11*'S2.5 energy supply scenarios'!$B$6</f>
        <v>0.18888577817573751</v>
      </c>
      <c r="AN83" s="440">
        <f>AH83*'S2.5 energy supply scenarios'!$B$36</f>
        <v>2.5159572660097503E-2</v>
      </c>
      <c r="AO83" s="440">
        <f>AI83*'S2.5 energy supply scenarios'!$B$36</f>
        <v>4.3860146076987377E-2</v>
      </c>
      <c r="AP83" s="441">
        <f>AJ83*'S2.5 energy supply scenarios'!$B$36</f>
        <v>6.8199910066761973E-2</v>
      </c>
    </row>
    <row r="84" spans="2:42" ht="39.75" customHeight="1" x14ac:dyDescent="0.25">
      <c r="B84" s="294"/>
      <c r="C84" s="366"/>
      <c r="D84" s="366"/>
      <c r="E84" s="366"/>
      <c r="G84" s="952"/>
      <c r="H84" s="952"/>
      <c r="I84" s="952"/>
      <c r="J84" s="952"/>
      <c r="K84" s="952"/>
      <c r="L84" s="952"/>
      <c r="M84" s="370"/>
      <c r="N84" s="370"/>
      <c r="O84" s="370"/>
      <c r="P84" s="370"/>
      <c r="Q84" s="370"/>
      <c r="R84" s="370"/>
    </row>
    <row r="85" spans="2:42" ht="18.75" x14ac:dyDescent="0.3">
      <c r="B85" s="303" t="s">
        <v>1142</v>
      </c>
      <c r="G85" s="950"/>
      <c r="H85" s="165"/>
      <c r="I85" s="165"/>
      <c r="J85" s="165"/>
      <c r="K85" s="165"/>
      <c r="L85" s="165"/>
    </row>
    <row r="86" spans="2:42" x14ac:dyDescent="0.25">
      <c r="B86" s="953" t="s">
        <v>1891</v>
      </c>
      <c r="C86" s="433"/>
      <c r="D86" s="454"/>
      <c r="E86" s="430"/>
      <c r="G86"/>
    </row>
    <row r="87" spans="2:42" ht="18.75" x14ac:dyDescent="0.3">
      <c r="B87" s="68" t="s">
        <v>20</v>
      </c>
      <c r="E87" s="432"/>
      <c r="G87" s="1498" t="s">
        <v>1883</v>
      </c>
      <c r="H87" s="1498"/>
      <c r="I87" s="1498"/>
      <c r="J87" s="1498"/>
      <c r="K87" s="1498"/>
      <c r="L87" s="1498"/>
      <c r="M87" s="1498"/>
      <c r="N87" s="1498"/>
      <c r="O87" s="1498"/>
      <c r="P87" s="1498"/>
      <c r="Q87" s="1498"/>
      <c r="R87" s="1498"/>
      <c r="S87" s="1498"/>
      <c r="T87" s="1498"/>
      <c r="U87" s="1498"/>
      <c r="V87" s="1498"/>
      <c r="W87" s="1498"/>
      <c r="X87" s="1498"/>
      <c r="Y87" s="1498"/>
      <c r="Z87" s="1498"/>
      <c r="AA87" s="1498"/>
      <c r="AB87" s="1498"/>
      <c r="AC87" s="1498"/>
      <c r="AD87" s="1498"/>
      <c r="AE87" s="1498"/>
      <c r="AF87" s="1498"/>
      <c r="AG87" s="1498"/>
      <c r="AH87" s="1498"/>
      <c r="AI87" s="1498"/>
      <c r="AJ87" s="1498"/>
      <c r="AK87" s="1498"/>
      <c r="AL87" s="1498"/>
      <c r="AM87" s="1498"/>
      <c r="AN87" s="1498"/>
      <c r="AO87" s="1498"/>
      <c r="AP87" s="1498"/>
    </row>
    <row r="88" spans="2:42" x14ac:dyDescent="0.25">
      <c r="B88" s="47" t="s">
        <v>1472</v>
      </c>
      <c r="D88" s="432">
        <f>'S2.3.3 Depoly_cred'!C6-1</f>
        <v>0.32299999999999995</v>
      </c>
      <c r="E88" s="371"/>
      <c r="G88" s="1481" t="s">
        <v>1469</v>
      </c>
      <c r="H88" s="1482"/>
      <c r="I88" s="1482"/>
      <c r="J88" s="1482"/>
      <c r="K88" s="1482"/>
      <c r="L88" s="1482"/>
      <c r="M88" s="1482"/>
      <c r="N88" s="1482"/>
      <c r="O88" s="1482"/>
      <c r="P88" s="1482"/>
      <c r="Q88" s="1482"/>
      <c r="R88" s="1483"/>
      <c r="S88" s="1481" t="s">
        <v>1471</v>
      </c>
      <c r="T88" s="1482"/>
      <c r="U88" s="1482"/>
      <c r="V88" s="1482"/>
      <c r="W88" s="1482"/>
      <c r="X88" s="1482"/>
      <c r="Y88" s="1482"/>
      <c r="Z88" s="1482"/>
      <c r="AA88" s="1482"/>
      <c r="AB88" s="1482"/>
      <c r="AC88" s="1482"/>
      <c r="AD88" s="1483"/>
      <c r="AE88" s="1481" t="s">
        <v>1470</v>
      </c>
      <c r="AF88" s="1482"/>
      <c r="AG88" s="1482"/>
      <c r="AH88" s="1482"/>
      <c r="AI88" s="1482"/>
      <c r="AJ88" s="1482"/>
      <c r="AK88" s="1482"/>
      <c r="AL88" s="1482"/>
      <c r="AM88" s="1482"/>
      <c r="AN88" s="1482"/>
      <c r="AO88" s="1482"/>
      <c r="AP88" s="1483"/>
    </row>
    <row r="89" spans="2:42" x14ac:dyDescent="0.25">
      <c r="B89" t="s">
        <v>1464</v>
      </c>
      <c r="D89">
        <v>1.5109214</v>
      </c>
      <c r="E89" s="371"/>
      <c r="M89" s="1484" t="s">
        <v>1427</v>
      </c>
      <c r="N89" s="1484"/>
      <c r="O89" s="1484"/>
      <c r="P89" s="1484" t="s">
        <v>485</v>
      </c>
      <c r="Q89" s="1484"/>
      <c r="R89" s="1485"/>
      <c r="Y89" s="1484" t="s">
        <v>1427</v>
      </c>
      <c r="Z89" s="1484"/>
      <c r="AA89" s="1484"/>
      <c r="AB89" s="1484" t="s">
        <v>485</v>
      </c>
      <c r="AC89" s="1484"/>
      <c r="AD89" s="1485"/>
      <c r="AK89" s="1484" t="s">
        <v>1427</v>
      </c>
      <c r="AL89" s="1484"/>
      <c r="AM89" s="1484"/>
      <c r="AN89" s="1484" t="s">
        <v>485</v>
      </c>
      <c r="AO89" s="1484"/>
      <c r="AP89" s="1485"/>
    </row>
    <row r="90" spans="2:42" x14ac:dyDescent="0.25">
      <c r="B90" t="s">
        <v>1465</v>
      </c>
      <c r="D90">
        <v>2.0289796999999998</v>
      </c>
      <c r="E90" s="371"/>
      <c r="M90" s="1478" t="s">
        <v>1522</v>
      </c>
      <c r="N90" s="1478"/>
      <c r="O90" s="1478"/>
      <c r="P90" s="1478"/>
      <c r="Q90" s="1478"/>
      <c r="R90" s="1478"/>
      <c r="Y90" s="1478" t="s">
        <v>1522</v>
      </c>
      <c r="Z90" s="1478"/>
      <c r="AA90" s="1478"/>
      <c r="AB90" s="1478"/>
      <c r="AC90" s="1478"/>
      <c r="AD90" s="1478"/>
      <c r="AK90" s="1478" t="s">
        <v>1522</v>
      </c>
      <c r="AL90" s="1478"/>
      <c r="AM90" s="1478"/>
      <c r="AN90" s="1478"/>
      <c r="AO90" s="1478"/>
      <c r="AP90" s="1478"/>
    </row>
    <row r="91" spans="2:42" x14ac:dyDescent="0.25">
      <c r="B91" s="47" t="s">
        <v>1520</v>
      </c>
      <c r="C91" s="430"/>
      <c r="D91" s="434">
        <f>'S2.6 energy demand chemicals'!N46</f>
        <v>1.435820950076915</v>
      </c>
      <c r="E91" s="371"/>
      <c r="H91" s="54"/>
      <c r="M91" s="426">
        <f>M80+$D$92+$C$128+$C$133+$K$138</f>
        <v>0.71448502872244113</v>
      </c>
      <c r="N91" s="426">
        <f>N80+$D$92+$C$128+$C$133+$K$138</f>
        <v>0.76120823465643195</v>
      </c>
      <c r="O91" s="426">
        <f>O80+$D$92+$C$128+$C$133+$K$138</f>
        <v>0.82014708609143105</v>
      </c>
      <c r="P91" s="426">
        <f>P80+$D$94+$C$129+$C$134+$L$138</f>
        <v>0.49224156841646327</v>
      </c>
      <c r="Q91" s="426">
        <f>Q80+$D$94+$C$129+$C$134+$L$138</f>
        <v>0.50575661646066905</v>
      </c>
      <c r="R91" s="426">
        <f>R80+$D$94+$C$129+$C$134+$L$138</f>
        <v>0.52280513427726916</v>
      </c>
      <c r="Y91" s="426">
        <f>Y80+$D$92+$C$128+$C$133+$M$138</f>
        <v>0.70580025276978609</v>
      </c>
      <c r="Z91" s="426">
        <f>Z80+$D$92+$C$128+$C$133+$M$138</f>
        <v>0.7479541093631249</v>
      </c>
      <c r="AA91" s="426">
        <f>AA80+$D$92+$C$128+$C$133+$M$138</f>
        <v>0.80112896844015569</v>
      </c>
      <c r="AB91" s="426">
        <f>AB80+$D$94+$C$129+$C$134+$N$138</f>
        <v>0.48653323493405476</v>
      </c>
      <c r="AC91" s="426">
        <f>AC80+$D$94+$C$129+$C$134+$N$138</f>
        <v>0.49704493896843693</v>
      </c>
      <c r="AD91" s="426">
        <f>AD80+$D$94+$C$129+$C$134+$N$138</f>
        <v>0.51030489727023709</v>
      </c>
      <c r="AK91" s="426">
        <f>AK80+$D$92+$C$128+$C$133+$O$138</f>
        <v>0.72528151389646089</v>
      </c>
      <c r="AL91" s="426">
        <f>AL80+$D$92+$C$128+$C$133+$O$138</f>
        <v>0.77768510959297477</v>
      </c>
      <c r="AM91" s="426">
        <f>AM80+$D$92+$C$128+$C$133+$O$138</f>
        <v>0.84378947207572219</v>
      </c>
      <c r="AN91" s="426">
        <f>AN80+$D$94+$C$129+$C$134+$P$138</f>
        <v>0.50251656868479866</v>
      </c>
      <c r="AO91" s="426">
        <f>AO80+$D$94+$C$129+$C$134+$P$138</f>
        <v>0.52143763594668668</v>
      </c>
      <c r="AP91" s="426">
        <f>AP80+$D$94+$C$129+$C$134+$P$138</f>
        <v>0.54530556088992688</v>
      </c>
    </row>
    <row r="92" spans="2:42" x14ac:dyDescent="0.25">
      <c r="B92" s="294" t="s">
        <v>1518</v>
      </c>
      <c r="C92" s="433"/>
      <c r="D92" s="435">
        <f>D88*D91</f>
        <v>0.46377016687484346</v>
      </c>
      <c r="E92" s="430"/>
      <c r="M92" s="426">
        <f>M81+$D$96+$C$128+$C$133+$K$138</f>
        <v>0.28286725968086779</v>
      </c>
      <c r="N92" s="426">
        <f>N81+$D$96+$C$128+$C$133+$K$138</f>
        <v>0.33124863959116568</v>
      </c>
      <c r="O92" s="426">
        <f>O81+$D$96+$C$128+$C$133+$K$138</f>
        <v>0.39146665380788737</v>
      </c>
      <c r="P92" s="426">
        <f>P81+$D$96+$C$129+$C$134+$L$138</f>
        <v>0.18839359293978528</v>
      </c>
      <c r="Q92" s="426">
        <f>Q81+$D$96+$C$129+$C$134+$L$138</f>
        <v>0.20238828060861572</v>
      </c>
      <c r="R92" s="426">
        <f>R81+$D$96+$C$129+$C$134+$L$138</f>
        <v>0.21980680613564058</v>
      </c>
      <c r="Y92" s="426">
        <f>Y81+$D$96+$C$128+$C$133+$M$138</f>
        <v>0.27103810322385707</v>
      </c>
      <c r="Z92" s="426">
        <f>Z81+$D$96+$C$128+$C$133+$M$138</f>
        <v>0.31468797077378141</v>
      </c>
      <c r="AA92" s="426">
        <f>AA81+$D$96+$C$128+$C$133+$M$138</f>
        <v>0.36901689544589245</v>
      </c>
      <c r="AB92" s="426">
        <f>AB81+$D$96+$C$129+$C$134+$N$138</f>
        <v>0.18061851961143299</v>
      </c>
      <c r="AC92" s="426">
        <f>AC81+$D$96+$C$129+$C$134+$N$138</f>
        <v>0.19150327668719</v>
      </c>
      <c r="AD92" s="426">
        <f>AD81+$D$96+$C$129+$C$134+$N$138</f>
        <v>0.20505101876376489</v>
      </c>
      <c r="AK92" s="426">
        <f>AK81+$D$96+$C$128+$C$133+$O$138</f>
        <v>0.29757268363256267</v>
      </c>
      <c r="AL92" s="426">
        <f>AL81+$D$96+$C$128+$C$133+$O$138</f>
        <v>0.3518360463744209</v>
      </c>
      <c r="AM92" s="426">
        <f>AM81+$D$96+$C$128+$C$133+$O$138</f>
        <v>0.41937508629214826</v>
      </c>
      <c r="AN92" s="426">
        <f>AN81+$D$96+$C$129+$C$134+$P$138</f>
        <v>0.20238872493081939</v>
      </c>
      <c r="AO92" s="426">
        <f>AO81+$D$96+$C$129+$C$134+$P$138</f>
        <v>0.221981287667182</v>
      </c>
      <c r="AP92" s="426">
        <f>AP81+$D$96+$C$129+$C$134+$P$138</f>
        <v>0.24636722340501682</v>
      </c>
    </row>
    <row r="93" spans="2:42" x14ac:dyDescent="0.25">
      <c r="B93" s="47" t="s">
        <v>1521</v>
      </c>
      <c r="C93" s="430"/>
      <c r="D93" s="434">
        <f>'S2.6 energy demand chemicals'!T46</f>
        <v>0.96949939561431853</v>
      </c>
      <c r="E93" s="430"/>
      <c r="M93" s="426">
        <f>M82+$D$99+$C$128+$C$133+$K$138</f>
        <v>0.60632924126496457</v>
      </c>
      <c r="N93" s="426">
        <f>N82+$D$99+$C$128+$C$133+$K$138</f>
        <v>0.65363983751576571</v>
      </c>
      <c r="O93" s="426">
        <f>O82+$D$99+$C$128+$C$133+$K$138</f>
        <v>0.71303181862373266</v>
      </c>
      <c r="P93" s="426">
        <f>P82+$D$100+$C$129+$C$134+$L$138</f>
        <v>0.2574357107329594</v>
      </c>
      <c r="Q93" s="426">
        <f>Q82+$D$100+$C$129+$C$134+$L$138</f>
        <v>0.27112066596126561</v>
      </c>
      <c r="R93" s="426">
        <f>R82+$D$100+$C$129+$C$134+$L$138</f>
        <v>0.28830025503417184</v>
      </c>
      <c r="Y93" s="426">
        <f>Y82+$D$99+$C$128+$C$133+$M$138</f>
        <v>0.59656701083665886</v>
      </c>
      <c r="Z93" s="426">
        <f>Z82+$D$99+$C$128+$C$133+$M$138</f>
        <v>0.63925081323924104</v>
      </c>
      <c r="AA93" s="426">
        <f>AA82+$D$99+$C$128+$C$133+$M$138</f>
        <v>0.69283448765483102</v>
      </c>
      <c r="AB93" s="426">
        <f>AB82+$D$100+$C$129+$C$134+$N$138</f>
        <v>0.25101918748346219</v>
      </c>
      <c r="AC93" s="426">
        <f>AC82+$D$100+$C$129+$C$134+$N$138</f>
        <v>0.26166304154992259</v>
      </c>
      <c r="AD93" s="426">
        <f>AD82+$D$100+$C$129+$C$134+$N$138</f>
        <v>0.27502494416218298</v>
      </c>
      <c r="AK93" s="426">
        <f>AK82+$D$99+$C$128+$C$133+$O$138</f>
        <v>0.61846516470837209</v>
      </c>
      <c r="AL93" s="426">
        <f>AL82+$D$99+$C$128+$C$133+$O$138</f>
        <v>0.67152756290062343</v>
      </c>
      <c r="AM93" s="426">
        <f>AM82+$D$99+$C$128+$C$133+$O$138</f>
        <v>0.73814014445151133</v>
      </c>
      <c r="AN93" s="426">
        <f>AN82+$D$100+$C$129+$C$134+$P$138</f>
        <v>0.26898545258205436</v>
      </c>
      <c r="AO93" s="426">
        <f>AO82+$D$100+$C$129+$C$134+$P$138</f>
        <v>0.28814438990168312</v>
      </c>
      <c r="AP93" s="426">
        <f>AP82+$D$100+$C$129+$C$134+$P$138</f>
        <v>0.31219581460375179</v>
      </c>
    </row>
    <row r="94" spans="2:42" x14ac:dyDescent="0.25">
      <c r="B94" s="294" t="s">
        <v>1519</v>
      </c>
      <c r="C94" s="433"/>
      <c r="D94" s="435">
        <f>D88*D93</f>
        <v>0.31314830478342481</v>
      </c>
      <c r="E94" s="430"/>
      <c r="M94" s="427">
        <f>M83+$D$102+$C$128+$C$133+$K$138</f>
        <v>0.55904261755370654</v>
      </c>
      <c r="N94" s="427">
        <f>N83+$D$102+$C$128+$C$133+$K$138</f>
        <v>0.60522134155206264</v>
      </c>
      <c r="O94" s="427">
        <f>O83+$D$102+$C$128+$C$133+$K$138</f>
        <v>0.66532534041948665</v>
      </c>
      <c r="P94" s="426">
        <f>P83+$D$103+$C$129+$C$134+$L$138</f>
        <v>0.37840438406364518</v>
      </c>
      <c r="Q94" s="426">
        <f>Q83+$D$103+$C$129+$C$134+$L$138</f>
        <v>0.39176193650428082</v>
      </c>
      <c r="R94" s="426">
        <f>R83+$D$103+$C$129+$C$134+$L$138</f>
        <v>0.40914748221126263</v>
      </c>
      <c r="Y94" s="427">
        <f>Y83+$D$102+$C$128+$C$133+$M$138</f>
        <v>0.54810810374096841</v>
      </c>
      <c r="Z94" s="427">
        <f>Z83+$D$102+$C$128+$C$133+$M$138</f>
        <v>0.58977072663204722</v>
      </c>
      <c r="AA94" s="427">
        <f>AA83+$D$102+$C$128+$C$133+$M$138</f>
        <v>0.64399678621629319</v>
      </c>
      <c r="AB94" s="426">
        <f>AB83+$D$103+$C$129+$C$134+$N$138</f>
        <v>0.37121734185882815</v>
      </c>
      <c r="AC94" s="426">
        <f>AC83+$D$103+$C$129+$C$134+$N$138</f>
        <v>0.38160654931265581</v>
      </c>
      <c r="AD94" s="426">
        <f>AD83+$D$103+$C$129+$C$134+$N$138</f>
        <v>0.39512864041808615</v>
      </c>
      <c r="AK94" s="427">
        <f>AK83+$D$102+$C$128+$C$133+$O$138</f>
        <v>0.57263586588940507</v>
      </c>
      <c r="AL94" s="427">
        <f>AL83+$D$102+$C$128+$C$133+$O$138</f>
        <v>0.62442878407249292</v>
      </c>
      <c r="AM94" s="427">
        <f>AM83+$D$102+$C$128+$C$133+$O$138</f>
        <v>0.69183994718578534</v>
      </c>
      <c r="AN94" s="426">
        <f>AN83+$D$103+$C$129+$C$134+$P$138</f>
        <v>0.39134106003231595</v>
      </c>
      <c r="AO94" s="426">
        <f>AO83+$D$103+$C$129+$C$134+$P$138</f>
        <v>0.4100416334492058</v>
      </c>
      <c r="AP94" s="426">
        <f>AP83+$D$103+$C$129+$C$134+$P$138</f>
        <v>0.43438139743898041</v>
      </c>
    </row>
    <row r="95" spans="2:42" x14ac:dyDescent="0.25">
      <c r="B95" s="68" t="s">
        <v>26</v>
      </c>
      <c r="C95" s="433"/>
      <c r="D95" s="435"/>
      <c r="E95" s="430"/>
      <c r="G95"/>
    </row>
    <row r="96" spans="2:42" x14ac:dyDescent="0.25">
      <c r="B96" s="400" t="s">
        <v>1524</v>
      </c>
      <c r="C96" s="433"/>
      <c r="D96" s="454">
        <f>'S2.3.3 Depoly_cred'!C7-1</f>
        <v>0</v>
      </c>
      <c r="E96" s="430"/>
      <c r="G96"/>
    </row>
    <row r="97" spans="2:7" x14ac:dyDescent="0.25">
      <c r="B97" s="68" t="s">
        <v>27</v>
      </c>
      <c r="C97" s="433"/>
      <c r="D97" s="454"/>
      <c r="E97" s="430"/>
      <c r="G97"/>
    </row>
    <row r="98" spans="2:7" x14ac:dyDescent="0.25">
      <c r="B98" s="400" t="s">
        <v>1524</v>
      </c>
      <c r="C98" s="433"/>
      <c r="D98" s="454">
        <f>'S2.3.3 Depoly_cred'!C8-1</f>
        <v>0.24</v>
      </c>
      <c r="E98" s="430"/>
      <c r="G98"/>
    </row>
    <row r="99" spans="2:7" x14ac:dyDescent="0.25">
      <c r="B99" s="294" t="s">
        <v>1518</v>
      </c>
      <c r="C99" s="433"/>
      <c r="D99" s="454">
        <f>D98*D91</f>
        <v>0.34459702801845959</v>
      </c>
      <c r="E99" s="430"/>
      <c r="G99"/>
    </row>
    <row r="100" spans="2:7" x14ac:dyDescent="0.25">
      <c r="B100" s="294" t="s">
        <v>1519</v>
      </c>
      <c r="C100" s="433"/>
      <c r="D100" s="454">
        <f>D98*D94</f>
        <v>7.5155593148021949E-2</v>
      </c>
      <c r="E100" s="430"/>
      <c r="G100"/>
    </row>
    <row r="101" spans="2:7" x14ac:dyDescent="0.25">
      <c r="B101" s="631" t="s">
        <v>28</v>
      </c>
      <c r="C101" s="632"/>
      <c r="D101" s="454">
        <f>'S2.3.3 Depoly_cred'!C9-1</f>
        <v>0.19871794871794868</v>
      </c>
      <c r="E101" s="430"/>
      <c r="G101"/>
    </row>
    <row r="102" spans="2:7" x14ac:dyDescent="0.25">
      <c r="B102" s="632" t="s">
        <v>1533</v>
      </c>
      <c r="D102" s="454">
        <f>D101*D91</f>
        <v>0.28532339392554074</v>
      </c>
      <c r="E102" s="430"/>
      <c r="G102"/>
    </row>
    <row r="103" spans="2:7" x14ac:dyDescent="0.25">
      <c r="B103" s="632" t="s">
        <v>1534</v>
      </c>
      <c r="D103" s="454">
        <f>D101*D93</f>
        <v>0.1926569311797684</v>
      </c>
      <c r="E103" s="430"/>
      <c r="G103"/>
    </row>
    <row r="104" spans="2:7" ht="54" customHeight="1" x14ac:dyDescent="0.25">
      <c r="G104"/>
    </row>
    <row r="105" spans="2:7" ht="18.75" x14ac:dyDescent="0.3">
      <c r="B105" s="303" t="s">
        <v>1618</v>
      </c>
      <c r="G105"/>
    </row>
    <row r="106" spans="2:7" x14ac:dyDescent="0.25">
      <c r="B106" s="47" t="s">
        <v>1531</v>
      </c>
      <c r="C106" t="s">
        <v>412</v>
      </c>
      <c r="D106" t="s">
        <v>422</v>
      </c>
      <c r="E106" t="s">
        <v>416</v>
      </c>
      <c r="G106"/>
    </row>
    <row r="107" spans="2:7" x14ac:dyDescent="0.25">
      <c r="C107" t="s">
        <v>1532</v>
      </c>
      <c r="D107" t="s">
        <v>1532</v>
      </c>
      <c r="E107" t="s">
        <v>1532</v>
      </c>
      <c r="G107"/>
    </row>
    <row r="108" spans="2:7" x14ac:dyDescent="0.25">
      <c r="C108">
        <v>6.8</v>
      </c>
      <c r="D108">
        <v>32</v>
      </c>
      <c r="E108">
        <f>D108*2</f>
        <v>64</v>
      </c>
      <c r="G108"/>
    </row>
    <row r="109" spans="2:7" x14ac:dyDescent="0.25">
      <c r="C109" t="s">
        <v>1565</v>
      </c>
      <c r="D109" t="s">
        <v>1567</v>
      </c>
      <c r="E109" t="s">
        <v>1566</v>
      </c>
    </row>
    <row r="110" spans="2:7" x14ac:dyDescent="0.25">
      <c r="C110" t="s">
        <v>1568</v>
      </c>
      <c r="D110" t="s">
        <v>1568</v>
      </c>
      <c r="E110" t="s">
        <v>1568</v>
      </c>
    </row>
    <row r="111" spans="2:7" x14ac:dyDescent="0.25">
      <c r="C111" s="67">
        <f>0.00116222*C108</f>
        <v>7.9030960000000001E-3</v>
      </c>
      <c r="D111" s="67">
        <f>0.00116222*D108</f>
        <v>3.7191040000000002E-2</v>
      </c>
      <c r="E111" s="67">
        <f>0.00116222*E108</f>
        <v>7.4382080000000003E-2</v>
      </c>
    </row>
    <row r="112" spans="2:7" x14ac:dyDescent="0.25">
      <c r="C112" s="1503" t="s">
        <v>1569</v>
      </c>
      <c r="D112" s="1503"/>
      <c r="E112" s="1503"/>
    </row>
    <row r="113" spans="2:6" x14ac:dyDescent="0.25">
      <c r="C113" s="431">
        <v>192</v>
      </c>
      <c r="D113" s="431">
        <v>192</v>
      </c>
      <c r="E113" s="431">
        <v>192</v>
      </c>
    </row>
    <row r="114" spans="2:6" hidden="1" x14ac:dyDescent="0.25">
      <c r="C114" s="456"/>
      <c r="D114" s="456"/>
      <c r="E114" s="456"/>
    </row>
    <row r="115" spans="2:6" hidden="1" x14ac:dyDescent="0.25">
      <c r="C115" s="1504" t="s">
        <v>1536</v>
      </c>
      <c r="D115" s="1504"/>
      <c r="E115" s="1504"/>
    </row>
    <row r="116" spans="2:6" hidden="1" x14ac:dyDescent="0.25">
      <c r="C116" s="456"/>
      <c r="D116" s="456"/>
      <c r="E116" s="456"/>
    </row>
    <row r="117" spans="2:6" hidden="1" x14ac:dyDescent="0.25">
      <c r="C117" s="1504" t="s">
        <v>1537</v>
      </c>
      <c r="D117" s="1504"/>
      <c r="E117" s="1504"/>
    </row>
    <row r="118" spans="2:6" hidden="1" x14ac:dyDescent="0.25">
      <c r="C118" s="456"/>
      <c r="D118" s="456"/>
      <c r="E118" s="456"/>
    </row>
    <row r="119" spans="2:6" hidden="1" x14ac:dyDescent="0.25">
      <c r="C119" s="1478" t="s">
        <v>1538</v>
      </c>
      <c r="D119" s="1478"/>
      <c r="E119" s="1478"/>
    </row>
    <row r="120" spans="2:6" x14ac:dyDescent="0.25">
      <c r="C120" t="s">
        <v>1570</v>
      </c>
      <c r="D120" t="s">
        <v>1570</v>
      </c>
      <c r="E120" t="s">
        <v>1570</v>
      </c>
    </row>
    <row r="121" spans="2:6" x14ac:dyDescent="0.25">
      <c r="B121" t="s">
        <v>20</v>
      </c>
      <c r="C121" s="26">
        <f>C111/$C$113*1000</f>
        <v>4.1161958333333332E-2</v>
      </c>
      <c r="D121" s="26">
        <f>D111/$C$113*1000</f>
        <v>0.19370333333333334</v>
      </c>
      <c r="E121" s="26">
        <f>E111/$C$113*1000</f>
        <v>0.38740666666666668</v>
      </c>
    </row>
    <row r="122" spans="2:6" x14ac:dyDescent="0.25">
      <c r="B122" t="s">
        <v>26</v>
      </c>
      <c r="C122" s="153">
        <f t="shared" ref="C122:E124" si="3">C121</f>
        <v>4.1161958333333332E-2</v>
      </c>
      <c r="D122" s="153">
        <f t="shared" si="3"/>
        <v>0.19370333333333334</v>
      </c>
      <c r="E122" s="153">
        <f t="shared" si="3"/>
        <v>0.38740666666666668</v>
      </c>
      <c r="F122" s="1502" t="s">
        <v>1539</v>
      </c>
    </row>
    <row r="123" spans="2:6" x14ac:dyDescent="0.25">
      <c r="B123" t="s">
        <v>27</v>
      </c>
      <c r="C123" s="153">
        <f t="shared" si="3"/>
        <v>4.1161958333333332E-2</v>
      </c>
      <c r="D123" s="153">
        <f t="shared" si="3"/>
        <v>0.19370333333333334</v>
      </c>
      <c r="E123" s="153">
        <f t="shared" si="3"/>
        <v>0.38740666666666668</v>
      </c>
      <c r="F123" s="1502"/>
    </row>
    <row r="124" spans="2:6" x14ac:dyDescent="0.25">
      <c r="B124" t="s">
        <v>28</v>
      </c>
      <c r="C124" s="153">
        <f t="shared" si="3"/>
        <v>4.1161958333333332E-2</v>
      </c>
      <c r="D124" s="153">
        <f t="shared" si="3"/>
        <v>0.19370333333333334</v>
      </c>
      <c r="E124" s="153">
        <f t="shared" si="3"/>
        <v>0.38740666666666668</v>
      </c>
      <c r="F124" s="1502"/>
    </row>
    <row r="125" spans="2:6" x14ac:dyDescent="0.25">
      <c r="B125" s="47" t="s">
        <v>1867</v>
      </c>
    </row>
    <row r="126" spans="2:6" ht="48.75" customHeight="1" x14ac:dyDescent="0.25"/>
    <row r="127" spans="2:6" ht="18.75" x14ac:dyDescent="0.3">
      <c r="B127" s="802" t="s">
        <v>1143</v>
      </c>
      <c r="C127" s="165"/>
    </row>
    <row r="128" spans="2:6" x14ac:dyDescent="0.25">
      <c r="B128" s="803" t="s">
        <v>1756</v>
      </c>
      <c r="C128" s="1224">
        <f>'S2.2.2 Pyro_imp'!C68</f>
        <v>0.15194257800000002</v>
      </c>
      <c r="D128" t="s">
        <v>1755</v>
      </c>
    </row>
    <row r="129" spans="2:42" x14ac:dyDescent="0.25">
      <c r="B129" s="803" t="s">
        <v>1757</v>
      </c>
      <c r="C129" s="1224">
        <f>C128</f>
        <v>0.15194257800000002</v>
      </c>
      <c r="D129" t="s">
        <v>1890</v>
      </c>
    </row>
    <row r="130" spans="2:42" ht="50.65" customHeight="1" x14ac:dyDescent="0.25"/>
    <row r="131" spans="2:42" ht="18.75" x14ac:dyDescent="0.3">
      <c r="B131" s="802" t="s">
        <v>166</v>
      </c>
    </row>
    <row r="132" spans="2:42" x14ac:dyDescent="0.25">
      <c r="B132" t="s">
        <v>390</v>
      </c>
      <c r="C132">
        <v>2.4E-2</v>
      </c>
      <c r="D132" t="s">
        <v>1560</v>
      </c>
      <c r="E132" t="s">
        <v>1709</v>
      </c>
    </row>
    <row r="133" spans="2:42" x14ac:dyDescent="0.25">
      <c r="B133" s="68" t="s">
        <v>1147</v>
      </c>
      <c r="C133" s="801">
        <f>C132*'S2.5 energy supply scenarios'!B21</f>
        <v>9.9673917120000014E-3</v>
      </c>
      <c r="D133" t="s">
        <v>1754</v>
      </c>
    </row>
    <row r="134" spans="2:42" x14ac:dyDescent="0.25">
      <c r="B134" s="68" t="s">
        <v>1534</v>
      </c>
      <c r="C134" s="801">
        <f>C132*'S2.5 energy supply scenarios'!B43</f>
        <v>1.4631849621999998E-3</v>
      </c>
      <c r="D134" t="s">
        <v>1754</v>
      </c>
    </row>
    <row r="135" spans="2:42" ht="42" customHeight="1" x14ac:dyDescent="0.25"/>
    <row r="136" spans="2:42" ht="18.75" x14ac:dyDescent="0.3">
      <c r="B136" s="802" t="s">
        <v>1882</v>
      </c>
      <c r="G136" s="904"/>
      <c r="H136" s="904"/>
      <c r="I136" s="904"/>
      <c r="J136" s="904"/>
      <c r="K136" s="1501" t="s">
        <v>1884</v>
      </c>
      <c r="L136" s="1501"/>
      <c r="M136" s="1501" t="s">
        <v>1471</v>
      </c>
      <c r="N136" s="1501"/>
      <c r="O136" s="1501" t="s">
        <v>1470</v>
      </c>
      <c r="P136" s="1501"/>
      <c r="Q136" s="904"/>
      <c r="R136" s="904"/>
      <c r="S136" s="904"/>
      <c r="T136" s="904"/>
      <c r="U136" s="904"/>
      <c r="V136" s="904"/>
      <c r="W136" s="904"/>
      <c r="X136" s="904"/>
      <c r="Y136" s="904"/>
      <c r="Z136" s="904"/>
      <c r="AA136" s="904"/>
      <c r="AB136" s="904"/>
      <c r="AC136" s="904"/>
      <c r="AD136" s="904"/>
      <c r="AE136" s="904"/>
      <c r="AF136" s="904"/>
      <c r="AG136" s="904"/>
      <c r="AH136" s="904"/>
      <c r="AI136" s="904"/>
      <c r="AJ136" s="904"/>
      <c r="AK136" s="904"/>
      <c r="AL136" s="904"/>
      <c r="AM136" s="904"/>
      <c r="AN136" s="904"/>
      <c r="AO136" s="904"/>
      <c r="AP136" s="904"/>
    </row>
    <row r="137" spans="2:42" x14ac:dyDescent="0.25">
      <c r="B137" s="47" t="s">
        <v>1887</v>
      </c>
      <c r="C137" t="s">
        <v>3</v>
      </c>
      <c r="K137" t="s">
        <v>1427</v>
      </c>
      <c r="L137" t="s">
        <v>485</v>
      </c>
      <c r="M137" t="s">
        <v>1427</v>
      </c>
      <c r="N137" t="s">
        <v>485</v>
      </c>
      <c r="O137" t="s">
        <v>1427</v>
      </c>
      <c r="P137" t="s">
        <v>485</v>
      </c>
    </row>
    <row r="138" spans="2:42" x14ac:dyDescent="0.25">
      <c r="B138" s="400" t="s">
        <v>1886</v>
      </c>
      <c r="C138" s="426">
        <f>(920+70)/6000</f>
        <v>0.16500000000000001</v>
      </c>
      <c r="D138" t="s">
        <v>1885</v>
      </c>
      <c r="E138" t="s">
        <v>3</v>
      </c>
      <c r="K138" s="426">
        <f>C138/'S2.1.3 Gas_imp'!$D$22*'S2.5 energy supply scenarios'!$B$11*'S2.5 energy supply scenarios'!$B$6</f>
        <v>4.9680840209990952E-2</v>
      </c>
      <c r="L138" s="426">
        <f>C138/'S2.1.3 Gas_imp'!$G$22*'S2.5 energy supply scenarios'!$B$36</f>
        <v>1.4370566593035714E-2</v>
      </c>
      <c r="M138" s="426">
        <f>C138/'S2.1.3 Gas_imp'!$C$22*'S2.5 energy supply scenarios'!$B$11*'S2.5 energy supply scenarios'!$B$6</f>
        <v>4.482224564400001E-2</v>
      </c>
      <c r="N138" s="426">
        <f>C138/'S2.1.3 Gas_imp'!$F$22*'S2.5 energy supply scenarios'!$B$36</f>
        <v>1.1177107350138889E-2</v>
      </c>
      <c r="O138" s="426">
        <f>C138/'S2.1.3 Gas_imp'!$E$22*'S2.5 energy supply scenarios'!$B$11*'S2.5 energy supply scenarios'!$B$6</f>
        <v>5.57208053725071E-2</v>
      </c>
      <c r="P138" s="426">
        <f>C138/'S2.1.3 Gas_imp'!$H$22*'S2.5 energy supply scenarios'!$B$36</f>
        <v>2.0118793230249999E-2</v>
      </c>
    </row>
    <row r="139" spans="2:42" x14ac:dyDescent="0.25">
      <c r="B139" s="400"/>
      <c r="C139" s="30"/>
    </row>
  </sheetData>
  <mergeCells count="50">
    <mergeCell ref="K136:L136"/>
    <mergeCell ref="M136:N136"/>
    <mergeCell ref="O136:P136"/>
    <mergeCell ref="F122:F124"/>
    <mergeCell ref="C112:E112"/>
    <mergeCell ref="C115:E115"/>
    <mergeCell ref="C117:E117"/>
    <mergeCell ref="C119:E119"/>
    <mergeCell ref="G87:AP87"/>
    <mergeCell ref="G79:I79"/>
    <mergeCell ref="G77:L77"/>
    <mergeCell ref="C11:E11"/>
    <mergeCell ref="C16:E16"/>
    <mergeCell ref="C22:E22"/>
    <mergeCell ref="J79:L79"/>
    <mergeCell ref="G78:R78"/>
    <mergeCell ref="M77:R77"/>
    <mergeCell ref="M79:O79"/>
    <mergeCell ref="P79:R79"/>
    <mergeCell ref="G76:AP76"/>
    <mergeCell ref="S77:X77"/>
    <mergeCell ref="Y77:AD77"/>
    <mergeCell ref="S78:AD78"/>
    <mergeCell ref="V79:X79"/>
    <mergeCell ref="B67:B69"/>
    <mergeCell ref="B70:B72"/>
    <mergeCell ref="B64:B66"/>
    <mergeCell ref="B74:B76"/>
    <mergeCell ref="S79:U79"/>
    <mergeCell ref="Y79:AA79"/>
    <mergeCell ref="AB79:AD79"/>
    <mergeCell ref="AE77:AJ77"/>
    <mergeCell ref="AK77:AP77"/>
    <mergeCell ref="AE78:AP78"/>
    <mergeCell ref="AE79:AG79"/>
    <mergeCell ref="AH79:AJ79"/>
    <mergeCell ref="AK79:AM79"/>
    <mergeCell ref="AN79:AP79"/>
    <mergeCell ref="Y90:AD90"/>
    <mergeCell ref="AK90:AP90"/>
    <mergeCell ref="G88:R88"/>
    <mergeCell ref="S88:AD88"/>
    <mergeCell ref="AE88:AP88"/>
    <mergeCell ref="M89:O89"/>
    <mergeCell ref="P89:R89"/>
    <mergeCell ref="Y89:AA89"/>
    <mergeCell ref="AB89:AD89"/>
    <mergeCell ref="AK89:AM89"/>
    <mergeCell ref="AN89:AP89"/>
    <mergeCell ref="M90:R90"/>
  </mergeCells>
  <conditionalFormatting sqref="C70:E72">
    <cfRule type="colorScale" priority="78">
      <colorScale>
        <cfvo type="min"/>
        <cfvo type="max"/>
        <color rgb="FFFCFCFF"/>
        <color rgb="FFF8696B"/>
      </colorScale>
    </cfRule>
  </conditionalFormatting>
  <conditionalFormatting sqref="C74:E76">
    <cfRule type="colorScale" priority="77">
      <colorScale>
        <cfvo type="min"/>
        <cfvo type="max"/>
        <color rgb="FFFCFCFF"/>
        <color theme="4"/>
      </colorScale>
    </cfRule>
  </conditionalFormatting>
  <conditionalFormatting sqref="G80:L83">
    <cfRule type="colorScale" priority="20">
      <colorScale>
        <cfvo type="min"/>
        <cfvo type="max"/>
        <color rgb="FFFCFCFF"/>
        <color rgb="FFF8696B"/>
      </colorScale>
    </cfRule>
  </conditionalFormatting>
  <conditionalFormatting sqref="S80:X83">
    <cfRule type="colorScale" priority="75">
      <colorScale>
        <cfvo type="min"/>
        <cfvo type="max"/>
        <color rgb="FFFCFCFF"/>
        <color rgb="FFF8696B"/>
      </colorScale>
    </cfRule>
  </conditionalFormatting>
  <conditionalFormatting sqref="AE80:AJ83">
    <cfRule type="colorScale" priority="74">
      <colorScale>
        <cfvo type="min"/>
        <cfvo type="max"/>
        <color rgb="FFFCFCFF"/>
        <color rgb="FFF8696B"/>
      </colorScale>
    </cfRule>
  </conditionalFormatting>
  <conditionalFormatting sqref="M80:R83">
    <cfRule type="colorScale" priority="73">
      <colorScale>
        <cfvo type="min"/>
        <cfvo type="max"/>
        <color rgb="FFFCFCFF"/>
        <color rgb="FF63BE7B"/>
      </colorScale>
    </cfRule>
  </conditionalFormatting>
  <conditionalFormatting sqref="Y80:AD83">
    <cfRule type="colorScale" priority="72">
      <colorScale>
        <cfvo type="min"/>
        <cfvo type="max"/>
        <color rgb="FFFCFCFF"/>
        <color rgb="FF63BE7B"/>
      </colorScale>
    </cfRule>
  </conditionalFormatting>
  <conditionalFormatting sqref="AK80:AP83">
    <cfRule type="colorScale" priority="71">
      <colorScale>
        <cfvo type="min"/>
        <cfvo type="max"/>
        <color rgb="FFFCFCFF"/>
        <color rgb="FF63BE7B"/>
      </colorScale>
    </cfRule>
  </conditionalFormatting>
  <conditionalFormatting sqref="M80:R83 Y80:AD83 AK80:AP83">
    <cfRule type="colorScale" priority="70">
      <colorScale>
        <cfvo type="min"/>
        <cfvo type="max"/>
        <color rgb="FFFCFCFF"/>
        <color theme="4"/>
      </colorScale>
    </cfRule>
  </conditionalFormatting>
  <conditionalFormatting sqref="G80:L83 S80:X83 AE80:AJ83">
    <cfRule type="colorScale" priority="69">
      <colorScale>
        <cfvo type="min"/>
        <cfvo type="max"/>
        <color rgb="FFF8696B"/>
        <color rgb="FFFCFCFF"/>
      </colorScale>
    </cfRule>
  </conditionalFormatting>
  <conditionalFormatting sqref="S80:X83">
    <cfRule type="colorScale" priority="19">
      <colorScale>
        <cfvo type="min"/>
        <cfvo type="max"/>
        <color rgb="FFFCFCFF"/>
        <color rgb="FFF8696B"/>
      </colorScale>
    </cfRule>
  </conditionalFormatting>
  <conditionalFormatting sqref="AE80:AJ83">
    <cfRule type="colorScale" priority="18">
      <colorScale>
        <cfvo type="min"/>
        <cfvo type="max"/>
        <color rgb="FFFCFCFF"/>
        <color rgb="FFF8696B"/>
      </colorScale>
    </cfRule>
  </conditionalFormatting>
  <conditionalFormatting sqref="AE80:AJ83">
    <cfRule type="colorScale" priority="17">
      <colorScale>
        <cfvo type="min"/>
        <cfvo type="max"/>
        <color rgb="FFFCFCFF"/>
        <color rgb="FFF8696B"/>
      </colorScale>
    </cfRule>
  </conditionalFormatting>
  <conditionalFormatting sqref="K138:P138">
    <cfRule type="colorScale" priority="12">
      <colorScale>
        <cfvo type="min"/>
        <cfvo type="max"/>
        <color rgb="FFFCFCFF"/>
        <color rgb="FF63BE7B"/>
      </colorScale>
    </cfRule>
  </conditionalFormatting>
  <conditionalFormatting sqref="K138:P138">
    <cfRule type="colorScale" priority="11">
      <colorScale>
        <cfvo type="min"/>
        <cfvo type="max"/>
        <color rgb="FFFCFCFF"/>
        <color theme="4"/>
      </colorScale>
    </cfRule>
  </conditionalFormatting>
  <conditionalFormatting sqref="M91:R94">
    <cfRule type="colorScale" priority="10">
      <colorScale>
        <cfvo type="min"/>
        <cfvo type="max"/>
        <color rgb="FFFCFCFF"/>
        <color rgb="FF63BE7B"/>
      </colorScale>
    </cfRule>
  </conditionalFormatting>
  <conditionalFormatting sqref="M91:R94">
    <cfRule type="colorScale" priority="9">
      <colorScale>
        <cfvo type="min"/>
        <cfvo type="max"/>
        <color rgb="FFFCFCFF"/>
        <color theme="4"/>
      </colorScale>
    </cfRule>
  </conditionalFormatting>
  <conditionalFormatting sqref="C138">
    <cfRule type="colorScale" priority="5">
      <colorScale>
        <cfvo type="min"/>
        <cfvo type="max"/>
        <color rgb="FFFCFCFF"/>
        <color rgb="FFF8696B"/>
      </colorScale>
    </cfRule>
  </conditionalFormatting>
  <conditionalFormatting sqref="C138">
    <cfRule type="colorScale" priority="6">
      <colorScale>
        <cfvo type="min"/>
        <cfvo type="max"/>
        <color rgb="FFF8696B"/>
        <color rgb="FFFCFCFF"/>
      </colorScale>
    </cfRule>
  </conditionalFormatting>
  <conditionalFormatting sqref="Y91:AD94">
    <cfRule type="colorScale" priority="4">
      <colorScale>
        <cfvo type="min"/>
        <cfvo type="max"/>
        <color rgb="FFFCFCFF"/>
        <color rgb="FF63BE7B"/>
      </colorScale>
    </cfRule>
  </conditionalFormatting>
  <conditionalFormatting sqref="Y91:AD94">
    <cfRule type="colorScale" priority="3">
      <colorScale>
        <cfvo type="min"/>
        <cfvo type="max"/>
        <color rgb="FFFCFCFF"/>
        <color theme="4"/>
      </colorScale>
    </cfRule>
  </conditionalFormatting>
  <conditionalFormatting sqref="AK91:AP94">
    <cfRule type="colorScale" priority="2">
      <colorScale>
        <cfvo type="min"/>
        <cfvo type="max"/>
        <color rgb="FFFCFCFF"/>
        <color rgb="FF63BE7B"/>
      </colorScale>
    </cfRule>
  </conditionalFormatting>
  <conditionalFormatting sqref="AK91:AP94">
    <cfRule type="colorScale" priority="1">
      <colorScale>
        <cfvo type="min"/>
        <cfvo type="max"/>
        <color rgb="FFFCFCFF"/>
        <color theme="4"/>
      </colorScale>
    </cfRule>
  </conditionalFormatting>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47265-77F4-43A8-8928-2CB52BC0E052}">
  <sheetPr>
    <tabColor rgb="FF663300"/>
  </sheetPr>
  <dimension ref="B2:X45"/>
  <sheetViews>
    <sheetView zoomScale="57" zoomScaleNormal="70" workbookViewId="0">
      <selection activeCell="D42" sqref="D42"/>
    </sheetView>
  </sheetViews>
  <sheetFormatPr defaultRowHeight="15" x14ac:dyDescent="0.25"/>
  <cols>
    <col min="2" max="2" width="22.85546875" customWidth="1"/>
    <col min="3" max="3" width="40.42578125" customWidth="1"/>
    <col min="4" max="6" width="8.5703125" customWidth="1"/>
  </cols>
  <sheetData>
    <row r="2" spans="2:8" ht="23.25" x14ac:dyDescent="0.35">
      <c r="B2" s="347" t="s">
        <v>11</v>
      </c>
      <c r="C2" s="347"/>
    </row>
    <row r="3" spans="2:8" ht="23.25" x14ac:dyDescent="0.35">
      <c r="B3" s="348" t="s">
        <v>1370</v>
      </c>
      <c r="C3" s="348"/>
    </row>
    <row r="4" spans="2:8" ht="37.5" customHeight="1" x14ac:dyDescent="0.25">
      <c r="B4" s="1505" t="s">
        <v>1851</v>
      </c>
      <c r="C4" s="1505"/>
    </row>
    <row r="5" spans="2:8" ht="37.35" customHeight="1" x14ac:dyDescent="0.3">
      <c r="B5" s="1507" t="s">
        <v>1371</v>
      </c>
      <c r="C5" s="1507"/>
    </row>
    <row r="6" spans="2:8" x14ac:dyDescent="0.25">
      <c r="B6" s="373" t="s">
        <v>20</v>
      </c>
      <c r="C6" s="628">
        <v>1.323</v>
      </c>
      <c r="D6" s="349"/>
      <c r="E6" s="372"/>
      <c r="F6" s="349"/>
      <c r="G6" s="349"/>
      <c r="H6" s="349"/>
    </row>
    <row r="7" spans="2:8" x14ac:dyDescent="0.25">
      <c r="B7" s="374" t="s">
        <v>26</v>
      </c>
      <c r="C7" s="629">
        <v>1</v>
      </c>
      <c r="D7" s="349"/>
      <c r="E7" s="372"/>
      <c r="F7" s="349"/>
      <c r="G7" s="349"/>
      <c r="H7" s="349"/>
    </row>
    <row r="8" spans="2:8" x14ac:dyDescent="0.25">
      <c r="B8" s="374" t="s">
        <v>27</v>
      </c>
      <c r="C8" s="630">
        <v>1.24</v>
      </c>
      <c r="D8" s="349"/>
      <c r="E8" s="372"/>
      <c r="F8" s="349"/>
      <c r="G8" s="349"/>
      <c r="H8" s="349"/>
    </row>
    <row r="9" spans="2:8" x14ac:dyDescent="0.25">
      <c r="B9" s="374" t="s">
        <v>28</v>
      </c>
      <c r="C9" s="477">
        <f>(312+62)/312</f>
        <v>1.1987179487179487</v>
      </c>
      <c r="D9" s="349"/>
      <c r="E9" s="372"/>
      <c r="F9" s="349"/>
      <c r="G9" s="349"/>
      <c r="H9" s="349"/>
    </row>
    <row r="10" spans="2:8" ht="98.25" customHeight="1" x14ac:dyDescent="0.25">
      <c r="B10" s="1506" t="str">
        <f>'S2.9 overview inventory '!P146</f>
        <v>calculated based on molecular formulas and reaction equations (Datta and Kopczyńska, 2016; Al-Sabagh et al., 2016; Sinha et al., 2010; Goto, 2009; Kim et al, 2009; considering PUR made from diisocyanate and diol)</v>
      </c>
      <c r="C10" s="1506"/>
      <c r="D10" s="372"/>
      <c r="E10" s="372"/>
      <c r="F10" s="349"/>
      <c r="G10" s="349"/>
      <c r="H10" s="349"/>
    </row>
    <row r="11" spans="2:8" ht="37.35" customHeight="1" x14ac:dyDescent="0.3">
      <c r="B11" s="1508" t="s">
        <v>1372</v>
      </c>
      <c r="C11" s="1508"/>
      <c r="D11" s="1508"/>
      <c r="E11" s="1508"/>
      <c r="F11" s="1508"/>
    </row>
    <row r="12" spans="2:8" x14ac:dyDescent="0.25">
      <c r="B12" s="1307"/>
      <c r="C12" s="1308"/>
      <c r="D12" s="280" t="s">
        <v>423</v>
      </c>
      <c r="E12" s="282" t="s">
        <v>422</v>
      </c>
      <c r="F12" s="281" t="s">
        <v>421</v>
      </c>
    </row>
    <row r="13" spans="2:8" x14ac:dyDescent="0.25">
      <c r="B13" s="1509" t="s">
        <v>20</v>
      </c>
      <c r="C13" s="376" t="s">
        <v>1585</v>
      </c>
      <c r="D13" s="361">
        <f>'S2.3.1 Depoly_lit'!V40/100</f>
        <v>0.79</v>
      </c>
      <c r="E13" s="361">
        <f>'S2.3.1 Depoly_lit'!V41/100</f>
        <v>0.83450000000000002</v>
      </c>
      <c r="F13" s="362">
        <f>'S2.3.1 Depoly_lit'!V42/100</f>
        <v>0.91500000000000004</v>
      </c>
    </row>
    <row r="14" spans="2:8" x14ac:dyDescent="0.25">
      <c r="B14" s="1510"/>
      <c r="C14" s="312" t="s">
        <v>1373</v>
      </c>
      <c r="D14" s="351">
        <f>1-D13-D15</f>
        <v>0.18499999999999997</v>
      </c>
      <c r="E14" s="351">
        <f>1-E13-E15</f>
        <v>0.14049999999999999</v>
      </c>
      <c r="F14" s="363">
        <f>1-F13-F15</f>
        <v>5.9999999999999963E-2</v>
      </c>
    </row>
    <row r="15" spans="2:8" x14ac:dyDescent="0.25">
      <c r="B15" s="1511"/>
      <c r="C15" s="377" t="s">
        <v>1374</v>
      </c>
      <c r="D15" s="364">
        <v>2.5000000000000001E-2</v>
      </c>
      <c r="E15" s="364">
        <f>D15</f>
        <v>2.5000000000000001E-2</v>
      </c>
      <c r="F15" s="365">
        <f>D15</f>
        <v>2.5000000000000001E-2</v>
      </c>
    </row>
    <row r="16" spans="2:8" x14ac:dyDescent="0.25">
      <c r="B16" s="1509" t="s">
        <v>26</v>
      </c>
      <c r="C16" s="376" t="s">
        <v>1585</v>
      </c>
      <c r="D16" s="649">
        <f>E16-E16*($E$13-$D$13)/$E$13</f>
        <v>0.81414020371479934</v>
      </c>
      <c r="E16" s="361">
        <f>'S2.3.1 Depoly_lit'!V35/100</f>
        <v>0.86</v>
      </c>
      <c r="F16" s="650">
        <f>E16+E16*($F$13-$E$13)/$E$13</f>
        <v>0.94295985620131817</v>
      </c>
    </row>
    <row r="17" spans="2:24" x14ac:dyDescent="0.25">
      <c r="B17" s="1510"/>
      <c r="C17" s="312" t="s">
        <v>1373</v>
      </c>
      <c r="D17" s="351">
        <f>1-D16-D18</f>
        <v>0.16085979628520067</v>
      </c>
      <c r="E17" s="351">
        <f>1-E16-E18</f>
        <v>0.11500000000000002</v>
      </c>
      <c r="F17" s="351">
        <f>1-F16-F18</f>
        <v>3.2040143798681829E-2</v>
      </c>
    </row>
    <row r="18" spans="2:24" x14ac:dyDescent="0.25">
      <c r="B18" s="1511"/>
      <c r="C18" s="377" t="s">
        <v>1374</v>
      </c>
      <c r="D18" s="364">
        <f>D15</f>
        <v>2.5000000000000001E-2</v>
      </c>
      <c r="E18" s="364">
        <f>E15</f>
        <v>2.5000000000000001E-2</v>
      </c>
      <c r="F18" s="364">
        <f>F15</f>
        <v>2.5000000000000001E-2</v>
      </c>
      <c r="G18" s="350"/>
      <c r="H18" s="359"/>
    </row>
    <row r="19" spans="2:24" x14ac:dyDescent="0.25">
      <c r="B19" s="1509" t="s">
        <v>27</v>
      </c>
      <c r="C19" s="376" t="s">
        <v>1585</v>
      </c>
      <c r="D19" s="649">
        <f>E19-E19*($E$13-$D$13)/$E$13</f>
        <v>0.81451887357699215</v>
      </c>
      <c r="E19" s="361">
        <f>'S2.3.1 Depoly_lit'!V37/100</f>
        <v>0.86039999999999994</v>
      </c>
      <c r="F19" s="650">
        <f>E19+E19*($F$13-$E$13)/$E$13</f>
        <v>0.94339844218094659</v>
      </c>
      <c r="G19" s="350"/>
      <c r="H19" s="359"/>
    </row>
    <row r="20" spans="2:24" x14ac:dyDescent="0.25">
      <c r="B20" s="1510"/>
      <c r="C20" s="312" t="s">
        <v>1373</v>
      </c>
      <c r="D20" s="351">
        <f>1-D19-D21</f>
        <v>0.16048112642300785</v>
      </c>
      <c r="E20" s="351">
        <f>1-E19-E21</f>
        <v>0.11460000000000006</v>
      </c>
      <c r="F20" s="351">
        <f>1-F19-F21</f>
        <v>3.1601557819053404E-2</v>
      </c>
      <c r="G20" s="351"/>
      <c r="H20" s="350"/>
      <c r="I20" s="359"/>
    </row>
    <row r="21" spans="2:24" x14ac:dyDescent="0.25">
      <c r="B21" s="1511"/>
      <c r="C21" s="377" t="s">
        <v>1374</v>
      </c>
      <c r="D21" s="364">
        <f>D18</f>
        <v>2.5000000000000001E-2</v>
      </c>
      <c r="E21" s="364">
        <f>E15</f>
        <v>2.5000000000000001E-2</v>
      </c>
      <c r="F21" s="364">
        <f>F18</f>
        <v>2.5000000000000001E-2</v>
      </c>
      <c r="G21" s="351"/>
      <c r="H21" s="350"/>
      <c r="I21" s="359"/>
    </row>
    <row r="22" spans="2:24" x14ac:dyDescent="0.25">
      <c r="B22" s="1509" t="s">
        <v>28</v>
      </c>
      <c r="C22" s="376" t="s">
        <v>1585</v>
      </c>
      <c r="D22" s="361">
        <f>'S2.3.1 Depoly_lit'!V46/100</f>
        <v>0.68925000000000014</v>
      </c>
      <c r="E22" s="361">
        <f>'S2.3.1 Depoly_lit'!V47/100</f>
        <v>0.79400000000000004</v>
      </c>
      <c r="F22" s="362">
        <f>'S2.3.1 Depoly_lit'!V48/100</f>
        <v>0.82374999999999998</v>
      </c>
      <c r="G22" s="351"/>
      <c r="H22" s="350"/>
      <c r="I22" s="359"/>
    </row>
    <row r="23" spans="2:24" x14ac:dyDescent="0.25">
      <c r="B23" s="1510"/>
      <c r="C23" s="312" t="s">
        <v>1373</v>
      </c>
      <c r="D23" s="351">
        <f>1-D22-D24</f>
        <v>0.28574999999999984</v>
      </c>
      <c r="E23" s="351">
        <f>1-E22-E24</f>
        <v>0.18099999999999997</v>
      </c>
      <c r="F23" s="363">
        <f>1-F22-F24</f>
        <v>0.15125000000000002</v>
      </c>
      <c r="G23" s="351"/>
      <c r="H23" s="350"/>
      <c r="I23" s="359"/>
    </row>
    <row r="24" spans="2:24" x14ac:dyDescent="0.25">
      <c r="B24" s="1511"/>
      <c r="C24" s="377" t="s">
        <v>1374</v>
      </c>
      <c r="D24" s="364">
        <f>D15</f>
        <v>2.5000000000000001E-2</v>
      </c>
      <c r="E24" s="364">
        <f>E15</f>
        <v>2.5000000000000001E-2</v>
      </c>
      <c r="F24" s="365">
        <f>F15</f>
        <v>2.5000000000000001E-2</v>
      </c>
      <c r="G24" s="351"/>
      <c r="H24" s="350"/>
      <c r="I24" s="359"/>
    </row>
    <row r="25" spans="2:24" ht="108.75" customHeight="1" x14ac:dyDescent="0.25">
      <c r="B25" s="1506" t="str">
        <f>'S2.9 overview inventory '!P150</f>
        <v>target product yield referring to monomers and oligomers utilizable for polymer production, lower quartile, median, and upper quartile from literature review chosen as values where several studies were available, assuming shares refer to total product amount; where not more than one study was available, same degree of variation as for PET assumed;
solid residue: share attributable to additives assumed, also unreacted plastic pieces may partly constitute solid residue;
liquid residue: rest (non-utilizable oligomers and by-products)</v>
      </c>
      <c r="C25" s="1506"/>
      <c r="D25" s="1506"/>
      <c r="E25" s="1506"/>
      <c r="F25" s="1506"/>
      <c r="G25" s="375"/>
      <c r="H25" s="375"/>
    </row>
    <row r="26" spans="2:24" ht="37.35" customHeight="1" x14ac:dyDescent="0.3">
      <c r="B26" s="1515" t="s">
        <v>1375</v>
      </c>
      <c r="C26" s="1515"/>
      <c r="D26" s="1515"/>
      <c r="E26" s="1515"/>
      <c r="F26" s="1515"/>
      <c r="G26" s="1515"/>
      <c r="H26" s="1515"/>
      <c r="I26" s="1515"/>
      <c r="J26" s="1515"/>
      <c r="K26" s="1515"/>
      <c r="L26" s="1515"/>
      <c r="M26" s="1515"/>
      <c r="N26" s="1515"/>
      <c r="O26" s="1515"/>
      <c r="X26" s="352"/>
    </row>
    <row r="27" spans="2:24" ht="37.35" customHeight="1" x14ac:dyDescent="0.3">
      <c r="B27" s="401"/>
      <c r="C27" s="401"/>
      <c r="D27" s="442" t="s">
        <v>1147</v>
      </c>
      <c r="E27" s="442" t="s">
        <v>1148</v>
      </c>
      <c r="K27" s="401"/>
      <c r="L27" s="401"/>
      <c r="M27" s="401"/>
      <c r="N27" s="401"/>
      <c r="O27" s="401"/>
      <c r="X27" s="352"/>
    </row>
    <row r="28" spans="2:24" x14ac:dyDescent="0.25">
      <c r="B28" s="1512" t="s">
        <v>20</v>
      </c>
      <c r="C28" s="443" t="s">
        <v>1899</v>
      </c>
      <c r="D28" s="446">
        <f>D32+(D33-D32)*1/2</f>
        <v>2.1965609148929963</v>
      </c>
      <c r="E28" s="446">
        <f>E32+(E33-E32)*1/2</f>
        <v>1.313715773120038</v>
      </c>
      <c r="F28" s="165"/>
      <c r="O28" s="19"/>
      <c r="P28" s="19"/>
      <c r="Q28" s="19"/>
      <c r="X28" s="352"/>
    </row>
    <row r="29" spans="2:24" x14ac:dyDescent="0.25">
      <c r="B29" s="1513"/>
      <c r="C29" s="449" t="s">
        <v>1376</v>
      </c>
      <c r="D29" s="450">
        <f>'S2.6 energy demand chemicals'!N47</f>
        <v>2.2827166084862807</v>
      </c>
      <c r="E29" s="450">
        <f>'S2.6 energy demand chemicals'!T47</f>
        <v>1.2082637628315258</v>
      </c>
      <c r="O29" s="19"/>
      <c r="P29" s="135"/>
      <c r="Q29" s="19"/>
      <c r="X29" s="352"/>
    </row>
    <row r="30" spans="2:24" x14ac:dyDescent="0.25">
      <c r="B30" s="1513"/>
      <c r="C30" s="449" t="s">
        <v>1377</v>
      </c>
      <c r="D30" s="450">
        <f>'S2.6 energy demand chemicals'!N46</f>
        <v>1.435820950076915</v>
      </c>
      <c r="E30" s="450">
        <f>'S2.6 energy demand chemicals'!T46</f>
        <v>0.96949939561431853</v>
      </c>
      <c r="O30" s="19"/>
      <c r="P30" s="313"/>
      <c r="Q30" s="135"/>
      <c r="X30" s="352"/>
    </row>
    <row r="31" spans="2:24" x14ac:dyDescent="0.25">
      <c r="B31" s="1513"/>
      <c r="C31" s="451" t="s">
        <v>1900</v>
      </c>
      <c r="D31" s="450">
        <f>'S2.6 energy demand chemicals'!N48</f>
        <v>1.5284522552496291</v>
      </c>
      <c r="E31" s="450">
        <f>'S2.6 energy demand chemicals'!T48</f>
        <v>1.2232037400202231</v>
      </c>
      <c r="O31" s="19"/>
      <c r="P31" s="19"/>
      <c r="Q31" s="313"/>
      <c r="X31" s="352"/>
    </row>
    <row r="32" spans="2:24" x14ac:dyDescent="0.25">
      <c r="B32" s="1513"/>
      <c r="C32" s="444" t="s">
        <v>1428</v>
      </c>
      <c r="D32" s="447">
        <f>AVERAGE(D29:D31)</f>
        <v>1.7489966046042749</v>
      </c>
      <c r="E32" s="447">
        <f>AVERAGE(E29:E31)</f>
        <v>1.1336556328220226</v>
      </c>
      <c r="O32" s="19"/>
      <c r="P32" s="19"/>
      <c r="Q32" s="313"/>
      <c r="X32" s="352"/>
    </row>
    <row r="33" spans="2:24" x14ac:dyDescent="0.25">
      <c r="B33" s="1513"/>
      <c r="C33" s="445" t="s">
        <v>20</v>
      </c>
      <c r="D33" s="452">
        <f>'S2.6 energy demand chemicals'!N35</f>
        <v>2.6441252251817176</v>
      </c>
      <c r="E33" s="452">
        <f>'S2.6 energy demand chemicals'!T35</f>
        <v>1.493775913418053</v>
      </c>
      <c r="Q33" s="343"/>
      <c r="X33" s="352"/>
    </row>
    <row r="34" spans="2:24" x14ac:dyDescent="0.25">
      <c r="B34" s="268" t="s">
        <v>26</v>
      </c>
      <c r="C34" s="448" t="s">
        <v>1365</v>
      </c>
      <c r="D34" s="382">
        <f>'S2.6 energy demand chemicals'!N49</f>
        <v>2.1835079739697818</v>
      </c>
      <c r="E34" s="446">
        <f>'S2.6 energy demand chemicals'!T49</f>
        <v>1.4051257568895341</v>
      </c>
      <c r="Q34" s="343"/>
      <c r="X34" s="352"/>
    </row>
    <row r="35" spans="2:24" x14ac:dyDescent="0.25">
      <c r="B35" s="268" t="s">
        <v>27</v>
      </c>
      <c r="C35" s="443" t="s">
        <v>1378</v>
      </c>
      <c r="D35" s="381">
        <f>'S2.6 energy demand chemicals'!N50</f>
        <v>1.8234331603469927</v>
      </c>
      <c r="E35" s="446">
        <f>'S2.6 energy demand chemicals'!T50</f>
        <v>1.4920513014150596</v>
      </c>
      <c r="Q35" s="343"/>
      <c r="X35" s="352"/>
    </row>
    <row r="36" spans="2:24" x14ac:dyDescent="0.25">
      <c r="B36" s="942" t="s">
        <v>28</v>
      </c>
      <c r="C36" s="1122" t="s">
        <v>1327</v>
      </c>
      <c r="D36" s="943">
        <f>'S2.6 energy demand chemicals'!N51</f>
        <v>3.8417876166990474</v>
      </c>
      <c r="E36" s="943">
        <f>'S2.6 energy demand chemicals'!T51</f>
        <v>2.4678294022961467</v>
      </c>
      <c r="F36" s="165"/>
      <c r="Q36" s="343"/>
      <c r="X36" s="352"/>
    </row>
    <row r="37" spans="2:24" x14ac:dyDescent="0.25">
      <c r="B37" s="1505" t="str">
        <f>'S2.9 overview inventory '!P163</f>
        <v>target product composition: based on literature review and plants overview</v>
      </c>
      <c r="C37" s="1505"/>
      <c r="D37" s="1505"/>
      <c r="E37" s="1505"/>
    </row>
    <row r="38" spans="2:24" ht="41.25" customHeight="1" x14ac:dyDescent="0.3">
      <c r="B38" s="354" t="s">
        <v>1379</v>
      </c>
      <c r="C38" s="355"/>
      <c r="D38" s="350"/>
      <c r="E38" s="351"/>
      <c r="F38" s="350"/>
      <c r="G38" s="351"/>
      <c r="H38" s="350"/>
      <c r="I38" s="19"/>
      <c r="J38" s="19"/>
      <c r="K38" s="19"/>
      <c r="L38" s="19"/>
      <c r="M38" s="19"/>
      <c r="N38" s="19"/>
      <c r="O38" s="19"/>
      <c r="X38" s="352"/>
    </row>
    <row r="39" spans="2:24" x14ac:dyDescent="0.25">
      <c r="B39" s="1509" t="s">
        <v>1373</v>
      </c>
      <c r="C39" s="386" t="s">
        <v>1147</v>
      </c>
      <c r="D39" s="610">
        <f>'S2.6 energy demand chemicals'!N29</f>
        <v>0.46142804650279923</v>
      </c>
      <c r="F39" s="19"/>
      <c r="I39" s="19"/>
      <c r="J39" s="19"/>
      <c r="K39" s="19"/>
      <c r="L39" s="19"/>
      <c r="M39" s="19"/>
      <c r="N39" s="19"/>
      <c r="X39" s="352"/>
    </row>
    <row r="40" spans="2:24" x14ac:dyDescent="0.25">
      <c r="B40" s="1511"/>
      <c r="C40" s="408" t="s">
        <v>1148</v>
      </c>
      <c r="D40" s="611">
        <f>'S2.2.3 Pyro_cred'!H30</f>
        <v>-2.4761830453137383</v>
      </c>
      <c r="F40" s="19"/>
      <c r="I40" s="19"/>
      <c r="J40" s="19"/>
      <c r="K40" s="19"/>
      <c r="L40" s="19"/>
      <c r="M40" s="19"/>
      <c r="N40" s="19"/>
      <c r="X40" s="352"/>
    </row>
    <row r="41" spans="2:24" x14ac:dyDescent="0.25">
      <c r="B41" s="1516" t="s">
        <v>1374</v>
      </c>
      <c r="C41" s="268" t="s">
        <v>1147</v>
      </c>
      <c r="D41" s="381">
        <f>'S2.2.3 Pyro_cred'!J59</f>
        <v>-1.2910463011818367</v>
      </c>
      <c r="I41" s="19"/>
      <c r="J41" s="19"/>
      <c r="K41" s="19"/>
      <c r="L41" s="19"/>
      <c r="M41" s="19"/>
      <c r="N41" s="19"/>
      <c r="X41" s="352"/>
    </row>
    <row r="42" spans="2:24" x14ac:dyDescent="0.25">
      <c r="B42" s="1517"/>
      <c r="C42" s="1186" t="s">
        <v>1148</v>
      </c>
      <c r="D42" s="304">
        <f>'S2.2.3 Pyro_cred'!P66</f>
        <v>-2.3122046051290681</v>
      </c>
      <c r="I42" s="19"/>
      <c r="J42" s="19"/>
      <c r="K42" s="19"/>
      <c r="L42" s="19"/>
      <c r="M42" s="19"/>
      <c r="N42" s="19"/>
      <c r="X42" s="352"/>
    </row>
    <row r="43" spans="2:24" ht="64.150000000000006" customHeight="1" x14ac:dyDescent="0.25">
      <c r="B43" s="1514" t="str">
        <f>'S2.9 overview inventory '!P168&amp;"; solid residue: "&amp;'S2.9 overview inventory '!P170</f>
        <v>liquid residue assumed to be constituted by oligomers that were not fully depolymerized and other hydrocarbon reaction products, therefore assumed to be able to be utilizable for energy recovery with a similar impact as naphtha; solid residue: approximated with incineration of solid product from pyrolysis with intermediate heating value</v>
      </c>
      <c r="C43" s="1514"/>
      <c r="D43" s="1514"/>
      <c r="X43" s="352"/>
    </row>
    <row r="44" spans="2:24" x14ac:dyDescent="0.25">
      <c r="X44" s="352"/>
    </row>
    <row r="45" spans="2:24" x14ac:dyDescent="0.25">
      <c r="X45" s="352"/>
    </row>
  </sheetData>
  <mergeCells count="16">
    <mergeCell ref="B28:B33"/>
    <mergeCell ref="B43:D43"/>
    <mergeCell ref="B26:O26"/>
    <mergeCell ref="B39:B40"/>
    <mergeCell ref="B41:B42"/>
    <mergeCell ref="B37:E37"/>
    <mergeCell ref="B4:C4"/>
    <mergeCell ref="B12:C12"/>
    <mergeCell ref="B10:C10"/>
    <mergeCell ref="B25:F25"/>
    <mergeCell ref="B5:C5"/>
    <mergeCell ref="B11:F11"/>
    <mergeCell ref="B13:B15"/>
    <mergeCell ref="B16:B18"/>
    <mergeCell ref="B19:B21"/>
    <mergeCell ref="B22:B24"/>
  </mergeCell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D9742-F01E-41E9-94FC-92E463C70A9E}">
  <sheetPr>
    <tabColor rgb="FFC46200"/>
  </sheetPr>
  <dimension ref="A1:AG42"/>
  <sheetViews>
    <sheetView zoomScale="60" zoomScaleNormal="60" workbookViewId="0">
      <selection activeCell="D39" sqref="D39"/>
    </sheetView>
  </sheetViews>
  <sheetFormatPr defaultRowHeight="15" x14ac:dyDescent="0.25"/>
  <cols>
    <col min="1" max="1" width="22.140625" customWidth="1"/>
    <col min="2" max="2" width="14.28515625" customWidth="1"/>
    <col min="3" max="4" width="14.28515625" style="13" customWidth="1"/>
    <col min="5" max="13" width="14.28515625" customWidth="1"/>
  </cols>
  <sheetData>
    <row r="1" spans="1:33" ht="18.75" x14ac:dyDescent="0.3">
      <c r="A1" s="399" t="s">
        <v>1080</v>
      </c>
    </row>
    <row r="2" spans="1:33" ht="19.5" thickBot="1" x14ac:dyDescent="0.35">
      <c r="A2" s="399"/>
      <c r="B2" s="1521" t="s">
        <v>1147</v>
      </c>
      <c r="C2" s="1521"/>
      <c r="D2" s="1521"/>
      <c r="E2" s="1521"/>
      <c r="F2" s="1521"/>
      <c r="G2" s="1521"/>
      <c r="H2" s="1521"/>
      <c r="I2" s="1521"/>
      <c r="J2" s="1521"/>
      <c r="K2" s="1521"/>
      <c r="L2" s="1521"/>
      <c r="M2" s="1521"/>
    </row>
    <row r="3" spans="1:33" x14ac:dyDescent="0.25">
      <c r="B3" s="1522" t="s">
        <v>20</v>
      </c>
      <c r="C3" s="1523"/>
      <c r="D3" s="1523"/>
      <c r="E3" s="1522" t="s">
        <v>26</v>
      </c>
      <c r="F3" s="1523"/>
      <c r="G3" s="1523"/>
      <c r="H3" s="1522" t="s">
        <v>27</v>
      </c>
      <c r="I3" s="1523"/>
      <c r="J3" s="1523"/>
      <c r="K3" s="1522" t="s">
        <v>28</v>
      </c>
      <c r="L3" s="1523"/>
      <c r="M3" s="1524"/>
    </row>
    <row r="4" spans="1:33" ht="14.65" customHeight="1" thickBot="1" x14ac:dyDescent="0.3">
      <c r="B4" s="128" t="s">
        <v>422</v>
      </c>
      <c r="C4" s="1518" t="s">
        <v>1380</v>
      </c>
      <c r="D4" s="1518"/>
      <c r="E4" s="128" t="s">
        <v>422</v>
      </c>
      <c r="F4" s="1518" t="s">
        <v>1380</v>
      </c>
      <c r="G4" s="1518"/>
      <c r="H4" s="128" t="s">
        <v>422</v>
      </c>
      <c r="I4" s="1518" t="s">
        <v>1380</v>
      </c>
      <c r="J4" s="1518"/>
      <c r="K4" s="128" t="s">
        <v>422</v>
      </c>
      <c r="L4" s="1518" t="s">
        <v>1380</v>
      </c>
      <c r="M4" s="1519"/>
    </row>
    <row r="5" spans="1:33" x14ac:dyDescent="0.25">
      <c r="A5" s="356" t="s">
        <v>1381</v>
      </c>
      <c r="B5" s="394" t="s">
        <v>637</v>
      </c>
      <c r="C5" s="395" t="s">
        <v>423</v>
      </c>
      <c r="D5" s="396" t="s">
        <v>421</v>
      </c>
      <c r="E5" s="394" t="s">
        <v>637</v>
      </c>
      <c r="F5" s="395" t="s">
        <v>423</v>
      </c>
      <c r="G5" s="396" t="s">
        <v>421</v>
      </c>
      <c r="H5" s="394" t="s">
        <v>637</v>
      </c>
      <c r="I5" s="395" t="s">
        <v>423</v>
      </c>
      <c r="J5" s="396" t="s">
        <v>421</v>
      </c>
      <c r="K5" s="394" t="s">
        <v>637</v>
      </c>
      <c r="L5" s="395" t="s">
        <v>423</v>
      </c>
      <c r="M5" s="625" t="s">
        <v>421</v>
      </c>
    </row>
    <row r="6" spans="1:33" x14ac:dyDescent="0.25">
      <c r="A6" s="357" t="s">
        <v>1382</v>
      </c>
      <c r="B6" s="358" t="s">
        <v>435</v>
      </c>
      <c r="C6" s="388" t="s">
        <v>435</v>
      </c>
      <c r="D6" s="389" t="s">
        <v>435</v>
      </c>
      <c r="E6" s="358" t="s">
        <v>435</v>
      </c>
      <c r="F6" s="388" t="s">
        <v>435</v>
      </c>
      <c r="G6" s="389" t="s">
        <v>435</v>
      </c>
      <c r="H6" s="358" t="s">
        <v>435</v>
      </c>
      <c r="I6" s="388" t="s">
        <v>435</v>
      </c>
      <c r="J6" s="389" t="s">
        <v>435</v>
      </c>
      <c r="K6" s="358" t="s">
        <v>435</v>
      </c>
      <c r="L6" s="388" t="s">
        <v>435</v>
      </c>
      <c r="M6" s="626" t="s">
        <v>435</v>
      </c>
    </row>
    <row r="7" spans="1:33" ht="75.75" thickBot="1" x14ac:dyDescent="0.3">
      <c r="A7" s="397" t="s">
        <v>1383</v>
      </c>
      <c r="B7" s="390" t="s">
        <v>1384</v>
      </c>
      <c r="C7" s="391" t="s">
        <v>1384</v>
      </c>
      <c r="D7" s="392" t="s">
        <v>1384</v>
      </c>
      <c r="E7" s="390" t="s">
        <v>1384</v>
      </c>
      <c r="F7" s="391" t="s">
        <v>1384</v>
      </c>
      <c r="G7" s="392" t="s">
        <v>1384</v>
      </c>
      <c r="H7" s="390" t="s">
        <v>1384</v>
      </c>
      <c r="I7" s="391" t="s">
        <v>1384</v>
      </c>
      <c r="J7" s="392" t="s">
        <v>1384</v>
      </c>
      <c r="K7" s="390" t="s">
        <v>1384</v>
      </c>
      <c r="L7" s="391" t="s">
        <v>1384</v>
      </c>
      <c r="M7" s="393" t="s">
        <v>1384</v>
      </c>
    </row>
    <row r="8" spans="1:33" ht="19.5" thickBot="1" x14ac:dyDescent="0.35">
      <c r="A8" s="661" t="s">
        <v>1691</v>
      </c>
      <c r="B8" s="662">
        <f>'S2.3.3 Depoly_cred'!C6*('S2.3.3 Depoly_cred'!E13*'S2.3.3 Depoly_cred'!D28+'S2.3.3 Depoly_cred'!E14*'S2.3.3 Depoly_cred'!D39+'S2.3.3 Depoly_cred'!E15*'S2.3.3 Depoly_cred'!D41)</f>
        <v>2.4681683814560866</v>
      </c>
      <c r="C8" s="663">
        <f>'S2.3.3 Depoly_cred'!C6*('S2.3.3 Depoly_cred'!D13*'S2.3.3 Depoly_cred'!D28+'S2.3.3 Depoly_cred'!D14*'S2.3.3 Depoly_cred'!D39+'S2.3.3 Depoly_cred'!D15*'S2.3.3 Depoly_cred'!D41)</f>
        <v>2.3660150365289168</v>
      </c>
      <c r="D8" s="664">
        <f>'S2.3.3 Depoly_cred'!C6*('S2.3.3 Depoly_cred'!F13*'S2.3.3 Depoly_cred'!D28+'S2.3.3 Depoly_cred'!F14*'S2.3.3 Depoly_cred'!D39+'S2.3.3 Depoly_cred'!F15*'S2.3.3 Depoly_cred'!D41)</f>
        <v>2.6529626346389454</v>
      </c>
      <c r="E8" s="662">
        <f>'S2.3.3 Depoly_cred'!C7*('S2.3.3 Depoly_cred'!E16*'S2.3.3 Depoly_cred'!D34+'S2.3.3 Depoly_cred'!E17*'S2.3.3 Depoly_cred'!D39+'S2.3.3 Depoly_cred'!E18*'S2.3.3 Depoly_cred'!D41)</f>
        <v>1.8986049254322885</v>
      </c>
      <c r="F8" s="663">
        <f>'S2.3.3 Depoly_cred'!C7*('S2.3.3 Depoly_cred'!D16*'S2.3.3 Depoly_cred'!D34+'S2.3.3 Depoly_cred'!D17*'S2.3.3 Depoly_cred'!D39+'S2.3.3 Depoly_cred'!D18*'S2.3.3 Depoly_cred'!D41)</f>
        <v>1.8196306907718196</v>
      </c>
      <c r="G8" s="664">
        <f>'S2.3.3 Depoly_cred'!C7*('S2.3.3 Depoly_cred'!F16*'S2.3.3 Depoly_cred'!D34+'S2.3.3 Depoly_cred'!F17*'S2.3.3 Depoly_cred'!D39+'S2.3.3 Depoly_cred'!F18*'S2.3.3 Depoly_cred'!D41)</f>
        <v>2.0414684285821258</v>
      </c>
      <c r="H8" s="662">
        <f>'S2.3.3 Depoly_cred'!C8*('S2.3.3 Depoly_cred'!E19*'S2.3.3 Depoly_cred'!D35+'S2.3.3 Depoly_cred'!E20*'S2.3.3 Depoly_cred'!D39+'S2.3.3 Depoly_cred'!E21*'S2.3.3 Depoly_cred'!D41)</f>
        <v>1.9709618808251621</v>
      </c>
      <c r="I8" s="663">
        <f>'S2.3.3 Depoly_cred'!C8*('S2.3.3 Depoly_cred'!D19*'S2.3.3 Depoly_cred'!D35+'S2.3.3 Depoly_cred'!D20*'S2.3.3 Depoly_cred'!D39+'S2.3.3 Depoly_cred'!D21*'S2.3.3 Depoly_cred'!D41)</f>
        <v>1.8934738730919969</v>
      </c>
      <c r="J8" s="664">
        <f>'S2.3.3 Depoly_cred'!C8*('S2.3.3 Depoly_cred'!F19*'S2.3.3 Depoly_cred'!D35+'S2.3.3 Depoly_cred'!F20*'S2.3.3 Depoly_cred'!D39+'S2.3.3 Depoly_cred'!F21*'S2.3.3 Depoly_cred'!D41)</f>
        <v>2.1111368161626851</v>
      </c>
      <c r="K8" s="662">
        <f>'S2.3.3 Depoly_cred'!C9*('S2.3.3 Depoly_cred'!E22*'S2.3.3 Depoly_cred'!D36+'S2.3.3 Depoly_cred'!E23*'S2.3.3 Depoly_cred'!D39+'S2.3.3 Depoly_cred'!E24*'S2.3.3 Depoly_cred'!D41)</f>
        <v>3.7179695857961299</v>
      </c>
      <c r="L8" s="663">
        <f>'S2.3.3 Depoly_cred'!C9*('S2.3.3 Depoly_cred'!D22*'S2.3.3 Depoly_cred'!D36+'S2.3.3 Depoly_cred'!D23*'S2.3.3 Depoly_cred'!D39+'S2.3.3 Depoly_cred'!D24*'S2.3.3 Depoly_cred'!D41)</f>
        <v>3.2935123527775625</v>
      </c>
      <c r="M8" s="664">
        <f>'S2.3.3 Depoly_cred'!C9*('S2.3.3 Depoly_cred'!F22*'S2.3.3 Depoly_cred'!D36+'S2.3.3 Depoly_cred'!F23*'S2.3.3 Depoly_cred'!D39+'S2.3.3 Depoly_cred'!F24*'S2.3.3 Depoly_cred'!D41)</f>
        <v>3.8385194920710934</v>
      </c>
      <c r="AE8" s="63"/>
      <c r="AF8" s="63"/>
      <c r="AG8" s="63"/>
    </row>
    <row r="9" spans="1:33" x14ac:dyDescent="0.25">
      <c r="C9" s="1520">
        <f>D8-C8</f>
        <v>0.28694759811002868</v>
      </c>
      <c r="D9" s="1520"/>
      <c r="F9" s="1520">
        <f>G8-F8</f>
        <v>0.22183773781030625</v>
      </c>
      <c r="G9" s="1520"/>
      <c r="I9" s="1520">
        <f>J8-I8</f>
        <v>0.21766294307068823</v>
      </c>
      <c r="J9" s="1520"/>
      <c r="L9" s="1520">
        <f>M8-L8</f>
        <v>0.54500713929353095</v>
      </c>
      <c r="M9" s="1520"/>
      <c r="AE9" s="63"/>
      <c r="AF9" s="63"/>
      <c r="AG9" s="63"/>
    </row>
    <row r="10" spans="1:33" x14ac:dyDescent="0.25">
      <c r="C10"/>
      <c r="D10"/>
      <c r="AE10" s="63"/>
      <c r="AF10" s="63"/>
      <c r="AG10" s="63"/>
    </row>
    <row r="11" spans="1:33" ht="19.5" thickBot="1" x14ac:dyDescent="0.35">
      <c r="A11" s="399"/>
      <c r="B11" s="1521" t="s">
        <v>1148</v>
      </c>
      <c r="C11" s="1521"/>
      <c r="D11" s="1521"/>
      <c r="E11" s="1521"/>
      <c r="F11" s="1521"/>
      <c r="G11" s="1521"/>
      <c r="H11" s="1521"/>
      <c r="I11" s="1521"/>
      <c r="J11" s="1521"/>
      <c r="K11" s="1521"/>
      <c r="L11" s="1521"/>
      <c r="M11" s="1521"/>
      <c r="AE11" s="63"/>
    </row>
    <row r="12" spans="1:33" x14ac:dyDescent="0.25">
      <c r="B12" s="1522" t="s">
        <v>20</v>
      </c>
      <c r="C12" s="1523"/>
      <c r="D12" s="1523"/>
      <c r="E12" s="1522" t="s">
        <v>26</v>
      </c>
      <c r="F12" s="1523"/>
      <c r="G12" s="1523"/>
      <c r="H12" s="1522" t="s">
        <v>27</v>
      </c>
      <c r="I12" s="1523"/>
      <c r="J12" s="1523"/>
      <c r="K12" s="1522" t="s">
        <v>28</v>
      </c>
      <c r="L12" s="1523"/>
      <c r="M12" s="1524"/>
    </row>
    <row r="13" spans="1:33" ht="14.65" customHeight="1" thickBot="1" x14ac:dyDescent="0.3">
      <c r="B13" s="128" t="s">
        <v>422</v>
      </c>
      <c r="C13" s="1518" t="s">
        <v>1380</v>
      </c>
      <c r="D13" s="1518"/>
      <c r="E13" s="128" t="s">
        <v>422</v>
      </c>
      <c r="F13" s="1518" t="s">
        <v>1380</v>
      </c>
      <c r="G13" s="1518"/>
      <c r="H13" s="128" t="s">
        <v>422</v>
      </c>
      <c r="I13" s="1518" t="s">
        <v>1380</v>
      </c>
      <c r="J13" s="1518"/>
      <c r="K13" s="128" t="s">
        <v>422</v>
      </c>
      <c r="L13" s="1518" t="s">
        <v>1380</v>
      </c>
      <c r="M13" s="1519"/>
    </row>
    <row r="14" spans="1:33" x14ac:dyDescent="0.25">
      <c r="A14" s="356" t="s">
        <v>1381</v>
      </c>
      <c r="B14" s="394" t="s">
        <v>637</v>
      </c>
      <c r="C14" s="395" t="s">
        <v>423</v>
      </c>
      <c r="D14" s="396" t="s">
        <v>421</v>
      </c>
      <c r="E14" s="394" t="s">
        <v>637</v>
      </c>
      <c r="F14" s="395" t="s">
        <v>423</v>
      </c>
      <c r="G14" s="396" t="s">
        <v>421</v>
      </c>
      <c r="H14" s="394" t="s">
        <v>637</v>
      </c>
      <c r="I14" s="395" t="s">
        <v>423</v>
      </c>
      <c r="J14" s="396" t="s">
        <v>421</v>
      </c>
      <c r="K14" s="394" t="s">
        <v>637</v>
      </c>
      <c r="L14" s="395" t="s">
        <v>423</v>
      </c>
      <c r="M14" s="625" t="s">
        <v>421</v>
      </c>
    </row>
    <row r="15" spans="1:33" x14ac:dyDescent="0.25">
      <c r="A15" s="357" t="s">
        <v>1382</v>
      </c>
      <c r="B15" s="358" t="s">
        <v>435</v>
      </c>
      <c r="C15" s="388" t="s">
        <v>435</v>
      </c>
      <c r="D15" s="389" t="s">
        <v>435</v>
      </c>
      <c r="E15" s="358" t="s">
        <v>435</v>
      </c>
      <c r="F15" s="388" t="s">
        <v>435</v>
      </c>
      <c r="G15" s="389" t="s">
        <v>435</v>
      </c>
      <c r="H15" s="358" t="s">
        <v>435</v>
      </c>
      <c r="I15" s="388" t="s">
        <v>435</v>
      </c>
      <c r="J15" s="389" t="s">
        <v>435</v>
      </c>
      <c r="K15" s="358" t="s">
        <v>435</v>
      </c>
      <c r="L15" s="388" t="s">
        <v>435</v>
      </c>
      <c r="M15" s="626" t="s">
        <v>435</v>
      </c>
    </row>
    <row r="16" spans="1:33" ht="75.75" thickBot="1" x14ac:dyDescent="0.3">
      <c r="A16" s="397" t="s">
        <v>1383</v>
      </c>
      <c r="B16" s="390" t="s">
        <v>1384</v>
      </c>
      <c r="C16" s="391" t="s">
        <v>1384</v>
      </c>
      <c r="D16" s="392" t="s">
        <v>1384</v>
      </c>
      <c r="E16" s="390" t="s">
        <v>1384</v>
      </c>
      <c r="F16" s="391" t="s">
        <v>1384</v>
      </c>
      <c r="G16" s="392" t="s">
        <v>1384</v>
      </c>
      <c r="H16" s="390" t="s">
        <v>1384</v>
      </c>
      <c r="I16" s="391" t="s">
        <v>1384</v>
      </c>
      <c r="J16" s="392" t="s">
        <v>1384</v>
      </c>
      <c r="K16" s="390" t="s">
        <v>1384</v>
      </c>
      <c r="L16" s="391" t="s">
        <v>1384</v>
      </c>
      <c r="M16" s="393" t="s">
        <v>1384</v>
      </c>
    </row>
    <row r="17" spans="1:23" ht="19.5" thickBot="1" x14ac:dyDescent="0.35">
      <c r="A17" s="644" t="str">
        <f>A8</f>
        <v>total credits [kg CO2-eq / kg input]</v>
      </c>
      <c r="B17" s="662">
        <f>'S2.3.3 Depoly_cred'!C6*('S2.3.3 Depoly_cred'!E13*'S2.3.3 Depoly_cred'!E28+'S2.3.3 Depoly_cred'!E14*'S2.3.3 Depoly_cred'!D39+'S2.3.3 Depoly_cred'!E15*'S2.3.3 Depoly_cred'!D41)</f>
        <v>1.4934689411750737</v>
      </c>
      <c r="C17" s="663">
        <f>'S2.3.3 Depoly_cred'!C6*('S2.3.3 Depoly_cred'!D13*'S2.3.3 Depoly_cred'!E28+'S2.3.3 Depoly_cred'!D14*'S2.3.3 Depoly_cred'!D39+'S2.3.3 Depoly_cred'!D15*'S2.3.3 Depoly_cred'!D41)</f>
        <v>1.4432917797020737</v>
      </c>
      <c r="D17" s="664">
        <f>'S2.3.3 Depoly_cred'!C6*('S2.3.3 Depoly_cred'!F13*'S2.3.3 Depoly_cred'!E28+'S2.3.3 Depoly_cred'!F14*'S2.3.3 Depoly_cred'!D39+'S2.3.3 Depoly_cred'!F15*'S2.3.3 Depoly_cred'!D41)</f>
        <v>1.5842388624913994</v>
      </c>
      <c r="E17" s="662">
        <f>'S2.3.3 Depoly_cred'!C7*('S2.3.3 Depoly_cred'!E16*'S2.3.3 Depoly_cred'!E34+'S2.3.3 Depoly_cred'!E17*'S2.3.3 Depoly_cred'!D39+'S2.3.3 Depoly_cred'!E18*'S2.3.3 Depoly_cred'!D41)</f>
        <v>1.2291962187432754</v>
      </c>
      <c r="F17" s="663">
        <f>'S2.3.3 Depoly_cred'!C7*('S2.3.3 Depoly_cred'!D16*'S2.3.3 Depoly_cred'!E34+'S2.3.3 Depoly_cred'!D17*'S2.3.3 Depoly_cred'!D39+'S2.3.3 Depoly_cred'!D18*'S2.3.3 Depoly_cred'!D41)</f>
        <v>1.1859184339901294</v>
      </c>
      <c r="G17" s="664">
        <f>'S2.3.3 Depoly_cred'!C7*('S2.3.3 Depoly_cred'!F16*'S2.3.3 Depoly_cred'!E34+'S2.3.3 Depoly_cred'!F17*'S2.3.3 Depoly_cred'!D39+'S2.3.3 Depoly_cred'!F18*'S2.3.3 Depoly_cred'!D41)</f>
        <v>1.3074852450944721</v>
      </c>
      <c r="H17" s="662">
        <f>'S2.3.3 Depoly_cred'!C8*('S2.3.3 Depoly_cred'!E19*'S2.3.3 Depoly_cred'!E35+'S2.3.3 Depoly_cred'!E20*'S2.3.3 Depoly_cred'!D39+'S2.3.3 Depoly_cred'!E21*'S2.3.3 Depoly_cred'!D41)</f>
        <v>1.6174119010581183</v>
      </c>
      <c r="I17" s="663">
        <f>'S2.3.3 Depoly_cred'!C8*('S2.3.3 Depoly_cred'!D19*'S2.3.3 Depoly_cred'!E35+'S2.3.3 Depoly_cred'!D20*'S2.3.3 Depoly_cred'!D39+'S2.3.3 Depoly_cred'!D21*'S2.3.3 Depoly_cred'!D41)</f>
        <v>1.5587770678002479</v>
      </c>
      <c r="J17" s="664">
        <f>'S2.3.3 Depoly_cred'!C8*('S2.3.3 Depoly_cred'!F19*'S2.3.3 Depoly_cred'!E35+'S2.3.3 Depoly_cred'!F20*'S2.3.3 Depoly_cred'!D39+'S2.3.3 Depoly_cred'!F21*'S2.3.3 Depoly_cred'!D41)</f>
        <v>1.7234816556032544</v>
      </c>
      <c r="K17" s="662">
        <f>'S2.3.3 Depoly_cred'!C9*('S2.3.3 Depoly_cred'!E22*'S2.3.3 Depoly_cred'!E36+'S2.3.3 Depoly_cred'!E23*'S2.3.3 Depoly_cred'!D39+'S2.3.3 Depoly_cred'!E24*'S2.3.3 Depoly_cred'!D41)</f>
        <v>2.4102608181159133</v>
      </c>
      <c r="L17" s="663">
        <f>'S2.3.3 Depoly_cred'!C9*('S2.3.3 Depoly_cred'!D22*'S2.3.3 Depoly_cred'!E36+'S2.3.3 Depoly_cred'!D23*'S2.3.3 Depoly_cred'!D39+'S2.3.3 Depoly_cred'!D24*'S2.3.3 Depoly_cred'!D41)</f>
        <v>2.1583256171055352</v>
      </c>
      <c r="M17" s="664">
        <f>'S2.3.3 Depoly_cred'!C9*('S2.3.3 Depoly_cred'!F22*'S2.3.3 Depoly_cred'!E36+'S2.3.3 Depoly_cred'!F23*'S2.3.3 Depoly_cred'!D39+'S2.3.3 Depoly_cred'!F24*'S2.3.3 Depoly_cred'!D41)</f>
        <v>2.4818128203121779</v>
      </c>
    </row>
    <row r="18" spans="1:23" x14ac:dyDescent="0.25">
      <c r="C18" s="1520">
        <f>D17-C17</f>
        <v>0.14094708278932577</v>
      </c>
      <c r="D18" s="1520"/>
      <c r="F18" s="1520">
        <f>G17-F17</f>
        <v>0.12156681110434264</v>
      </c>
      <c r="G18" s="1520"/>
      <c r="I18" s="1520">
        <f>J17-I17</f>
        <v>0.16470458780300645</v>
      </c>
      <c r="J18" s="1520"/>
      <c r="L18" s="1520">
        <f>M17-L17</f>
        <v>0.3234872032066427</v>
      </c>
      <c r="M18" s="1520"/>
    </row>
    <row r="21" spans="1:23" ht="19.5" thickBot="1" x14ac:dyDescent="0.35">
      <c r="A21" s="399" t="s">
        <v>1224</v>
      </c>
    </row>
    <row r="22" spans="1:23" ht="15.75" thickBot="1" x14ac:dyDescent="0.3">
      <c r="B22" s="1530" t="s">
        <v>1147</v>
      </c>
      <c r="C22" s="1531"/>
      <c r="D22" s="1532"/>
      <c r="E22" s="1533" t="s">
        <v>1148</v>
      </c>
      <c r="F22" s="1533"/>
      <c r="G22" s="1534"/>
    </row>
    <row r="23" spans="1:23" x14ac:dyDescent="0.25">
      <c r="A23" s="645" t="s">
        <v>1618</v>
      </c>
      <c r="B23" s="619" t="s">
        <v>423</v>
      </c>
      <c r="C23" s="619" t="s">
        <v>422</v>
      </c>
      <c r="D23" s="620" t="s">
        <v>421</v>
      </c>
      <c r="E23" s="638" t="str">
        <f t="shared" ref="E23:G27" si="0">B23</f>
        <v>low</v>
      </c>
      <c r="F23" s="638" t="str">
        <f t="shared" si="0"/>
        <v>intermediate</v>
      </c>
      <c r="G23" s="639" t="str">
        <f t="shared" si="0"/>
        <v>high</v>
      </c>
      <c r="U23" s="63"/>
      <c r="V23" s="63"/>
      <c r="W23" s="63"/>
    </row>
    <row r="24" spans="1:23" x14ac:dyDescent="0.25">
      <c r="A24" s="646" t="s">
        <v>1673</v>
      </c>
      <c r="B24" s="619" t="s">
        <v>423</v>
      </c>
      <c r="C24" s="619" t="s">
        <v>422</v>
      </c>
      <c r="D24" s="620" t="s">
        <v>421</v>
      </c>
      <c r="E24" s="638" t="str">
        <f t="shared" si="0"/>
        <v>low</v>
      </c>
      <c r="F24" s="638" t="str">
        <f t="shared" si="0"/>
        <v>intermediate</v>
      </c>
      <c r="G24" s="639" t="str">
        <f t="shared" si="0"/>
        <v>high</v>
      </c>
      <c r="U24" s="26"/>
      <c r="V24" s="26"/>
      <c r="W24" s="26"/>
    </row>
    <row r="25" spans="1:23" x14ac:dyDescent="0.25">
      <c r="A25" s="646" t="s">
        <v>1627</v>
      </c>
      <c r="B25" s="619" t="s">
        <v>1674</v>
      </c>
      <c r="C25" s="619" t="s">
        <v>422</v>
      </c>
      <c r="D25" s="620" t="s">
        <v>1677</v>
      </c>
      <c r="E25" s="638" t="str">
        <f t="shared" si="0"/>
        <v>short</v>
      </c>
      <c r="F25" s="638" t="str">
        <f t="shared" si="0"/>
        <v>intermediate</v>
      </c>
      <c r="G25" s="639" t="str">
        <f t="shared" si="0"/>
        <v>long</v>
      </c>
      <c r="U25" s="63"/>
      <c r="V25" s="63"/>
      <c r="W25" s="63"/>
    </row>
    <row r="26" spans="1:23" x14ac:dyDescent="0.25">
      <c r="A26" s="646" t="s">
        <v>1676</v>
      </c>
      <c r="B26" s="619" t="s">
        <v>421</v>
      </c>
      <c r="C26" s="619" t="s">
        <v>422</v>
      </c>
      <c r="D26" s="620" t="s">
        <v>423</v>
      </c>
      <c r="E26" s="638" t="str">
        <f t="shared" si="0"/>
        <v>high</v>
      </c>
      <c r="F26" s="638" t="str">
        <f t="shared" si="0"/>
        <v>intermediate</v>
      </c>
      <c r="G26" s="639" t="str">
        <f t="shared" si="0"/>
        <v>low</v>
      </c>
      <c r="U26" s="63"/>
      <c r="V26" s="63"/>
      <c r="W26" s="63"/>
    </row>
    <row r="27" spans="1:23" ht="15.75" thickBot="1" x14ac:dyDescent="0.3">
      <c r="A27" s="647" t="s">
        <v>1675</v>
      </c>
      <c r="B27" s="621" t="s">
        <v>423</v>
      </c>
      <c r="C27" s="621" t="s">
        <v>422</v>
      </c>
      <c r="D27" s="622" t="s">
        <v>421</v>
      </c>
      <c r="E27" s="640" t="str">
        <f t="shared" si="0"/>
        <v>low</v>
      </c>
      <c r="F27" s="640" t="str">
        <f t="shared" si="0"/>
        <v>intermediate</v>
      </c>
      <c r="G27" s="641" t="str">
        <f t="shared" si="0"/>
        <v>high</v>
      </c>
      <c r="U27" s="26"/>
      <c r="V27" s="26"/>
      <c r="W27" s="26"/>
    </row>
    <row r="28" spans="1:23" ht="15.75" thickBot="1" x14ac:dyDescent="0.3">
      <c r="A28" s="648" t="s">
        <v>2013</v>
      </c>
      <c r="B28" s="634">
        <f>'S2.3.2 Depoly_imp'!Y91</f>
        <v>0.70580025276978609</v>
      </c>
      <c r="C28" s="634">
        <f>'S2.3.2 Depoly_imp'!N91</f>
        <v>0.76120823465643195</v>
      </c>
      <c r="D28" s="635">
        <f>'S2.3.2 Depoly_imp'!AM91</f>
        <v>0.84378947207572219</v>
      </c>
      <c r="E28" s="634">
        <f>'S2.3.2 Depoly_imp'!AB91</f>
        <v>0.48653323493405476</v>
      </c>
      <c r="F28" s="634">
        <f>'S2.3.2 Depoly_imp'!Q91</f>
        <v>0.50575661646066905</v>
      </c>
      <c r="G28" s="635">
        <f>'S2.3.2 Depoly_imp'!AP91</f>
        <v>0.54530556088992688</v>
      </c>
      <c r="U28" s="63"/>
      <c r="V28" s="63"/>
      <c r="W28" s="63"/>
    </row>
    <row r="29" spans="1:23" ht="15.75" thickBot="1" x14ac:dyDescent="0.3">
      <c r="A29" s="648" t="s">
        <v>2014</v>
      </c>
      <c r="B29" s="634">
        <f>'S2.3.2 Depoly_imp'!Y92</f>
        <v>0.27103810322385707</v>
      </c>
      <c r="C29" s="634">
        <f>'S2.3.2 Depoly_imp'!N92</f>
        <v>0.33124863959116568</v>
      </c>
      <c r="D29" s="635">
        <f>'S2.3.2 Depoly_imp'!AM92</f>
        <v>0.41937508629214826</v>
      </c>
      <c r="E29" s="634">
        <f>'S2.3.2 Depoly_imp'!AB92</f>
        <v>0.18061851961143299</v>
      </c>
      <c r="F29" s="634">
        <f>'S2.3.2 Depoly_imp'!Q92</f>
        <v>0.20238828060861572</v>
      </c>
      <c r="G29" s="635">
        <f>'S2.3.2 Depoly_imp'!AP92</f>
        <v>0.24636722340501682</v>
      </c>
      <c r="U29" s="63"/>
      <c r="V29" s="63"/>
      <c r="W29" s="63"/>
    </row>
    <row r="30" spans="1:23" ht="15.75" thickBot="1" x14ac:dyDescent="0.3">
      <c r="A30" s="648" t="s">
        <v>2015</v>
      </c>
      <c r="B30" s="634">
        <f>'S2.3.2 Depoly_imp'!Y93</f>
        <v>0.59656701083665886</v>
      </c>
      <c r="C30" s="634">
        <f>'S2.3.2 Depoly_imp'!N93</f>
        <v>0.65363983751576571</v>
      </c>
      <c r="D30" s="635">
        <f>'S2.3.2 Depoly_imp'!AM93</f>
        <v>0.73814014445151133</v>
      </c>
      <c r="E30" s="634">
        <f>'S2.3.2 Depoly_imp'!AB93</f>
        <v>0.25101918748346219</v>
      </c>
      <c r="F30" s="634">
        <f>'S2.3.2 Depoly_imp'!Q93</f>
        <v>0.27112066596126561</v>
      </c>
      <c r="G30" s="635">
        <f>'S2.3.2 Depoly_imp'!AP93</f>
        <v>0.31219581460375179</v>
      </c>
      <c r="U30" s="26"/>
      <c r="V30" s="26"/>
      <c r="W30" s="26"/>
    </row>
    <row r="31" spans="1:23" ht="15.75" thickBot="1" x14ac:dyDescent="0.3">
      <c r="A31" s="648" t="s">
        <v>2016</v>
      </c>
      <c r="B31" s="634">
        <f>'S2.3.2 Depoly_imp'!Y94</f>
        <v>0.54810810374096841</v>
      </c>
      <c r="C31" s="634">
        <f>'S2.3.2 Depoly_imp'!N94</f>
        <v>0.60522134155206264</v>
      </c>
      <c r="D31" s="635">
        <f>'S2.3.2 Depoly_imp'!AM94</f>
        <v>0.69183994718578534</v>
      </c>
      <c r="E31" s="634">
        <f>'S2.3.2 Depoly_imp'!AB94</f>
        <v>0.37121734185882815</v>
      </c>
      <c r="F31" s="634">
        <f>'S2.3.2 Depoly_imp'!Q94</f>
        <v>0.39176193650428082</v>
      </c>
      <c r="G31" s="635">
        <f>'S2.3.2 Depoly_imp'!AP94</f>
        <v>0.43438139743898041</v>
      </c>
      <c r="U31" s="63"/>
      <c r="V31" s="63"/>
      <c r="W31" s="63"/>
    </row>
    <row r="32" spans="1:23" x14ac:dyDescent="0.25">
      <c r="U32" s="63"/>
      <c r="V32" s="63"/>
      <c r="W32" s="63"/>
    </row>
    <row r="33" spans="1:23" x14ac:dyDescent="0.25">
      <c r="U33" s="26"/>
      <c r="V33" s="26"/>
      <c r="W33" s="26"/>
    </row>
    <row r="34" spans="1:23" ht="19.5" thickBot="1" x14ac:dyDescent="0.35">
      <c r="A34" s="399" t="s">
        <v>1473</v>
      </c>
      <c r="U34" s="63"/>
      <c r="V34" s="63"/>
      <c r="W34" s="63"/>
    </row>
    <row r="35" spans="1:23" ht="33.75" customHeight="1" x14ac:dyDescent="0.3">
      <c r="A35" s="399"/>
      <c r="B35" s="1525" t="s">
        <v>2011</v>
      </c>
      <c r="C35" s="1526"/>
      <c r="D35" s="1527"/>
      <c r="E35" s="1525" t="s">
        <v>2012</v>
      </c>
      <c r="F35" s="1528"/>
      <c r="G35" s="1529"/>
    </row>
    <row r="36" spans="1:23" ht="15.75" thickBot="1" x14ac:dyDescent="0.3">
      <c r="A36" s="68"/>
      <c r="B36" s="637" t="s">
        <v>1678</v>
      </c>
      <c r="C36" s="287" t="s">
        <v>422</v>
      </c>
      <c r="D36" s="659" t="s">
        <v>1679</v>
      </c>
      <c r="E36" s="637" t="s">
        <v>1678</v>
      </c>
      <c r="F36" s="287" t="s">
        <v>422</v>
      </c>
      <c r="G36" s="660" t="s">
        <v>1679</v>
      </c>
    </row>
    <row r="37" spans="1:23" ht="21.75" thickBot="1" x14ac:dyDescent="0.4">
      <c r="A37" s="636" t="s">
        <v>20</v>
      </c>
      <c r="B37" s="653">
        <f>B28-D8</f>
        <v>-1.9471623818691595</v>
      </c>
      <c r="C37" s="643">
        <f>C28-B8</f>
        <v>-1.7069601467996547</v>
      </c>
      <c r="D37" s="654">
        <f>D28-C8</f>
        <v>-1.5222255644531946</v>
      </c>
      <c r="E37" s="651">
        <f>E28-D17</f>
        <v>-1.0977056275573447</v>
      </c>
      <c r="F37" s="643">
        <f>F28-B17</f>
        <v>-0.98771232471440462</v>
      </c>
      <c r="G37" s="657">
        <f>G28-C17</f>
        <v>-0.8979862188121468</v>
      </c>
    </row>
    <row r="38" spans="1:23" ht="21.75" thickBot="1" x14ac:dyDescent="0.4">
      <c r="A38" s="633" t="s">
        <v>26</v>
      </c>
      <c r="B38" s="655">
        <f>B29-G8</f>
        <v>-1.7704303253582687</v>
      </c>
      <c r="C38" s="642">
        <f>C29-E8</f>
        <v>-1.567356285841123</v>
      </c>
      <c r="D38" s="656">
        <f>D29-F8</f>
        <v>-1.4002556044796712</v>
      </c>
      <c r="E38" s="652">
        <f>E29-G17</f>
        <v>-1.1268667254830391</v>
      </c>
      <c r="F38" s="642">
        <f>F29-E17</f>
        <v>-1.0268079381346598</v>
      </c>
      <c r="G38" s="658">
        <f>G29-F17</f>
        <v>-0.9395512105851126</v>
      </c>
    </row>
    <row r="39" spans="1:23" ht="21.75" thickBot="1" x14ac:dyDescent="0.4">
      <c r="A39" s="633" t="s">
        <v>27</v>
      </c>
      <c r="B39" s="655">
        <f>B30-J8</f>
        <v>-1.5145698053260261</v>
      </c>
      <c r="C39" s="642">
        <f>C30-H8</f>
        <v>-1.3173220433093964</v>
      </c>
      <c r="D39" s="656">
        <f>D30-I8</f>
        <v>-1.1553337286404854</v>
      </c>
      <c r="E39" s="652">
        <f>E30-J17</f>
        <v>-1.4724624681197922</v>
      </c>
      <c r="F39" s="642">
        <f>F30-H17</f>
        <v>-1.3462912350968526</v>
      </c>
      <c r="G39" s="658">
        <f>G30-I17</f>
        <v>-1.2465812531964962</v>
      </c>
    </row>
    <row r="40" spans="1:23" ht="21.75" thickBot="1" x14ac:dyDescent="0.4">
      <c r="A40" s="633" t="s">
        <v>28</v>
      </c>
      <c r="B40" s="655">
        <f>B31-M8</f>
        <v>-3.2904113883301251</v>
      </c>
      <c r="C40" s="642">
        <f>C31-K8</f>
        <v>-3.1127482442440675</v>
      </c>
      <c r="D40" s="656">
        <f>D31-L8</f>
        <v>-2.6016724055917773</v>
      </c>
      <c r="E40" s="652">
        <f>E31-M17</f>
        <v>-2.1105954784533498</v>
      </c>
      <c r="F40" s="642">
        <f>F31-K17</f>
        <v>-2.0184988816116327</v>
      </c>
      <c r="G40" s="658">
        <f>G31-L17</f>
        <v>-1.7239442196665546</v>
      </c>
    </row>
    <row r="42" spans="1:23" x14ac:dyDescent="0.25">
      <c r="A42" s="400"/>
    </row>
  </sheetData>
  <mergeCells count="30">
    <mergeCell ref="B3:D3"/>
    <mergeCell ref="B35:D35"/>
    <mergeCell ref="E35:G35"/>
    <mergeCell ref="B22:D22"/>
    <mergeCell ref="E22:G22"/>
    <mergeCell ref="C9:D9"/>
    <mergeCell ref="C13:D13"/>
    <mergeCell ref="F13:G13"/>
    <mergeCell ref="B2:M2"/>
    <mergeCell ref="B11:M11"/>
    <mergeCell ref="B12:D12"/>
    <mergeCell ref="E12:G12"/>
    <mergeCell ref="H12:J12"/>
    <mergeCell ref="K12:M12"/>
    <mergeCell ref="K3:M3"/>
    <mergeCell ref="L4:M4"/>
    <mergeCell ref="L9:M9"/>
    <mergeCell ref="H3:J3"/>
    <mergeCell ref="I4:J4"/>
    <mergeCell ref="I9:J9"/>
    <mergeCell ref="E3:G3"/>
    <mergeCell ref="F9:G9"/>
    <mergeCell ref="C4:D4"/>
    <mergeCell ref="F4:G4"/>
    <mergeCell ref="I13:J13"/>
    <mergeCell ref="L13:M13"/>
    <mergeCell ref="C18:D18"/>
    <mergeCell ref="F18:G18"/>
    <mergeCell ref="I18:J18"/>
    <mergeCell ref="L18:M18"/>
  </mergeCells>
  <conditionalFormatting sqref="B28:G28">
    <cfRule type="colorScale" priority="65">
      <colorScale>
        <cfvo type="min"/>
        <cfvo type="max"/>
        <color rgb="FFFCFCFF"/>
        <color rgb="FFF8696B"/>
      </colorScale>
    </cfRule>
  </conditionalFormatting>
  <conditionalFormatting sqref="B29:G31">
    <cfRule type="colorScale" priority="2">
      <colorScale>
        <cfvo type="min"/>
        <cfvo type="max"/>
        <color rgb="FFFCFCFF"/>
        <color rgb="FFF8696B"/>
      </colorScale>
    </cfRule>
  </conditionalFormatting>
  <conditionalFormatting sqref="B28:G31">
    <cfRule type="colorScale" priority="1">
      <colorScale>
        <cfvo type="min"/>
        <cfvo type="max"/>
        <color rgb="FFFCFCFF"/>
        <color rgb="FFF8696B"/>
      </colorScale>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2B7A4-5E06-4E03-BD49-9F9E74B4DF74}">
  <sheetPr>
    <tabColor rgb="FF663300"/>
  </sheetPr>
  <dimension ref="B1:H48"/>
  <sheetViews>
    <sheetView workbookViewId="0">
      <selection activeCell="B51" sqref="B51"/>
    </sheetView>
  </sheetViews>
  <sheetFormatPr defaultRowHeight="15" x14ac:dyDescent="0.25"/>
  <cols>
    <col min="1" max="1" width="3.140625" customWidth="1"/>
    <col min="2" max="2" width="16" customWidth="1"/>
  </cols>
  <sheetData>
    <row r="1" spans="2:4" ht="27.4" customHeight="1" x14ac:dyDescent="0.25"/>
    <row r="2" spans="2:4" x14ac:dyDescent="0.25">
      <c r="B2" s="68" t="s">
        <v>2036</v>
      </c>
      <c r="C2" t="s">
        <v>3</v>
      </c>
    </row>
    <row r="3" spans="2:4" ht="18" customHeight="1" x14ac:dyDescent="0.25">
      <c r="B3" s="47" t="s">
        <v>423</v>
      </c>
    </row>
    <row r="4" spans="2:4" x14ac:dyDescent="0.25">
      <c r="B4" t="s">
        <v>1077</v>
      </c>
      <c r="C4" s="1180" t="s">
        <v>1561</v>
      </c>
      <c r="D4" t="s">
        <v>1709</v>
      </c>
    </row>
    <row r="5" spans="2:4" x14ac:dyDescent="0.25">
      <c r="B5" t="s">
        <v>1146</v>
      </c>
      <c r="C5" s="1180" t="s">
        <v>2019</v>
      </c>
      <c r="D5" t="s">
        <v>1852</v>
      </c>
    </row>
    <row r="6" spans="2:4" x14ac:dyDescent="0.25">
      <c r="B6" t="s">
        <v>2020</v>
      </c>
      <c r="C6" s="1181">
        <f>'S2.3.2 Depoly_imp'!E81-'S2.3.2 Depoly_imp'!E121</f>
        <v>0.20999696249345923</v>
      </c>
      <c r="D6" t="s">
        <v>1853</v>
      </c>
    </row>
    <row r="7" spans="2:4" x14ac:dyDescent="0.25">
      <c r="B7" t="s">
        <v>1854</v>
      </c>
      <c r="D7" t="s">
        <v>1564</v>
      </c>
    </row>
    <row r="8" spans="2:4" x14ac:dyDescent="0.25">
      <c r="B8" s="68" t="s">
        <v>2021</v>
      </c>
      <c r="C8" s="471">
        <f>C6*'S2.5 energy supply scenarios'!B16</f>
        <v>1.6065892542478314E-2</v>
      </c>
    </row>
    <row r="9" spans="2:4" x14ac:dyDescent="0.25">
      <c r="B9" s="68" t="s">
        <v>2022</v>
      </c>
      <c r="C9" s="471">
        <f>C6*'S2.5 energy supply scenarios'!B40</f>
        <v>1.3198642509798407E-2</v>
      </c>
    </row>
    <row r="10" spans="2:4" ht="21" customHeight="1" x14ac:dyDescent="0.25">
      <c r="B10" s="47" t="s">
        <v>422</v>
      </c>
    </row>
    <row r="11" spans="2:4" x14ac:dyDescent="0.25">
      <c r="B11" t="s">
        <v>2023</v>
      </c>
      <c r="C11">
        <v>0.46400000000000002</v>
      </c>
      <c r="D11" t="s">
        <v>1709</v>
      </c>
    </row>
    <row r="12" spans="2:4" x14ac:dyDescent="0.25">
      <c r="B12" s="400" t="s">
        <v>2017</v>
      </c>
      <c r="C12" s="472">
        <f>C11*'S2.5 energy supply scenarios'!B21</f>
        <v>0.19270290643200003</v>
      </c>
    </row>
    <row r="13" spans="2:4" x14ac:dyDescent="0.25">
      <c r="B13" s="400" t="s">
        <v>2018</v>
      </c>
      <c r="C13" s="472">
        <f>C11*'S2.5 energy supply scenarios'!B43</f>
        <v>2.828824260253333E-2</v>
      </c>
    </row>
    <row r="14" spans="2:4" x14ac:dyDescent="0.25">
      <c r="B14" s="469" t="s">
        <v>2024</v>
      </c>
      <c r="C14" s="26">
        <f>C23</f>
        <v>8.5909140239999987E-2</v>
      </c>
      <c r="D14" t="s">
        <v>2027</v>
      </c>
    </row>
    <row r="15" spans="2:4" x14ac:dyDescent="0.25">
      <c r="B15" s="469" t="s">
        <v>2025</v>
      </c>
      <c r="C15" s="26">
        <f>C24</f>
        <v>7.0577095381031629E-2</v>
      </c>
      <c r="D15" t="s">
        <v>2027</v>
      </c>
    </row>
    <row r="16" spans="2:4" x14ac:dyDescent="0.25">
      <c r="B16" s="470" t="s">
        <v>2021</v>
      </c>
      <c r="C16" s="383">
        <f>C12+C14</f>
        <v>0.27861204667200001</v>
      </c>
    </row>
    <row r="17" spans="2:8" x14ac:dyDescent="0.25">
      <c r="B17" s="470" t="s">
        <v>2022</v>
      </c>
      <c r="C17" s="383">
        <f>C13+C15</f>
        <v>9.8865337983564963E-2</v>
      </c>
    </row>
    <row r="18" spans="2:8" ht="22.9" customHeight="1" x14ac:dyDescent="0.25">
      <c r="B18" s="47" t="s">
        <v>421</v>
      </c>
      <c r="C18" s="467"/>
      <c r="F18" s="468"/>
    </row>
    <row r="19" spans="2:8" x14ac:dyDescent="0.25">
      <c r="B19" t="s">
        <v>2026</v>
      </c>
      <c r="C19" s="30">
        <f>816/1000</f>
        <v>0.81599999999999995</v>
      </c>
      <c r="D19" t="s">
        <v>2027</v>
      </c>
      <c r="F19" s="468"/>
    </row>
    <row r="20" spans="2:8" x14ac:dyDescent="0.25">
      <c r="B20" s="469" t="s">
        <v>2029</v>
      </c>
      <c r="C20" s="30">
        <f>1.47*2.75</f>
        <v>4.0424999999999995</v>
      </c>
      <c r="D20" t="s">
        <v>2028</v>
      </c>
    </row>
    <row r="21" spans="2:8" x14ac:dyDescent="0.25">
      <c r="B21" s="469" t="s">
        <v>2030</v>
      </c>
      <c r="C21" s="26">
        <f>C19*'S2.5 energy supply scenarios'!B21</f>
        <v>0.338891318208</v>
      </c>
    </row>
    <row r="22" spans="2:8" x14ac:dyDescent="0.25">
      <c r="B22" s="469" t="s">
        <v>2031</v>
      </c>
      <c r="C22" s="26">
        <f>C19*'S2.5 energy supply scenarios'!B43</f>
        <v>4.9748288714799992E-2</v>
      </c>
    </row>
    <row r="23" spans="2:8" x14ac:dyDescent="0.25">
      <c r="B23" s="469" t="s">
        <v>2024</v>
      </c>
      <c r="C23" s="26">
        <f>C20/3.6*'S2.5 energy supply scenarios'!B16</f>
        <v>8.5909140239999987E-2</v>
      </c>
    </row>
    <row r="24" spans="2:8" x14ac:dyDescent="0.25">
      <c r="B24" s="469" t="s">
        <v>2025</v>
      </c>
      <c r="C24" s="26">
        <f>C20/3.6*'S2.5 energy supply scenarios'!B40</f>
        <v>7.0577095381031629E-2</v>
      </c>
    </row>
    <row r="25" spans="2:8" x14ac:dyDescent="0.25">
      <c r="B25" s="470" t="s">
        <v>2021</v>
      </c>
      <c r="C25" s="383">
        <f>SUM(C21,C23)</f>
        <v>0.42480045844799996</v>
      </c>
    </row>
    <row r="26" spans="2:8" x14ac:dyDescent="0.25">
      <c r="B26" s="470" t="s">
        <v>2022</v>
      </c>
      <c r="C26" s="383">
        <f>SUM(C22,C24)</f>
        <v>0.12032538409583163</v>
      </c>
    </row>
    <row r="27" spans="2:8" ht="27" customHeight="1" x14ac:dyDescent="0.25"/>
    <row r="28" spans="2:8" x14ac:dyDescent="0.25">
      <c r="B28" s="68" t="s">
        <v>1145</v>
      </c>
    </row>
    <row r="29" spans="2:8" x14ac:dyDescent="0.25">
      <c r="B29" t="s">
        <v>2032</v>
      </c>
      <c r="C29">
        <f>SUM(C32,C33)</f>
        <v>1.4999999999999999E-2</v>
      </c>
      <c r="H29" t="s">
        <v>3</v>
      </c>
    </row>
    <row r="30" spans="2:8" x14ac:dyDescent="0.25">
      <c r="B30" t="s">
        <v>2033</v>
      </c>
      <c r="C30" s="26">
        <v>6.0284882</v>
      </c>
      <c r="D30" t="s">
        <v>1855</v>
      </c>
    </row>
    <row r="31" spans="2:8" x14ac:dyDescent="0.25">
      <c r="B31" t="s">
        <v>1562</v>
      </c>
      <c r="C31" s="26">
        <v>2.5258194999999999</v>
      </c>
      <c r="D31" t="s">
        <v>2027</v>
      </c>
    </row>
    <row r="32" spans="2:8" x14ac:dyDescent="0.25">
      <c r="B32" t="s">
        <v>1557</v>
      </c>
      <c r="C32">
        <f>5/1000</f>
        <v>5.0000000000000001E-3</v>
      </c>
      <c r="D32" t="s">
        <v>1848</v>
      </c>
      <c r="E32" s="134"/>
    </row>
    <row r="33" spans="2:5" x14ac:dyDescent="0.25">
      <c r="B33" t="s">
        <v>1558</v>
      </c>
      <c r="C33">
        <f>10/1000</f>
        <v>0.01</v>
      </c>
      <c r="D33" t="s">
        <v>1848</v>
      </c>
    </row>
    <row r="34" spans="2:5" x14ac:dyDescent="0.25">
      <c r="C34" t="s">
        <v>1147</v>
      </c>
      <c r="D34" t="s">
        <v>1148</v>
      </c>
    </row>
    <row r="35" spans="2:5" x14ac:dyDescent="0.25">
      <c r="B35" s="473" t="s">
        <v>1902</v>
      </c>
      <c r="C35" s="383">
        <f>SUM(C32,C33)*C31</f>
        <v>3.7887292499999996E-2</v>
      </c>
      <c r="D35" s="1502" t="s">
        <v>1856</v>
      </c>
    </row>
    <row r="36" spans="2:5" x14ac:dyDescent="0.25">
      <c r="B36" s="473" t="s">
        <v>1563</v>
      </c>
      <c r="C36" s="383">
        <f>SUM(C32,C33)*C30</f>
        <v>9.042732299999999E-2</v>
      </c>
      <c r="D36" s="1502"/>
    </row>
    <row r="37" spans="2:5" ht="35.65" customHeight="1" x14ac:dyDescent="0.25">
      <c r="B37" s="134"/>
      <c r="C37" s="26"/>
    </row>
    <row r="38" spans="2:5" x14ac:dyDescent="0.25">
      <c r="B38" s="473" t="s">
        <v>2034</v>
      </c>
      <c r="C38" s="383">
        <f>'S2.3.2 Depoly_imp'!C133</f>
        <v>9.9673917120000014E-3</v>
      </c>
    </row>
    <row r="39" spans="2:5" x14ac:dyDescent="0.25">
      <c r="B39" s="473" t="s">
        <v>2035</v>
      </c>
      <c r="C39" s="383">
        <f>'S2.3.2 Depoly_imp'!C134</f>
        <v>1.4631849621999998E-3</v>
      </c>
    </row>
    <row r="40" spans="2:5" ht="28.5" customHeight="1" x14ac:dyDescent="0.25">
      <c r="B40" s="134"/>
      <c r="C40" s="26"/>
    </row>
    <row r="41" spans="2:5" x14ac:dyDescent="0.25">
      <c r="B41" s="134" t="s">
        <v>2037</v>
      </c>
      <c r="C41">
        <f>5/1000</f>
        <v>5.0000000000000001E-3</v>
      </c>
      <c r="D41" t="s">
        <v>1564</v>
      </c>
    </row>
    <row r="42" spans="2:5" x14ac:dyDescent="0.25">
      <c r="B42" s="400" t="s">
        <v>1559</v>
      </c>
      <c r="D42" t="s">
        <v>1849</v>
      </c>
    </row>
    <row r="44" spans="2:5" ht="18.75" x14ac:dyDescent="0.3">
      <c r="B44" s="475" t="s">
        <v>68</v>
      </c>
      <c r="C44" s="246"/>
      <c r="D44" s="246"/>
    </row>
    <row r="45" spans="2:5" x14ac:dyDescent="0.25">
      <c r="B45" s="458"/>
      <c r="C45" s="458" t="s">
        <v>2017</v>
      </c>
      <c r="D45" s="458" t="s">
        <v>2018</v>
      </c>
      <c r="E45" t="s">
        <v>3</v>
      </c>
    </row>
    <row r="46" spans="2:5" x14ac:dyDescent="0.25">
      <c r="B46" s="458" t="s">
        <v>412</v>
      </c>
      <c r="C46" s="474">
        <f>SUM(C8,C35,$C$38)</f>
        <v>6.392057675447832E-2</v>
      </c>
      <c r="D46" s="474">
        <f>SUM(C9,C35,$C$39)</f>
        <v>5.2549119971998404E-2</v>
      </c>
    </row>
    <row r="47" spans="2:5" x14ac:dyDescent="0.25">
      <c r="B47" s="458" t="s">
        <v>422</v>
      </c>
      <c r="C47" s="474">
        <f>SUM(C16,C35,$C$38)</f>
        <v>0.32646673088400002</v>
      </c>
      <c r="D47" s="474">
        <f>SUM(C17,C35,$C$39)</f>
        <v>0.13821581544576494</v>
      </c>
    </row>
    <row r="48" spans="2:5" x14ac:dyDescent="0.25">
      <c r="B48" s="458" t="s">
        <v>416</v>
      </c>
      <c r="C48" s="474">
        <f>SUM(C25,C36,$C$38)</f>
        <v>0.52519517315999997</v>
      </c>
      <c r="D48" s="474">
        <f>SUM(C26,C36,$C$39)</f>
        <v>0.2122158920580316</v>
      </c>
    </row>
  </sheetData>
  <mergeCells count="1">
    <mergeCell ref="D35:D36"/>
  </mergeCells>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27187-2565-4EBC-AC81-8D60214CAD2A}">
  <sheetPr>
    <tabColor rgb="FF663300"/>
  </sheetPr>
  <dimension ref="B2:O31"/>
  <sheetViews>
    <sheetView zoomScale="65" workbookViewId="0">
      <selection activeCell="B31" sqref="B31:D31"/>
    </sheetView>
  </sheetViews>
  <sheetFormatPr defaultRowHeight="15" x14ac:dyDescent="0.25"/>
  <cols>
    <col min="1" max="1" width="2.85546875" customWidth="1"/>
  </cols>
  <sheetData>
    <row r="2" spans="2:14" ht="23.25" x14ac:dyDescent="0.35">
      <c r="B2" s="347" t="s">
        <v>12</v>
      </c>
    </row>
    <row r="3" spans="2:14" ht="23.25" x14ac:dyDescent="0.35">
      <c r="B3" s="348" t="s">
        <v>1370</v>
      </c>
    </row>
    <row r="5" spans="2:14" ht="27" customHeight="1" x14ac:dyDescent="0.25">
      <c r="B5" s="407" t="s">
        <v>1371</v>
      </c>
    </row>
    <row r="6" spans="2:14" x14ac:dyDescent="0.25">
      <c r="B6">
        <v>1.0149999999999999</v>
      </c>
      <c r="C6" t="s">
        <v>1584</v>
      </c>
    </row>
    <row r="7" spans="2:14" ht="270.75" customHeight="1" x14ac:dyDescent="0.25">
      <c r="B7" s="1514" t="str">
        <f>'S2.9 overview inventory '!P183</f>
        <v>amount of plastic in product corresponds to plastic input amount, as no reaction takes place; total product amount is, however, slightly higher, as solvent cannot be fully recovered (product amount besides plastics corresponds to solvent make-up); as solvent make-up goes to large part into polymer (up to 90%; Cardamone et al., 2022), assumed that yield shares from literature apply to total product amount, i.e. refer to polymer with included solvent; the solvent within the plastic product might, however, be lost at product manufacturing, meaning that the given credits (assuming that the plastic product consists of 100% plastic) are slightly too high, but due to the minor extent this is negligible</v>
      </c>
      <c r="C7" s="1514"/>
      <c r="D7" s="1514"/>
      <c r="E7" s="1514"/>
    </row>
    <row r="8" spans="2:14" ht="27" customHeight="1" x14ac:dyDescent="0.25">
      <c r="B8" s="407" t="s">
        <v>1372</v>
      </c>
    </row>
    <row r="9" spans="2:14" ht="27" customHeight="1" x14ac:dyDescent="0.25">
      <c r="B9" s="407"/>
      <c r="C9" t="s">
        <v>423</v>
      </c>
      <c r="D9" t="s">
        <v>422</v>
      </c>
      <c r="E9" t="s">
        <v>421</v>
      </c>
    </row>
    <row r="10" spans="2:14" x14ac:dyDescent="0.25">
      <c r="B10" s="273" t="s">
        <v>1585</v>
      </c>
      <c r="C10" s="415">
        <f>D10-(E10-D10)</f>
        <v>0.83000000000000007</v>
      </c>
      <c r="D10" s="416">
        <v>0.9</v>
      </c>
      <c r="E10" s="417">
        <v>0.97</v>
      </c>
      <c r="F10" s="19"/>
      <c r="G10" s="19"/>
      <c r="H10" s="19"/>
      <c r="I10" s="19"/>
    </row>
    <row r="11" spans="2:14" x14ac:dyDescent="0.25">
      <c r="B11" s="379" t="s">
        <v>1373</v>
      </c>
      <c r="C11" s="409">
        <f>1-C10-C12</f>
        <v>0.14499999999999993</v>
      </c>
      <c r="D11" s="410">
        <f>1-D10-D12</f>
        <v>7.4999999999999983E-2</v>
      </c>
      <c r="E11" s="411">
        <f>1-E10-E12</f>
        <v>5.0000000000000253E-3</v>
      </c>
      <c r="F11" s="19"/>
      <c r="G11" s="19"/>
      <c r="H11" s="19"/>
      <c r="I11" s="19"/>
    </row>
    <row r="12" spans="2:14" x14ac:dyDescent="0.25">
      <c r="B12" s="408" t="s">
        <v>1374</v>
      </c>
      <c r="C12" s="412">
        <v>2.5000000000000001E-2</v>
      </c>
      <c r="D12" s="413">
        <v>2.5000000000000001E-2</v>
      </c>
      <c r="E12" s="414">
        <v>2.5000000000000001E-2</v>
      </c>
      <c r="F12" s="19"/>
      <c r="G12" s="19"/>
      <c r="H12" s="19"/>
      <c r="I12" s="19"/>
    </row>
    <row r="13" spans="2:14" ht="149.25" customHeight="1" x14ac:dyDescent="0.25">
      <c r="B13" s="1505" t="str">
        <f>'S2.9 overview inventory '!P184</f>
        <v>target product yield: intermediate efficiency from Schwarz et al. (2021), high efficiency from Cardamone et al. (2022), low efficiency assumed same distance to intermediate efficiency as high efficiency;
solid residue: assumed to be constituted by additives and undissolved plastic pieces, same value as for depolymerization assumed;
liquid residue: rest</v>
      </c>
      <c r="C13" s="1505"/>
      <c r="D13" s="1505"/>
      <c r="E13" s="1505"/>
      <c r="F13" s="19"/>
      <c r="G13" s="19"/>
      <c r="H13" s="19"/>
      <c r="I13" s="19"/>
    </row>
    <row r="14" spans="2:14" ht="27" customHeight="1" x14ac:dyDescent="0.3">
      <c r="B14" s="407" t="s">
        <v>1375</v>
      </c>
      <c r="C14" s="406"/>
      <c r="E14" s="351"/>
      <c r="F14" s="350"/>
      <c r="G14" s="351"/>
      <c r="H14" s="350"/>
    </row>
    <row r="15" spans="2:14" ht="27" customHeight="1" x14ac:dyDescent="0.25">
      <c r="B15" s="407"/>
      <c r="C15" s="351" t="s">
        <v>1147</v>
      </c>
      <c r="D15" s="351" t="s">
        <v>1148</v>
      </c>
      <c r="E15" s="351"/>
      <c r="G15" s="351"/>
      <c r="H15" s="350"/>
    </row>
    <row r="16" spans="2:14" x14ac:dyDescent="0.25">
      <c r="B16" s="405" t="s">
        <v>17</v>
      </c>
      <c r="C16" s="404">
        <f>'S2.6 energy demand chemicals'!N33</f>
        <v>1.5180813442164154</v>
      </c>
      <c r="D16" s="429">
        <f>'S2.6 energy demand chemicals'!T33</f>
        <v>1.0386738482069082</v>
      </c>
      <c r="E16" s="1535"/>
      <c r="L16" s="402"/>
      <c r="M16" s="403"/>
      <c r="N16" s="402"/>
    </row>
    <row r="17" spans="2:15" x14ac:dyDescent="0.25">
      <c r="B17" s="405" t="s">
        <v>19</v>
      </c>
      <c r="C17" s="404">
        <f>'S2.6 energy demand chemicals'!N34</f>
        <v>1.5066210471281472</v>
      </c>
      <c r="D17" s="429">
        <f>'S2.6 energy demand chemicals'!T34</f>
        <v>1.0537694402619637</v>
      </c>
      <c r="E17" s="1535"/>
      <c r="L17" s="402"/>
      <c r="M17" s="403"/>
      <c r="N17" s="402"/>
    </row>
    <row r="18" spans="2:15" x14ac:dyDescent="0.25">
      <c r="B18" s="405" t="s">
        <v>20</v>
      </c>
      <c r="C18" s="404">
        <f>'S2.6 energy demand chemicals'!N35</f>
        <v>2.6441252251817176</v>
      </c>
      <c r="D18" s="429">
        <f>'S2.6 energy demand chemicals'!T35</f>
        <v>1.493775913418053</v>
      </c>
      <c r="E18" s="1535"/>
      <c r="L18" s="402"/>
      <c r="M18" s="403"/>
      <c r="N18" s="402"/>
    </row>
    <row r="19" spans="2:15" x14ac:dyDescent="0.25">
      <c r="B19" s="405" t="s">
        <v>21</v>
      </c>
      <c r="C19" s="404">
        <f>'S2.6 energy demand chemicals'!N36</f>
        <v>1.4207056095177069</v>
      </c>
      <c r="D19" s="429">
        <f>'S2.6 energy demand chemicals'!T36</f>
        <v>1.0426819379805783</v>
      </c>
      <c r="E19" s="1535"/>
      <c r="L19" s="402"/>
      <c r="M19" s="403"/>
      <c r="N19" s="402"/>
    </row>
    <row r="20" spans="2:15" x14ac:dyDescent="0.25">
      <c r="B20" s="405" t="s">
        <v>22</v>
      </c>
      <c r="C20" s="404">
        <f>AVERAGE('S2.6 energy demand chemicals'!N37,'S2.6 energy demand chemicals'!N38)</f>
        <v>1.746038136054207</v>
      </c>
      <c r="D20" s="429">
        <f>AVERAGE('S2.6 energy demand chemicals'!T37,'S2.6 energy demand chemicals'!T38)</f>
        <v>1.4304745638744865</v>
      </c>
      <c r="E20" s="1535"/>
      <c r="L20" s="402"/>
      <c r="M20" s="403"/>
      <c r="N20" s="402"/>
    </row>
    <row r="21" spans="2:15" x14ac:dyDescent="0.25">
      <c r="B21" s="405" t="s">
        <v>23</v>
      </c>
      <c r="C21" s="404">
        <f>'S2.6 energy demand chemicals'!N39</f>
        <v>2.8491978238145839</v>
      </c>
      <c r="D21" s="429">
        <f>'S2.6 energy demand chemicals'!T39</f>
        <v>1.3867102258161399</v>
      </c>
      <c r="E21" s="1535"/>
      <c r="L21" s="402"/>
      <c r="M21" s="403"/>
      <c r="N21" s="402"/>
    </row>
    <row r="22" spans="2:15" x14ac:dyDescent="0.25">
      <c r="B22" s="405" t="s">
        <v>24</v>
      </c>
      <c r="C22" s="404">
        <f>'S2.6 energy demand chemicals'!N40</f>
        <v>2.3114772077306829</v>
      </c>
      <c r="D22" s="429">
        <f>'S2.6 energy demand chemicals'!T40</f>
        <v>1.7475855533552012</v>
      </c>
      <c r="E22" s="1535"/>
      <c r="L22" s="402"/>
      <c r="M22" s="403"/>
      <c r="N22" s="402"/>
    </row>
    <row r="23" spans="2:15" x14ac:dyDescent="0.25">
      <c r="B23" s="405" t="s">
        <v>25</v>
      </c>
      <c r="C23" s="404">
        <f>'S2.6 energy demand chemicals'!N41</f>
        <v>1.8297344696930697</v>
      </c>
      <c r="D23" s="429">
        <f>'S2.6 energy demand chemicals'!T41</f>
        <v>1.5189243577218998</v>
      </c>
      <c r="E23" s="1535"/>
      <c r="L23" s="402"/>
      <c r="M23" s="403"/>
      <c r="N23" s="402"/>
    </row>
    <row r="24" spans="2:15" x14ac:dyDescent="0.25">
      <c r="B24" s="405" t="s">
        <v>26</v>
      </c>
      <c r="C24" s="404">
        <f>'S2.6 energy demand chemicals'!N42</f>
        <v>6.3310607293844203</v>
      </c>
      <c r="D24" s="429">
        <f>'S2.6 energy demand chemicals'!T42</f>
        <v>4.4399163701389446</v>
      </c>
      <c r="E24" s="1535"/>
      <c r="L24" s="402"/>
      <c r="M24" s="403"/>
      <c r="N24" s="402"/>
    </row>
    <row r="25" spans="2:15" x14ac:dyDescent="0.25">
      <c r="B25" s="405" t="s">
        <v>27</v>
      </c>
      <c r="C25" s="404">
        <f>'S2.6 energy demand chemicals'!N43</f>
        <v>6.4148564488748638</v>
      </c>
      <c r="D25" s="429">
        <f>'S2.6 energy demand chemicals'!T43</f>
        <v>3.3766323748921176</v>
      </c>
      <c r="E25" s="1535"/>
      <c r="L25" s="402"/>
      <c r="M25" s="403"/>
      <c r="N25" s="402"/>
    </row>
    <row r="26" spans="2:15" ht="27" customHeight="1" x14ac:dyDescent="0.3">
      <c r="B26" s="354" t="s">
        <v>1379</v>
      </c>
      <c r="C26" s="355"/>
      <c r="D26" s="350"/>
      <c r="E26" s="351"/>
      <c r="F26" s="350"/>
      <c r="G26" s="351"/>
      <c r="H26" s="428"/>
      <c r="I26" s="19"/>
      <c r="J26" s="19"/>
      <c r="K26" s="19"/>
      <c r="L26" s="19"/>
      <c r="M26" s="19"/>
      <c r="N26" s="19"/>
      <c r="O26" s="19"/>
    </row>
    <row r="27" spans="2:15" x14ac:dyDescent="0.25">
      <c r="B27" s="1512" t="s">
        <v>1373</v>
      </c>
      <c r="C27" s="51" t="s">
        <v>1147</v>
      </c>
      <c r="D27" s="453">
        <f>'S2.3.3 Depoly_cred'!D39</f>
        <v>0.46142804650279923</v>
      </c>
    </row>
    <row r="28" spans="2:15" x14ac:dyDescent="0.25">
      <c r="B28" s="1537"/>
      <c r="C28" s="944" t="s">
        <v>1148</v>
      </c>
      <c r="D28" s="453">
        <f>'S2.3.3 Depoly_cred'!D40</f>
        <v>-2.4761830453137383</v>
      </c>
    </row>
    <row r="29" spans="2:15" x14ac:dyDescent="0.25">
      <c r="B29" s="1512" t="s">
        <v>1374</v>
      </c>
      <c r="C29" s="51" t="s">
        <v>1147</v>
      </c>
      <c r="D29" s="453">
        <f>'S2.3.3 Depoly_cred'!D41</f>
        <v>-1.2910463011818367</v>
      </c>
    </row>
    <row r="30" spans="2:15" x14ac:dyDescent="0.25">
      <c r="B30" s="1537"/>
      <c r="C30" s="944" t="s">
        <v>1148</v>
      </c>
      <c r="D30" s="453">
        <f>'S2.3.3 Depoly_cred'!D42</f>
        <v>-2.3122046051290681</v>
      </c>
    </row>
    <row r="31" spans="2:15" ht="35.25" customHeight="1" x14ac:dyDescent="0.25">
      <c r="B31" s="1536" t="s">
        <v>1857</v>
      </c>
      <c r="C31" s="1536"/>
      <c r="D31" s="1536"/>
    </row>
  </sheetData>
  <mergeCells count="6">
    <mergeCell ref="B7:E7"/>
    <mergeCell ref="B13:E13"/>
    <mergeCell ref="E16:E25"/>
    <mergeCell ref="B31:D31"/>
    <mergeCell ref="B29:B30"/>
    <mergeCell ref="B27:B28"/>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CE62E-9A84-4645-8B72-F98A712637A4}">
  <sheetPr>
    <tabColor rgb="FFC46200"/>
  </sheetPr>
  <dimension ref="A1:AE41"/>
  <sheetViews>
    <sheetView zoomScale="55" zoomScaleNormal="55" workbookViewId="0">
      <selection activeCell="L39" sqref="L39"/>
    </sheetView>
  </sheetViews>
  <sheetFormatPr defaultRowHeight="15" x14ac:dyDescent="0.25"/>
  <cols>
    <col min="1" max="1" width="21.28515625" customWidth="1"/>
  </cols>
  <sheetData>
    <row r="1" spans="1:31" ht="18.75" x14ac:dyDescent="0.3">
      <c r="A1" s="399" t="s">
        <v>1080</v>
      </c>
    </row>
    <row r="2" spans="1:31" ht="15" customHeight="1" thickBot="1" x14ac:dyDescent="0.35">
      <c r="A2" s="399"/>
      <c r="B2" s="1521" t="s">
        <v>1147</v>
      </c>
      <c r="C2" s="1521"/>
      <c r="D2" s="1521"/>
      <c r="E2" s="1521"/>
      <c r="F2" s="1521"/>
      <c r="G2" s="1521"/>
      <c r="H2" s="1521"/>
      <c r="I2" s="1521"/>
      <c r="J2" s="1521"/>
      <c r="K2" s="1521"/>
      <c r="L2" s="1521"/>
      <c r="M2" s="1521"/>
      <c r="N2" s="1521"/>
      <c r="O2" s="1521"/>
      <c r="P2" s="1521"/>
      <c r="Q2" s="1521"/>
      <c r="R2" s="1521"/>
      <c r="S2" s="1521"/>
      <c r="T2" s="1521"/>
      <c r="U2" s="1521"/>
      <c r="V2" s="1521"/>
      <c r="W2" s="1521"/>
      <c r="X2" s="1521"/>
      <c r="Y2" s="1521"/>
      <c r="Z2" s="1521"/>
      <c r="AA2" s="1521"/>
      <c r="AB2" s="1521"/>
      <c r="AC2" s="1521"/>
      <c r="AD2" s="1521"/>
      <c r="AE2" s="1521"/>
    </row>
    <row r="3" spans="1:31" x14ac:dyDescent="0.25">
      <c r="B3" s="1538" t="s">
        <v>17</v>
      </c>
      <c r="C3" s="1539"/>
      <c r="D3" s="1539"/>
      <c r="E3" s="1538" t="s">
        <v>19</v>
      </c>
      <c r="F3" s="1539"/>
      <c r="G3" s="1539"/>
      <c r="H3" s="1538" t="s">
        <v>20</v>
      </c>
      <c r="I3" s="1539"/>
      <c r="J3" s="1539"/>
      <c r="K3" s="1538" t="s">
        <v>21</v>
      </c>
      <c r="L3" s="1539"/>
      <c r="M3" s="1539"/>
      <c r="N3" s="1538" t="s">
        <v>22</v>
      </c>
      <c r="O3" s="1539"/>
      <c r="P3" s="1539"/>
      <c r="Q3" s="1538" t="s">
        <v>23</v>
      </c>
      <c r="R3" s="1539"/>
      <c r="S3" s="1539"/>
      <c r="T3" s="1538" t="s">
        <v>24</v>
      </c>
      <c r="U3" s="1539"/>
      <c r="V3" s="1539"/>
      <c r="W3" s="1538" t="s">
        <v>25</v>
      </c>
      <c r="X3" s="1539"/>
      <c r="Y3" s="1539"/>
      <c r="Z3" s="1538" t="s">
        <v>26</v>
      </c>
      <c r="AA3" s="1539"/>
      <c r="AB3" s="1539"/>
      <c r="AC3" s="1538" t="s">
        <v>27</v>
      </c>
      <c r="AD3" s="1539"/>
      <c r="AE3" s="1540"/>
    </row>
    <row r="4" spans="1:31" ht="15.75" thickBot="1" x14ac:dyDescent="0.3">
      <c r="B4" s="128" t="s">
        <v>422</v>
      </c>
      <c r="C4" s="1518" t="s">
        <v>1380</v>
      </c>
      <c r="D4" s="1518"/>
      <c r="E4" s="128" t="s">
        <v>422</v>
      </c>
      <c r="F4" s="1518" t="s">
        <v>1380</v>
      </c>
      <c r="G4" s="1518"/>
      <c r="H4" s="128" t="s">
        <v>422</v>
      </c>
      <c r="I4" s="1518" t="s">
        <v>1380</v>
      </c>
      <c r="J4" s="1518"/>
      <c r="K4" s="128" t="s">
        <v>422</v>
      </c>
      <c r="L4" s="1518" t="s">
        <v>1380</v>
      </c>
      <c r="M4" s="1518"/>
      <c r="N4" s="128" t="s">
        <v>422</v>
      </c>
      <c r="O4" s="1518" t="s">
        <v>1380</v>
      </c>
      <c r="P4" s="1518"/>
      <c r="Q4" s="128" t="s">
        <v>422</v>
      </c>
      <c r="R4" s="1518" t="s">
        <v>1380</v>
      </c>
      <c r="S4" s="1518"/>
      <c r="T4" s="128" t="s">
        <v>422</v>
      </c>
      <c r="U4" s="1518" t="s">
        <v>1380</v>
      </c>
      <c r="V4" s="1518"/>
      <c r="W4" s="128" t="s">
        <v>422</v>
      </c>
      <c r="X4" s="1518" t="s">
        <v>1380</v>
      </c>
      <c r="Y4" s="1518"/>
      <c r="Z4" s="128" t="s">
        <v>422</v>
      </c>
      <c r="AA4" s="1518" t="s">
        <v>1380</v>
      </c>
      <c r="AB4" s="1518"/>
      <c r="AC4" s="128" t="s">
        <v>422</v>
      </c>
      <c r="AD4" s="1518" t="s">
        <v>1380</v>
      </c>
      <c r="AE4" s="1519"/>
    </row>
    <row r="5" spans="1:31" ht="30" x14ac:dyDescent="0.25">
      <c r="A5" s="356" t="s">
        <v>1381</v>
      </c>
      <c r="B5" s="394" t="s">
        <v>637</v>
      </c>
      <c r="C5" s="395" t="s">
        <v>423</v>
      </c>
      <c r="D5" s="396" t="s">
        <v>421</v>
      </c>
      <c r="E5" s="394" t="s">
        <v>637</v>
      </c>
      <c r="F5" s="395" t="s">
        <v>423</v>
      </c>
      <c r="G5" s="396" t="s">
        <v>421</v>
      </c>
      <c r="H5" s="394" t="s">
        <v>637</v>
      </c>
      <c r="I5" s="395" t="s">
        <v>423</v>
      </c>
      <c r="J5" s="396" t="s">
        <v>421</v>
      </c>
      <c r="K5" s="394" t="s">
        <v>637</v>
      </c>
      <c r="L5" s="395" t="s">
        <v>423</v>
      </c>
      <c r="M5" s="396" t="s">
        <v>421</v>
      </c>
      <c r="N5" s="394" t="s">
        <v>637</v>
      </c>
      <c r="O5" s="395" t="s">
        <v>423</v>
      </c>
      <c r="P5" s="396" t="s">
        <v>421</v>
      </c>
      <c r="Q5" s="394" t="s">
        <v>637</v>
      </c>
      <c r="R5" s="395" t="s">
        <v>423</v>
      </c>
      <c r="S5" s="396" t="s">
        <v>421</v>
      </c>
      <c r="T5" s="394" t="s">
        <v>637</v>
      </c>
      <c r="U5" s="395" t="s">
        <v>423</v>
      </c>
      <c r="V5" s="396" t="s">
        <v>421</v>
      </c>
      <c r="W5" s="394" t="s">
        <v>637</v>
      </c>
      <c r="X5" s="395" t="s">
        <v>423</v>
      </c>
      <c r="Y5" s="396" t="s">
        <v>421</v>
      </c>
      <c r="Z5" s="394" t="s">
        <v>637</v>
      </c>
      <c r="AA5" s="395" t="s">
        <v>423</v>
      </c>
      <c r="AB5" s="396" t="s">
        <v>421</v>
      </c>
      <c r="AC5" s="394" t="s">
        <v>637</v>
      </c>
      <c r="AD5" s="395" t="s">
        <v>423</v>
      </c>
      <c r="AE5" s="625" t="s">
        <v>421</v>
      </c>
    </row>
    <row r="6" spans="1:31" x14ac:dyDescent="0.25">
      <c r="A6" s="357" t="s">
        <v>1382</v>
      </c>
      <c r="B6" s="358" t="s">
        <v>435</v>
      </c>
      <c r="C6" s="388" t="s">
        <v>435</v>
      </c>
      <c r="D6" s="389" t="s">
        <v>435</v>
      </c>
      <c r="E6" s="358" t="s">
        <v>435</v>
      </c>
      <c r="F6" s="388" t="s">
        <v>435</v>
      </c>
      <c r="G6" s="389" t="s">
        <v>435</v>
      </c>
      <c r="H6" s="358" t="s">
        <v>435</v>
      </c>
      <c r="I6" s="388" t="s">
        <v>435</v>
      </c>
      <c r="J6" s="389" t="s">
        <v>435</v>
      </c>
      <c r="K6" s="358" t="s">
        <v>435</v>
      </c>
      <c r="L6" s="388" t="s">
        <v>435</v>
      </c>
      <c r="M6" s="389" t="s">
        <v>435</v>
      </c>
      <c r="N6" s="358" t="s">
        <v>435</v>
      </c>
      <c r="O6" s="388" t="s">
        <v>435</v>
      </c>
      <c r="P6" s="389" t="s">
        <v>435</v>
      </c>
      <c r="Q6" s="358" t="s">
        <v>435</v>
      </c>
      <c r="R6" s="388" t="s">
        <v>435</v>
      </c>
      <c r="S6" s="389" t="s">
        <v>435</v>
      </c>
      <c r="T6" s="358" t="s">
        <v>435</v>
      </c>
      <c r="U6" s="388" t="s">
        <v>435</v>
      </c>
      <c r="V6" s="389" t="s">
        <v>435</v>
      </c>
      <c r="W6" s="358" t="s">
        <v>435</v>
      </c>
      <c r="X6" s="388" t="s">
        <v>435</v>
      </c>
      <c r="Y6" s="389" t="s">
        <v>435</v>
      </c>
      <c r="Z6" s="358" t="s">
        <v>435</v>
      </c>
      <c r="AA6" s="388" t="s">
        <v>435</v>
      </c>
      <c r="AB6" s="389" t="s">
        <v>435</v>
      </c>
      <c r="AC6" s="358" t="s">
        <v>435</v>
      </c>
      <c r="AD6" s="388" t="s">
        <v>435</v>
      </c>
      <c r="AE6" s="626" t="s">
        <v>435</v>
      </c>
    </row>
    <row r="7" spans="1:31" ht="150.75" thickBot="1" x14ac:dyDescent="0.3">
      <c r="A7" s="397" t="s">
        <v>1383</v>
      </c>
      <c r="B7" s="390" t="s">
        <v>1384</v>
      </c>
      <c r="C7" s="391" t="s">
        <v>1384</v>
      </c>
      <c r="D7" s="392" t="s">
        <v>1384</v>
      </c>
      <c r="E7" s="390" t="s">
        <v>1384</v>
      </c>
      <c r="F7" s="391" t="s">
        <v>1384</v>
      </c>
      <c r="G7" s="392" t="s">
        <v>1384</v>
      </c>
      <c r="H7" s="390" t="s">
        <v>1384</v>
      </c>
      <c r="I7" s="391" t="s">
        <v>1384</v>
      </c>
      <c r="J7" s="392" t="s">
        <v>1384</v>
      </c>
      <c r="K7" s="390" t="s">
        <v>1384</v>
      </c>
      <c r="L7" s="391" t="s">
        <v>1384</v>
      </c>
      <c r="M7" s="392" t="s">
        <v>1384</v>
      </c>
      <c r="N7" s="390" t="s">
        <v>1384</v>
      </c>
      <c r="O7" s="391" t="s">
        <v>1384</v>
      </c>
      <c r="P7" s="392" t="s">
        <v>1384</v>
      </c>
      <c r="Q7" s="390" t="s">
        <v>1384</v>
      </c>
      <c r="R7" s="391" t="s">
        <v>1384</v>
      </c>
      <c r="S7" s="392" t="s">
        <v>1384</v>
      </c>
      <c r="T7" s="390" t="s">
        <v>1384</v>
      </c>
      <c r="U7" s="391" t="s">
        <v>1384</v>
      </c>
      <c r="V7" s="392" t="s">
        <v>1384</v>
      </c>
      <c r="W7" s="390" t="s">
        <v>1384</v>
      </c>
      <c r="X7" s="391" t="s">
        <v>1384</v>
      </c>
      <c r="Y7" s="392" t="s">
        <v>1384</v>
      </c>
      <c r="Z7" s="390" t="s">
        <v>1384</v>
      </c>
      <c r="AA7" s="391" t="s">
        <v>1384</v>
      </c>
      <c r="AB7" s="392" t="s">
        <v>1384</v>
      </c>
      <c r="AC7" s="390" t="s">
        <v>1384</v>
      </c>
      <c r="AD7" s="391" t="s">
        <v>1384</v>
      </c>
      <c r="AE7" s="393" t="s">
        <v>1384</v>
      </c>
    </row>
    <row r="8" spans="1:31" ht="19.5" thickBot="1" x14ac:dyDescent="0.35">
      <c r="A8" s="665" t="str">
        <f>'S2.3.4 Depoly_res'!A8</f>
        <v>total credits [kg CO2-eq / kg input]</v>
      </c>
      <c r="B8" s="662">
        <f>'S2.4.2 Dissol_cred'!B6*('S2.4.2 Dissol_cred'!D10*'S2.4.2 Dissol_cred'!C16+'S2.4.2 Dissol_cred'!D11*'S2.4.2 Dissol_cred'!D27+'S2.4.2 Dissol_cred'!D12*'S2.4.2 Dissol_cred'!D29)</f>
        <v>1.389133218089232</v>
      </c>
      <c r="C8" s="663">
        <f>'S2.4.2 Dissol_cred'!B6*('S2.4.2 Dissol_cred'!C10*'S2.4.2 Dissol_cred'!C16+'S2.4.2 Dissol_cred'!C11*'S2.4.2 Dissol_cred'!D27+'S2.4.2 Dissol_cred'!C12*'S2.4.2 Dissol_cred'!D29)</f>
        <v>1.3140580012866796</v>
      </c>
      <c r="D8" s="664">
        <f>'S2.4.2 Dissol_cred'!B6*('S2.4.2 Dissol_cred'!E10*'S2.4.2 Dissol_cred'!C16+'S2.4.2 Dissol_cred'!E11*'S2.4.2 Dissol_cred'!D27+'S2.4.2 Dissol_cred'!E12*'S2.4.2 Dissol_cred'!D29)</f>
        <v>1.4642084348917843</v>
      </c>
      <c r="E8" s="662">
        <f>'S2.4.2 Dissol_cred'!B6*('S2.4.2 Dissol_cred'!D10*'S2.4.2 Dissol_cred'!C17+'S2.4.2 Dissol_cred'!D11*'S2.4.2 Dissol_cred'!D27+'S2.4.2 Dissol_cred'!D12*'S2.4.2 Dissol_cred'!D29)</f>
        <v>1.3786642366990989</v>
      </c>
      <c r="F8" s="663">
        <f>'S2.4.2 Dissol_cred'!B6*('S2.4.2 Dissol_cred'!C10*'S2.4.2 Dissol_cred'!C17+'S2.4.2 Dissol_cred'!C11*'S2.4.2 Dissol_cred'!D27+'S2.4.2 Dissol_cred'!C12*'S2.4.2 Dissol_cred'!D29)</f>
        <v>1.304403274004668</v>
      </c>
      <c r="G8" s="664">
        <f>'S2.4.2 Dissol_cred'!B6*('S2.4.2 Dissol_cred'!E10*'S2.4.2 Dissol_cred'!C17+'S2.4.2 Dissol_cred'!E11*'S2.4.2 Dissol_cred'!D27+'S2.4.2 Dissol_cred'!E12*'S2.4.2 Dissol_cred'!D29)</f>
        <v>1.4529251993935299</v>
      </c>
      <c r="H8" s="662">
        <f>'S2.4.2 Dissol_cred'!B6*('S2.4.2 Dissol_cred'!D10*'S2.4.2 Dissol_cred'!C18+'S2.4.2 Dissol_cred'!D11*'S2.4.2 Dissol_cred'!D27+'S2.4.2 Dissol_cred'!D12*'S2.4.2 Dissol_cred'!D29)</f>
        <v>2.4177743033510355</v>
      </c>
      <c r="I8" s="663">
        <f>'S2.4.2 Dissol_cred'!B6*('S2.4.2 Dissol_cred'!C10*'S2.4.2 Dissol_cred'!C18+'S2.4.2 Dissol_cred'!C11*'S2.4.2 Dissol_cred'!D27+'S2.4.2 Dissol_cred'!C12*'S2.4.2 Dissol_cred'!D29)</f>
        <v>2.2626936688058983</v>
      </c>
      <c r="J8" s="664">
        <f>'S2.4.2 Dissol_cred'!B6*('S2.4.2 Dissol_cred'!E10*'S2.4.2 Dissol_cred'!C18+'S2.4.2 Dissol_cred'!E11*'S2.4.2 Dissol_cred'!D27+'S2.4.2 Dissol_cred'!E12*'S2.4.2 Dissol_cred'!D29)</f>
        <v>2.5728549378961723</v>
      </c>
      <c r="K8" s="662">
        <f>'S2.4.2 Dissol_cred'!B6*('S2.4.2 Dissol_cred'!D10*'S2.4.2 Dissol_cred'!C19+'S2.4.2 Dissol_cred'!D11*'S2.4.2 Dissol_cred'!D27+'S2.4.2 Dissol_cred'!D12*'S2.4.2 Dissol_cred'!D29)</f>
        <v>1.3001804844419618</v>
      </c>
      <c r="L8" s="663">
        <f>'S2.4.2 Dissol_cred'!B6*('S2.4.2 Dissol_cred'!C10*'S2.4.2 Dissol_cred'!C19+'S2.4.2 Dissol_cred'!C11*'S2.4.2 Dissol_cred'!D27+'S2.4.2 Dissol_cred'!C12*'S2.4.2 Dissol_cred'!D29)</f>
        <v>1.2320238135897525</v>
      </c>
      <c r="M8" s="664">
        <f>'S2.4.2 Dissol_cred'!B6*('S2.4.2 Dissol_cred'!E10*'S2.4.2 Dissol_cred'!C19+'S2.4.2 Dissol_cred'!E11*'S2.4.2 Dissol_cred'!D27+'S2.4.2 Dissol_cred'!E12*'S2.4.2 Dissol_cred'!D29)</f>
        <v>1.3683371552941708</v>
      </c>
      <c r="N8" s="662">
        <f>'S2.4.2 Dissol_cred'!B6*('S2.4.2 Dissol_cred'!D10*'S2.4.2 Dissol_cred'!C20+'S2.4.2 Dissol_cred'!D11*'S2.4.2 Dissol_cred'!D27+'S2.4.2 Dissol_cred'!D12*'S2.4.2 Dissol_cred'!D29)</f>
        <v>1.5973717474330547</v>
      </c>
      <c r="O8" s="663">
        <f>'S2.4.2 Dissol_cred'!B6*('S2.4.2 Dissol_cred'!C10*'S2.4.2 Dissol_cred'!C20+'S2.4.2 Dissol_cred'!C11*'S2.4.2 Dissol_cred'!D27+'S2.4.2 Dissol_cred'!C12*'S2.4.2 Dissol_cred'!D29)</f>
        <v>1.5061002005704272</v>
      </c>
      <c r="P8" s="664">
        <f>'S2.4.2 Dissol_cred'!B6*('S2.4.2 Dissol_cred'!E10*'S2.4.2 Dissol_cred'!C20+'S2.4.2 Dissol_cred'!E11*'S2.4.2 Dissol_cred'!D27+'S2.4.2 Dissol_cred'!E12*'S2.4.2 Dissol_cred'!D29)</f>
        <v>1.6886432942956822</v>
      </c>
      <c r="Q8" s="662">
        <f>'S2.4.2 Dissol_cred'!B6*('S2.4.2 Dissol_cred'!D10*'S2.4.2 Dissol_cred'!C21+'S2.4.2 Dissol_cred'!D11*'S2.4.2 Dissol_cred'!D27+'S2.4.2 Dissol_cred'!D12*'S2.4.2 Dissol_cred'!D29)</f>
        <v>2.6051081222021586</v>
      </c>
      <c r="R8" s="663">
        <f>'S2.4.2 Dissol_cred'!B6*('S2.4.2 Dissol_cred'!C10*'S2.4.2 Dissol_cred'!C21+'S2.4.2 Dissol_cred'!C11*'S2.4.2 Dissol_cred'!D27+'S2.4.2 Dissol_cred'!C12*'S2.4.2 Dissol_cred'!D29)</f>
        <v>2.4354570795241566</v>
      </c>
      <c r="S8" s="664">
        <f>'S2.4.2 Dissol_cred'!B6*('S2.4.2 Dissol_cred'!E10*'S2.4.2 Dissol_cred'!C21+'S2.4.2 Dissol_cred'!E11*'S2.4.2 Dissol_cred'!D27+'S2.4.2 Dissol_cred'!E12*'S2.4.2 Dissol_cred'!D29)</f>
        <v>2.7747591648801611</v>
      </c>
      <c r="T8" s="662">
        <f>'S2.4.2 Dissol_cred'!B6*('S2.4.2 Dissol_cred'!D10*'S2.4.2 Dissol_cred'!C22+'S2.4.2 Dissol_cred'!D11*'S2.4.2 Dissol_cred'!D27+'S2.4.2 Dissol_cred'!D12*'S2.4.2 Dissol_cred'!D29)</f>
        <v>2.1139003394095148</v>
      </c>
      <c r="U8" s="663">
        <f>'S2.4.2 Dissol_cred'!B6*('S2.4.2 Dissol_cred'!C10*'S2.4.2 Dissol_cred'!C22+'S2.4.2 Dissol_cred'!C11*'S2.4.2 Dissol_cred'!D27+'S2.4.2 Dissol_cred'!C12*'S2.4.2 Dissol_cred'!D29)</f>
        <v>1.9824543465042743</v>
      </c>
      <c r="V8" s="664">
        <f>'S2.4.2 Dissol_cred'!B6*('S2.4.2 Dissol_cred'!E10*'S2.4.2 Dissol_cred'!C22+'S2.4.2 Dissol_cred'!E11*'S2.4.2 Dissol_cred'!D27+'S2.4.2 Dissol_cred'!E12*'S2.4.2 Dissol_cred'!D29)</f>
        <v>2.2453463323147562</v>
      </c>
      <c r="W8" s="662">
        <f>'S2.4.2 Dissol_cred'!B6*('S2.4.2 Dissol_cred'!D10*'S2.4.2 Dissol_cred'!C23+'S2.4.2 Dissol_cred'!D11*'S2.4.2 Dissol_cred'!D27+'S2.4.2 Dissol_cred'!D12*'S2.4.2 Dissol_cred'!D29)</f>
        <v>1.6738283482121556</v>
      </c>
      <c r="X8" s="663">
        <f>'S2.4.2 Dissol_cred'!B6*('S2.4.2 Dissol_cred'!C10*'S2.4.2 Dissol_cred'!C23+'S2.4.2 Dissol_cred'!C11*'S2.4.2 Dissol_cred'!D27+'S2.4.2 Dissol_cred'!C12*'S2.4.2 Dissol_cred'!D29)</f>
        <v>1.5766101768444871</v>
      </c>
      <c r="Y8" s="664">
        <f>'S2.4.2 Dissol_cred'!B6*('S2.4.2 Dissol_cred'!E10*'S2.4.2 Dissol_cred'!C23+'S2.4.2 Dissol_cred'!E11*'S2.4.2 Dissol_cred'!D27+'S2.4.2 Dissol_cred'!E12*'S2.4.2 Dissol_cred'!D29)</f>
        <v>1.7710465195798244</v>
      </c>
      <c r="Z8" s="662">
        <f>'S2.4.2 Dissol_cred'!B6*('S2.4.2 Dissol_cred'!D10*'S2.4.2 Dissol_cred'!C24+'S2.4.2 Dissol_cred'!D11*'S2.4.2 Dissol_cred'!D27+'S2.4.2 Dissol_cred'!D12*'S2.4.2 Dissol_cred'!D29)</f>
        <v>5.7857898864402042</v>
      </c>
      <c r="AA8" s="663">
        <f>'S2.4.2 Dissol_cred'!B6*('S2.4.2 Dissol_cred'!C10*'S2.4.2 Dissol_cred'!C24+'S2.4.2 Dissol_cred'!C11*'S2.4.2 Dissol_cred'!D27+'S2.4.2 Dissol_cred'!C12*'S2.4.2 Dissol_cred'!D29)</f>
        <v>5.3687524843214645</v>
      </c>
      <c r="AB8" s="664">
        <f>'S2.4.2 Dissol_cred'!B6*('S2.4.2 Dissol_cred'!E10*'S2.4.2 Dissol_cred'!C24+'S2.4.2 Dissol_cred'!E11*'S2.4.2 Dissol_cred'!D27+'S2.4.2 Dissol_cred'!E12*'S2.4.2 Dissol_cred'!D29)</f>
        <v>6.2028272885589422</v>
      </c>
      <c r="AC8" s="662">
        <f>'S2.4.2 Dissol_cred'!B6*('S2.4.2 Dissol_cred'!D10*'S2.4.2 Dissol_cred'!C25+'S2.4.2 Dissol_cred'!D11*'S2.4.2 Dissol_cred'!D27+'S2.4.2 Dissol_cred'!D12*'S2.4.2 Dissol_cred'!D29)</f>
        <v>5.8623372761947241</v>
      </c>
      <c r="AD8" s="663">
        <f>'S2.4.2 Dissol_cred'!B6*('S2.4.2 Dissol_cred'!C10*'S2.4.2 Dissol_cred'!C25+'S2.4.2 Dissol_cred'!C11*'S2.4.2 Dissol_cred'!D27+'S2.4.2 Dissol_cred'!C12*'S2.4.2 Dissol_cred'!D29)</f>
        <v>5.4393461882061889</v>
      </c>
      <c r="AE8" s="664">
        <f>'S2.4.2 Dissol_cred'!B6*('S2.4.2 Dissol_cred'!E10*'S2.4.2 Dissol_cred'!C25+'S2.4.2 Dissol_cred'!E11*'S2.4.2 Dissol_cred'!D27+'S2.4.2 Dissol_cred'!E12*'S2.4.2 Dissol_cred'!D29)</f>
        <v>6.2853283641832576</v>
      </c>
    </row>
    <row r="9" spans="1:31" x14ac:dyDescent="0.25">
      <c r="C9" s="1520">
        <f>D8-C8</f>
        <v>0.15015043360510472</v>
      </c>
      <c r="D9" s="1520"/>
      <c r="F9" s="1520">
        <f>G8-F8</f>
        <v>0.14852192538886189</v>
      </c>
      <c r="G9" s="1520"/>
      <c r="I9" s="1520">
        <f>J8-I8</f>
        <v>0.31016126909027397</v>
      </c>
      <c r="J9" s="1520"/>
      <c r="L9" s="1520">
        <f>M8-L8</f>
        <v>0.13631334170441822</v>
      </c>
      <c r="M9" s="1520"/>
      <c r="O9" s="1520">
        <f>P8-O8</f>
        <v>0.18254309372525501</v>
      </c>
      <c r="P9" s="1520"/>
      <c r="R9" s="1520">
        <f>S8-R8</f>
        <v>0.33930208535600448</v>
      </c>
      <c r="S9" s="1520"/>
      <c r="U9" s="1520">
        <f>V8-U8</f>
        <v>0.2628919858104819</v>
      </c>
      <c r="V9" s="1520"/>
      <c r="X9" s="1520">
        <f>Y8-X8</f>
        <v>0.19443634273533728</v>
      </c>
      <c r="Y9" s="1520"/>
      <c r="AA9" s="1520">
        <f>AB8-AA8</f>
        <v>0.83407480423747771</v>
      </c>
      <c r="AB9" s="1520"/>
      <c r="AD9" s="1520">
        <f>AE8-AD8</f>
        <v>0.84598217597706871</v>
      </c>
      <c r="AE9" s="1520"/>
    </row>
    <row r="11" spans="1:31" ht="19.5" thickBot="1" x14ac:dyDescent="0.35">
      <c r="A11" s="399"/>
      <c r="B11" s="1521" t="s">
        <v>1148</v>
      </c>
      <c r="C11" s="1521"/>
      <c r="D11" s="1521"/>
      <c r="E11" s="1521"/>
      <c r="F11" s="1521"/>
      <c r="G11" s="1521"/>
      <c r="H11" s="1521"/>
      <c r="I11" s="1521"/>
      <c r="J11" s="1521"/>
      <c r="K11" s="1521"/>
      <c r="L11" s="1521"/>
      <c r="M11" s="1521"/>
      <c r="N11" s="1521"/>
      <c r="O11" s="1521"/>
      <c r="P11" s="1521"/>
      <c r="Q11" s="1521"/>
      <c r="R11" s="1521"/>
      <c r="S11" s="1521"/>
      <c r="T11" s="1521"/>
      <c r="U11" s="1521"/>
      <c r="V11" s="1521"/>
      <c r="W11" s="1521"/>
      <c r="X11" s="1521"/>
      <c r="Y11" s="1521"/>
      <c r="Z11" s="1521"/>
      <c r="AA11" s="1521"/>
      <c r="AB11" s="1521"/>
      <c r="AC11" s="1521"/>
      <c r="AD11" s="1521"/>
      <c r="AE11" s="1521"/>
    </row>
    <row r="12" spans="1:31" x14ac:dyDescent="0.25">
      <c r="B12" s="1538" t="s">
        <v>17</v>
      </c>
      <c r="C12" s="1539"/>
      <c r="D12" s="1539"/>
      <c r="E12" s="1538" t="s">
        <v>19</v>
      </c>
      <c r="F12" s="1539"/>
      <c r="G12" s="1539"/>
      <c r="H12" s="1538" t="s">
        <v>20</v>
      </c>
      <c r="I12" s="1539"/>
      <c r="J12" s="1539"/>
      <c r="K12" s="1538" t="s">
        <v>21</v>
      </c>
      <c r="L12" s="1539"/>
      <c r="M12" s="1539"/>
      <c r="N12" s="1538" t="s">
        <v>22</v>
      </c>
      <c r="O12" s="1539"/>
      <c r="P12" s="1539"/>
      <c r="Q12" s="1538" t="s">
        <v>23</v>
      </c>
      <c r="R12" s="1539"/>
      <c r="S12" s="1539"/>
      <c r="T12" s="1538" t="s">
        <v>24</v>
      </c>
      <c r="U12" s="1539"/>
      <c r="V12" s="1539"/>
      <c r="W12" s="1538" t="s">
        <v>25</v>
      </c>
      <c r="X12" s="1539"/>
      <c r="Y12" s="1539"/>
      <c r="Z12" s="1538" t="s">
        <v>26</v>
      </c>
      <c r="AA12" s="1539"/>
      <c r="AB12" s="1539"/>
      <c r="AC12" s="1538" t="s">
        <v>27</v>
      </c>
      <c r="AD12" s="1539"/>
      <c r="AE12" s="1540"/>
    </row>
    <row r="13" spans="1:31" ht="15.75" thickBot="1" x14ac:dyDescent="0.3">
      <c r="B13" s="128" t="s">
        <v>422</v>
      </c>
      <c r="C13" s="1518" t="s">
        <v>1380</v>
      </c>
      <c r="D13" s="1518"/>
      <c r="E13" s="128" t="s">
        <v>422</v>
      </c>
      <c r="F13" s="1518" t="s">
        <v>1380</v>
      </c>
      <c r="G13" s="1518"/>
      <c r="H13" s="128" t="s">
        <v>422</v>
      </c>
      <c r="I13" s="1518" t="s">
        <v>1380</v>
      </c>
      <c r="J13" s="1518"/>
      <c r="K13" s="128" t="s">
        <v>422</v>
      </c>
      <c r="L13" s="1518" t="s">
        <v>1380</v>
      </c>
      <c r="M13" s="1518"/>
      <c r="N13" s="128" t="s">
        <v>422</v>
      </c>
      <c r="O13" s="1518" t="s">
        <v>1380</v>
      </c>
      <c r="P13" s="1518"/>
      <c r="Q13" s="128" t="s">
        <v>422</v>
      </c>
      <c r="R13" s="1518" t="s">
        <v>1380</v>
      </c>
      <c r="S13" s="1518"/>
      <c r="T13" s="128" t="s">
        <v>422</v>
      </c>
      <c r="U13" s="1518" t="s">
        <v>1380</v>
      </c>
      <c r="V13" s="1518"/>
      <c r="W13" s="128" t="s">
        <v>422</v>
      </c>
      <c r="X13" s="1518" t="s">
        <v>1380</v>
      </c>
      <c r="Y13" s="1518"/>
      <c r="Z13" s="128" t="s">
        <v>422</v>
      </c>
      <c r="AA13" s="1518" t="s">
        <v>1380</v>
      </c>
      <c r="AB13" s="1518"/>
      <c r="AC13" s="128" t="s">
        <v>422</v>
      </c>
      <c r="AD13" s="1518" t="s">
        <v>1380</v>
      </c>
      <c r="AE13" s="1519"/>
    </row>
    <row r="14" spans="1:31" ht="30" x14ac:dyDescent="0.25">
      <c r="A14" s="356" t="s">
        <v>1381</v>
      </c>
      <c r="B14" s="394" t="s">
        <v>637</v>
      </c>
      <c r="C14" s="395" t="s">
        <v>423</v>
      </c>
      <c r="D14" s="396" t="s">
        <v>421</v>
      </c>
      <c r="E14" s="394" t="s">
        <v>637</v>
      </c>
      <c r="F14" s="395" t="s">
        <v>423</v>
      </c>
      <c r="G14" s="396" t="s">
        <v>421</v>
      </c>
      <c r="H14" s="394" t="s">
        <v>637</v>
      </c>
      <c r="I14" s="395" t="s">
        <v>423</v>
      </c>
      <c r="J14" s="396" t="s">
        <v>421</v>
      </c>
      <c r="K14" s="394" t="s">
        <v>637</v>
      </c>
      <c r="L14" s="395" t="s">
        <v>423</v>
      </c>
      <c r="M14" s="396" t="s">
        <v>421</v>
      </c>
      <c r="N14" s="394" t="s">
        <v>637</v>
      </c>
      <c r="O14" s="395" t="s">
        <v>423</v>
      </c>
      <c r="P14" s="396" t="s">
        <v>421</v>
      </c>
      <c r="Q14" s="394" t="s">
        <v>637</v>
      </c>
      <c r="R14" s="395" t="s">
        <v>423</v>
      </c>
      <c r="S14" s="396" t="s">
        <v>421</v>
      </c>
      <c r="T14" s="394" t="s">
        <v>637</v>
      </c>
      <c r="U14" s="395" t="s">
        <v>423</v>
      </c>
      <c r="V14" s="396" t="s">
        <v>421</v>
      </c>
      <c r="W14" s="394" t="s">
        <v>637</v>
      </c>
      <c r="X14" s="395" t="s">
        <v>423</v>
      </c>
      <c r="Y14" s="396" t="s">
        <v>421</v>
      </c>
      <c r="Z14" s="394" t="s">
        <v>637</v>
      </c>
      <c r="AA14" s="395" t="s">
        <v>423</v>
      </c>
      <c r="AB14" s="396" t="s">
        <v>421</v>
      </c>
      <c r="AC14" s="394" t="s">
        <v>637</v>
      </c>
      <c r="AD14" s="395" t="s">
        <v>423</v>
      </c>
      <c r="AE14" s="625" t="s">
        <v>421</v>
      </c>
    </row>
    <row r="15" spans="1:31" x14ac:dyDescent="0.25">
      <c r="A15" s="357" t="s">
        <v>1382</v>
      </c>
      <c r="B15" s="358" t="s">
        <v>435</v>
      </c>
      <c r="C15" s="388" t="s">
        <v>435</v>
      </c>
      <c r="D15" s="389" t="s">
        <v>435</v>
      </c>
      <c r="E15" s="358" t="s">
        <v>435</v>
      </c>
      <c r="F15" s="388" t="s">
        <v>435</v>
      </c>
      <c r="G15" s="389" t="s">
        <v>435</v>
      </c>
      <c r="H15" s="358" t="s">
        <v>435</v>
      </c>
      <c r="I15" s="388" t="s">
        <v>435</v>
      </c>
      <c r="J15" s="389" t="s">
        <v>435</v>
      </c>
      <c r="K15" s="358" t="s">
        <v>435</v>
      </c>
      <c r="L15" s="388" t="s">
        <v>435</v>
      </c>
      <c r="M15" s="389" t="s">
        <v>435</v>
      </c>
      <c r="N15" s="358" t="s">
        <v>435</v>
      </c>
      <c r="O15" s="388" t="s">
        <v>435</v>
      </c>
      <c r="P15" s="389" t="s">
        <v>435</v>
      </c>
      <c r="Q15" s="358" t="s">
        <v>435</v>
      </c>
      <c r="R15" s="388" t="s">
        <v>435</v>
      </c>
      <c r="S15" s="389" t="s">
        <v>435</v>
      </c>
      <c r="T15" s="358" t="s">
        <v>435</v>
      </c>
      <c r="U15" s="388" t="s">
        <v>435</v>
      </c>
      <c r="V15" s="389" t="s">
        <v>435</v>
      </c>
      <c r="W15" s="358" t="s">
        <v>435</v>
      </c>
      <c r="X15" s="388" t="s">
        <v>435</v>
      </c>
      <c r="Y15" s="389" t="s">
        <v>435</v>
      </c>
      <c r="Z15" s="358" t="s">
        <v>435</v>
      </c>
      <c r="AA15" s="388" t="s">
        <v>435</v>
      </c>
      <c r="AB15" s="389" t="s">
        <v>435</v>
      </c>
      <c r="AC15" s="358" t="s">
        <v>435</v>
      </c>
      <c r="AD15" s="388" t="s">
        <v>435</v>
      </c>
      <c r="AE15" s="626" t="s">
        <v>435</v>
      </c>
    </row>
    <row r="16" spans="1:31" ht="150.75" thickBot="1" x14ac:dyDescent="0.3">
      <c r="A16" s="397" t="s">
        <v>1383</v>
      </c>
      <c r="B16" s="390" t="s">
        <v>1384</v>
      </c>
      <c r="C16" s="391" t="s">
        <v>1384</v>
      </c>
      <c r="D16" s="392" t="s">
        <v>1384</v>
      </c>
      <c r="E16" s="390" t="s">
        <v>1384</v>
      </c>
      <c r="F16" s="391" t="s">
        <v>1384</v>
      </c>
      <c r="G16" s="392" t="s">
        <v>1384</v>
      </c>
      <c r="H16" s="390" t="s">
        <v>1384</v>
      </c>
      <c r="I16" s="391" t="s">
        <v>1384</v>
      </c>
      <c r="J16" s="392" t="s">
        <v>1384</v>
      </c>
      <c r="K16" s="390" t="s">
        <v>1384</v>
      </c>
      <c r="L16" s="391" t="s">
        <v>1384</v>
      </c>
      <c r="M16" s="392" t="s">
        <v>1384</v>
      </c>
      <c r="N16" s="390" t="s">
        <v>1384</v>
      </c>
      <c r="O16" s="391" t="s">
        <v>1384</v>
      </c>
      <c r="P16" s="392" t="s">
        <v>1384</v>
      </c>
      <c r="Q16" s="390" t="s">
        <v>1384</v>
      </c>
      <c r="R16" s="391" t="s">
        <v>1384</v>
      </c>
      <c r="S16" s="392" t="s">
        <v>1384</v>
      </c>
      <c r="T16" s="390" t="s">
        <v>1384</v>
      </c>
      <c r="U16" s="391" t="s">
        <v>1384</v>
      </c>
      <c r="V16" s="392" t="s">
        <v>1384</v>
      </c>
      <c r="W16" s="390" t="s">
        <v>1384</v>
      </c>
      <c r="X16" s="391" t="s">
        <v>1384</v>
      </c>
      <c r="Y16" s="392" t="s">
        <v>1384</v>
      </c>
      <c r="Z16" s="390" t="s">
        <v>1384</v>
      </c>
      <c r="AA16" s="391" t="s">
        <v>1384</v>
      </c>
      <c r="AB16" s="392" t="s">
        <v>1384</v>
      </c>
      <c r="AC16" s="390" t="s">
        <v>1384</v>
      </c>
      <c r="AD16" s="391" t="s">
        <v>1384</v>
      </c>
      <c r="AE16" s="393" t="s">
        <v>1384</v>
      </c>
    </row>
    <row r="17" spans="1:31" ht="19.5" thickBot="1" x14ac:dyDescent="0.35">
      <c r="A17" s="665" t="str">
        <f>'S2.3.4 Depoly_res'!A8</f>
        <v>total credits [kg CO2-eq / kg input]</v>
      </c>
      <c r="B17" s="662">
        <f>'S2.4.2 Dissol_cred'!B6*('S2.4.2 Dissol_cred'!D10*'S2.4.2 Dissol_cred'!D16+'S2.4.2 Dissol_cred'!D11*'S2.4.2 Dissol_cred'!D27+'S2.4.2 Dissol_cred'!D12*'S2.4.2 Dissol_cred'!D29)</f>
        <v>0.95119447048454697</v>
      </c>
      <c r="C17" s="663">
        <f>'S2.4.2 Dissol_cred'!B6*('S2.4.2 Dissol_cred'!C10*'S2.4.2 Dissol_cred'!D16+'S2.4.2 Dissol_cred'!C11*'S2.4.2 Dissol_cred'!D27+'S2.4.2 Dissol_cred'!C12*'S2.4.2 Dissol_cred'!D29)</f>
        <v>0.91018115627347007</v>
      </c>
      <c r="D17" s="664">
        <f>'S2.4.2 Dissol_cred'!B6*('S2.4.2 Dissol_cred'!E10*'S2.4.2 Dissol_cred'!D16+'S2.4.2 Dissol_cred'!E11*'S2.4.2 Dissol_cred'!D27+'S2.4.2 Dissol_cred'!E12*'S2.4.2 Dissol_cred'!D29)</f>
        <v>0.99220778469562421</v>
      </c>
      <c r="E17" s="662">
        <f>'S2.4.2 Dissol_cred'!B6*('S2.4.2 Dissol_cred'!D10*'S2.4.2 Dissol_cred'!D17+'S2.4.2 Dissol_cred'!D11*'S2.4.2 Dissol_cred'!D27+'S2.4.2 Dissol_cred'!D12*'S2.4.2 Dissol_cred'!D29)</f>
        <v>0.96498429382684026</v>
      </c>
      <c r="F17" s="663">
        <f>'S2.4.2 Dissol_cred'!B6*('S2.4.2 Dissol_cred'!C10*'S2.4.2 Dissol_cred'!D17+'S2.4.2 Dissol_cred'!C11*'S2.4.2 Dissol_cred'!D27+'S2.4.2 Dissol_cred'!C12*'S2.4.2 Dissol_cred'!D29)</f>
        <v>0.92289843780025171</v>
      </c>
      <c r="G17" s="664">
        <f>'S2.4.2 Dissol_cred'!B6*('S2.4.2 Dissol_cred'!E10*'S2.4.2 Dissol_cred'!D17+'S2.4.2 Dissol_cred'!E11*'S2.4.2 Dissol_cred'!D27+'S2.4.2 Dissol_cred'!E12*'S2.4.2 Dissol_cred'!D29)</f>
        <v>1.0070701498534289</v>
      </c>
      <c r="H17" s="662">
        <f>'S2.4.2 Dissol_cred'!B6*('S2.4.2 Dissol_cred'!D10*'S2.4.2 Dissol_cred'!D18+'S2.4.2 Dissol_cred'!D11*'S2.4.2 Dissol_cred'!D27+'S2.4.2 Dissol_cred'!D12*'S2.4.2 Dissol_cred'!D29)</f>
        <v>1.3669302070549281</v>
      </c>
      <c r="I17" s="663">
        <f>'S2.4.2 Dissol_cred'!B6*('S2.4.2 Dissol_cred'!C10*'S2.4.2 Dissol_cred'!D18+'S2.4.2 Dissol_cred'!C11*'S2.4.2 Dissol_cred'!D27+'S2.4.2 Dissol_cred'!C12*'S2.4.2 Dissol_cred'!D29)</f>
        <v>1.2935818911105992</v>
      </c>
      <c r="J17" s="664">
        <f>'S2.4.2 Dissol_cred'!B6*('S2.4.2 Dissol_cred'!E10*'S2.4.2 Dissol_cred'!D18+'S2.4.2 Dissol_cred'!E11*'S2.4.2 Dissol_cred'!D27+'S2.4.2 Dissol_cred'!E12*'S2.4.2 Dissol_cred'!D29)</f>
        <v>1.4402785229992567</v>
      </c>
      <c r="K17" s="662">
        <f>'S2.4.2 Dissol_cred'!B6*('S2.4.2 Dissol_cred'!D10*'S2.4.2 Dissol_cred'!D19+'S2.4.2 Dissol_cred'!D11*'S2.4.2 Dissol_cred'!D27+'S2.4.2 Dissol_cred'!D12*'S2.4.2 Dissol_cred'!D29)</f>
        <v>0.95485586049279458</v>
      </c>
      <c r="L17" s="663">
        <f>'S2.4.2 Dissol_cred'!B6*('S2.4.2 Dissol_cred'!C10*'S2.4.2 Dissol_cred'!D19+'S2.4.2 Dissol_cred'!C11*'S2.4.2 Dissol_cred'!D27+'S2.4.2 Dissol_cred'!C12*'S2.4.2 Dissol_cred'!D29)</f>
        <v>0.91355777150329853</v>
      </c>
      <c r="M17" s="664">
        <f>'S2.4.2 Dissol_cred'!B6*('S2.4.2 Dissol_cred'!E10*'S2.4.2 Dissol_cred'!D19+'S2.4.2 Dissol_cred'!E11*'S2.4.2 Dissol_cred'!D27+'S2.4.2 Dissol_cred'!E12*'S2.4.2 Dissol_cred'!D29)</f>
        <v>0.99615394948229108</v>
      </c>
      <c r="N17" s="662">
        <f>'S2.4.2 Dissol_cred'!B6*('S2.4.2 Dissol_cred'!D10*'S2.4.2 Dissol_cred'!D20+'S2.4.2 Dissol_cred'!D11*'S2.4.2 Dissol_cred'!D27+'S2.4.2 Dissol_cred'!D12*'S2.4.2 Dissol_cred'!D29)</f>
        <v>1.3091044242468799</v>
      </c>
      <c r="O17" s="663">
        <f>'S2.4.2 Dissol_cred'!B6*('S2.4.2 Dissol_cred'!C10*'S2.4.2 Dissol_cred'!D20+'S2.4.2 Dissol_cred'!C11*'S2.4.2 Dissol_cred'!D27+'S2.4.2 Dissol_cred'!C12*'S2.4.2 Dissol_cred'!D29)</f>
        <v>1.2402536691876216</v>
      </c>
      <c r="P17" s="664">
        <f>'S2.4.2 Dissol_cred'!B6*('S2.4.2 Dissol_cred'!E10*'S2.4.2 Dissol_cred'!D20+'S2.4.2 Dissol_cred'!E11*'S2.4.2 Dissol_cred'!D27+'S2.4.2 Dissol_cred'!E12*'S2.4.2 Dissol_cred'!D29)</f>
        <v>1.3779551793061384</v>
      </c>
      <c r="Q17" s="662">
        <f>'S2.4.2 Dissol_cred'!B6*('S2.4.2 Dissol_cred'!D10*'S2.4.2 Dissol_cred'!D21+'S2.4.2 Dissol_cred'!D11*'S2.4.2 Dissol_cred'!D27+'S2.4.2 Dissol_cred'!D12*'S2.4.2 Dissol_cred'!D29)</f>
        <v>1.2691257014305803</v>
      </c>
      <c r="R17" s="663">
        <f>'S2.4.2 Dissol_cred'!B6*('S2.4.2 Dissol_cred'!C10*'S2.4.2 Dissol_cred'!D21+'S2.4.2 Dissol_cred'!C11*'S2.4.2 Dissol_cred'!D27+'S2.4.2 Dissol_cred'!C12*'S2.4.2 Dissol_cred'!D29)</f>
        <v>1.2033844025903675</v>
      </c>
      <c r="S17" s="664">
        <f>'S2.4.2 Dissol_cred'!B6*('S2.4.2 Dissol_cred'!E10*'S2.4.2 Dissol_cred'!D21+'S2.4.2 Dissol_cred'!E11*'S2.4.2 Dissol_cred'!D27+'S2.4.2 Dissol_cred'!E12*'S2.4.2 Dissol_cred'!D29)</f>
        <v>1.3348670002707932</v>
      </c>
      <c r="T17" s="662">
        <f>'S2.4.2 Dissol_cred'!B6*('S2.4.2 Dissol_cred'!D10*'S2.4.2 Dissol_cred'!D22+'S2.4.2 Dissol_cred'!D11*'S2.4.2 Dissol_cred'!D27+'S2.4.2 Dissol_cred'!D12*'S2.4.2 Dissol_cred'!D29)</f>
        <v>1.5987853131375129</v>
      </c>
      <c r="U17" s="663">
        <f>'S2.4.2 Dissol_cred'!B6*('S2.4.2 Dissol_cred'!C10*'S2.4.2 Dissol_cred'!D22+'S2.4.2 Dissol_cred'!C11*'S2.4.2 Dissol_cred'!D27+'S2.4.2 Dissol_cred'!C12*'S2.4.2 Dissol_cred'!D29)</f>
        <v>1.5074038222756498</v>
      </c>
      <c r="V17" s="664">
        <f>'S2.4.2 Dissol_cred'!B6*('S2.4.2 Dissol_cred'!E10*'S2.4.2 Dissol_cred'!D22+'S2.4.2 Dissol_cred'!E11*'S2.4.2 Dissol_cred'!D27+'S2.4.2 Dissol_cred'!E12*'S2.4.2 Dissol_cred'!D29)</f>
        <v>1.6901668039993758</v>
      </c>
      <c r="W17" s="662">
        <f>'S2.4.2 Dissol_cred'!B6*('S2.4.2 Dissol_cred'!D10*'S2.4.2 Dissol_cred'!D23+'S2.4.2 Dissol_cred'!D11*'S2.4.2 Dissol_cred'!D27+'S2.4.2 Dissol_cred'!D12*'S2.4.2 Dissol_cred'!D29)</f>
        <v>1.389903310926492</v>
      </c>
      <c r="X17" s="663">
        <f>'S2.4.2 Dissol_cred'!B6*('S2.4.2 Dissol_cred'!C10*'S2.4.2 Dissol_cred'!D23+'S2.4.2 Dissol_cred'!C11*'S2.4.2 Dissol_cred'!D27+'S2.4.2 Dissol_cred'!C12*'S2.4.2 Dissol_cred'!D29)</f>
        <v>1.3147681980143748</v>
      </c>
      <c r="Y17" s="664">
        <f>'S2.4.2 Dissol_cred'!B6*('S2.4.2 Dissol_cred'!E10*'S2.4.2 Dissol_cred'!D23+'S2.4.2 Dissol_cred'!E11*'S2.4.2 Dissol_cred'!D27+'S2.4.2 Dissol_cred'!E12*'S2.4.2 Dissol_cred'!D29)</f>
        <v>1.4650384238386089</v>
      </c>
      <c r="Z17" s="662">
        <f>'S2.4.2 Dissol_cred'!B6*('S2.4.2 Dissol_cred'!D10*'S2.4.2 Dissol_cred'!D24+'S2.4.2 Dissol_cred'!D11*'S2.4.2 Dissol_cred'!D27+'S2.4.2 Dissol_cred'!D12*'S2.4.2 Dissol_cred'!D29)</f>
        <v>4.0582295142694624</v>
      </c>
      <c r="AA17" s="663">
        <f>'S2.4.2 Dissol_cred'!B6*('S2.4.2 Dissol_cred'!C10*'S2.4.2 Dissol_cred'!D24+'S2.4.2 Dissol_cred'!C11*'S2.4.2 Dissol_cred'!D27+'S2.4.2 Dissol_cred'!C12*'S2.4.2 Dissol_cred'!D29)</f>
        <v>3.7755579188751143</v>
      </c>
      <c r="AB17" s="664">
        <f>'S2.4.2 Dissol_cred'!B6*('S2.4.2 Dissol_cred'!E10*'S2.4.2 Dissol_cred'!D24+'S2.4.2 Dissol_cred'!E11*'S2.4.2 Dissol_cred'!D27+'S2.4.2 Dissol_cred'!E12*'S2.4.2 Dissol_cred'!D29)</f>
        <v>4.3409011096638084</v>
      </c>
      <c r="AC17" s="662">
        <f>'S2.4.2 Dissol_cred'!B6*('S2.4.2 Dissol_cred'!D10*'S2.4.2 Dissol_cred'!D25+'S2.4.2 Dissol_cred'!D11*'S2.4.2 Dissol_cred'!D27+'S2.4.2 Dissol_cred'!D12*'S2.4.2 Dissol_cred'!D29)</f>
        <v>3.0869195846114854</v>
      </c>
      <c r="AD17" s="663">
        <f>'S2.4.2 Dissol_cred'!B6*('S2.4.2 Dissol_cred'!C10*'S2.4.2 Dissol_cred'!D25+'S2.4.2 Dissol_cred'!C11*'S2.4.2 Dissol_cred'!D27+'S2.4.2 Dissol_cred'!C12*'S2.4.2 Dissol_cred'!D29)</f>
        <v>2.8797943170794253</v>
      </c>
      <c r="AE17" s="664">
        <f>'S2.4.2 Dissol_cred'!B6*('S2.4.2 Dissol_cred'!E10*'S2.4.2 Dissol_cred'!D25+'S2.4.2 Dissol_cred'!E11*'S2.4.2 Dissol_cred'!D27+'S2.4.2 Dissol_cred'!E12*'S2.4.2 Dissol_cred'!D29)</f>
        <v>3.2940448521435468</v>
      </c>
    </row>
    <row r="18" spans="1:31" x14ac:dyDescent="0.25">
      <c r="C18" s="1520">
        <f>D17-C17</f>
        <v>8.2026628422154135E-2</v>
      </c>
      <c r="D18" s="1520"/>
      <c r="F18" s="1520">
        <f>G17-F17</f>
        <v>8.4171712053177195E-2</v>
      </c>
      <c r="G18" s="1520"/>
      <c r="I18" s="1520">
        <f>J17-I17</f>
        <v>0.14669663188865756</v>
      </c>
      <c r="J18" s="1520"/>
      <c r="L18" s="1520">
        <f>M17-L17</f>
        <v>8.2596177978992547E-2</v>
      </c>
      <c r="M18" s="1520"/>
      <c r="O18" s="1520">
        <f>P17-O17</f>
        <v>0.13770151011851683</v>
      </c>
      <c r="P18" s="1520"/>
      <c r="R18" s="1520">
        <f>S17-R17</f>
        <v>0.13148259768042569</v>
      </c>
      <c r="S18" s="1520"/>
      <c r="U18" s="1520">
        <f>V17-U17</f>
        <v>0.18276298172372596</v>
      </c>
      <c r="V18" s="1520"/>
      <c r="X18" s="1520">
        <f>Y17-X17</f>
        <v>0.1502702258242341</v>
      </c>
      <c r="Y18" s="1520"/>
      <c r="AA18" s="1520">
        <f>AB17-AA17</f>
        <v>0.56534319078869411</v>
      </c>
      <c r="AB18" s="1520"/>
      <c r="AD18" s="1520">
        <f>AE17-AD17</f>
        <v>0.41425053506412146</v>
      </c>
      <c r="AE18" s="1520"/>
    </row>
    <row r="19" spans="1:31" x14ac:dyDescent="0.25">
      <c r="C19" s="959"/>
      <c r="D19" s="959"/>
      <c r="F19" s="959"/>
      <c r="G19" s="959"/>
      <c r="I19" s="959"/>
      <c r="J19" s="959"/>
      <c r="L19" s="959"/>
      <c r="M19" s="959"/>
      <c r="O19" s="959"/>
      <c r="P19" s="959"/>
      <c r="R19" s="959"/>
      <c r="S19" s="959"/>
      <c r="U19" s="959"/>
      <c r="V19" s="959"/>
      <c r="X19" s="959"/>
      <c r="Y19" s="959"/>
      <c r="AA19" s="959"/>
      <c r="AB19" s="959"/>
      <c r="AD19" s="959"/>
      <c r="AE19" s="959"/>
    </row>
    <row r="20" spans="1:31" ht="18.75" x14ac:dyDescent="0.3">
      <c r="A20" s="399" t="s">
        <v>1881</v>
      </c>
      <c r="C20" s="959"/>
      <c r="D20" s="959"/>
      <c r="F20" s="959"/>
      <c r="G20" s="959"/>
      <c r="I20" s="959"/>
      <c r="J20" s="959"/>
      <c r="L20" s="959"/>
      <c r="M20" s="959"/>
      <c r="O20" s="959"/>
      <c r="P20" s="959"/>
      <c r="R20" s="959"/>
      <c r="S20" s="959"/>
      <c r="U20" s="959"/>
      <c r="V20" s="959"/>
      <c r="X20" s="959"/>
      <c r="Y20" s="959"/>
      <c r="AA20" s="959"/>
      <c r="AB20" s="959"/>
      <c r="AD20" s="959"/>
      <c r="AE20" s="959"/>
    </row>
    <row r="21" spans="1:31" x14ac:dyDescent="0.25">
      <c r="C21" s="959"/>
      <c r="D21" s="959"/>
      <c r="F21" s="959"/>
      <c r="G21" s="959"/>
      <c r="I21" s="959"/>
      <c r="J21" s="959"/>
      <c r="L21" s="959"/>
      <c r="M21" s="959"/>
      <c r="O21" s="959"/>
      <c r="P21" s="959"/>
      <c r="R21" s="959"/>
      <c r="S21" s="959"/>
      <c r="U21" s="959"/>
      <c r="V21" s="959"/>
      <c r="X21" s="959"/>
      <c r="Y21" s="959"/>
      <c r="AA21" s="959"/>
      <c r="AB21" s="959"/>
      <c r="AD21" s="959"/>
      <c r="AE21" s="959"/>
    </row>
    <row r="22" spans="1:31" x14ac:dyDescent="0.25">
      <c r="B22" t="str">
        <f>'S2.4.1 Dissol_imp'!C45</f>
        <v>fossil [kg CO2-eq / kg input]</v>
      </c>
      <c r="C22" t="str">
        <f>'S2.4.1 Dissol_imp'!D45</f>
        <v>renewable [kg CO2-eq / kg input]</v>
      </c>
      <c r="D22" s="959"/>
      <c r="F22" s="959"/>
      <c r="G22" s="959"/>
      <c r="I22" s="959"/>
      <c r="J22" s="959"/>
      <c r="L22" s="959"/>
      <c r="M22" s="959"/>
      <c r="O22" s="959"/>
      <c r="P22" s="959"/>
      <c r="R22" s="959"/>
      <c r="S22" s="959"/>
      <c r="U22" s="959"/>
      <c r="V22" s="959"/>
      <c r="X22" s="959"/>
      <c r="Y22" s="959"/>
      <c r="AA22" s="959"/>
      <c r="AB22" s="959"/>
      <c r="AD22" s="959"/>
      <c r="AE22" s="959"/>
    </row>
    <row r="23" spans="1:31" x14ac:dyDescent="0.25">
      <c r="A23" t="str">
        <f>'S2.4.1 Dissol_imp'!B46</f>
        <v>min</v>
      </c>
      <c r="B23" s="26">
        <f>'S2.4.1 Dissol_imp'!C46</f>
        <v>6.392057675447832E-2</v>
      </c>
      <c r="C23" s="26">
        <f>'S2.4.1 Dissol_imp'!D46</f>
        <v>5.2549119971998404E-2</v>
      </c>
      <c r="D23" s="959"/>
      <c r="F23" s="959"/>
      <c r="G23" s="959"/>
      <c r="I23" s="959"/>
      <c r="J23" s="959"/>
      <c r="L23" s="959"/>
      <c r="M23" s="959"/>
      <c r="O23" s="959"/>
      <c r="P23" s="959"/>
      <c r="R23" s="959"/>
      <c r="S23" s="959"/>
      <c r="U23" s="959"/>
      <c r="V23" s="959"/>
      <c r="X23" s="959"/>
      <c r="Y23" s="959"/>
      <c r="AA23" s="959"/>
      <c r="AB23" s="959"/>
      <c r="AD23" s="959"/>
      <c r="AE23" s="959"/>
    </row>
    <row r="24" spans="1:31" x14ac:dyDescent="0.25">
      <c r="A24" t="str">
        <f>'S2.4.1 Dissol_imp'!B47</f>
        <v>intermediate</v>
      </c>
      <c r="B24" s="26">
        <f>'S2.4.1 Dissol_imp'!C47</f>
        <v>0.32646673088400002</v>
      </c>
      <c r="C24" s="26">
        <f>'S2.4.1 Dissol_imp'!D47</f>
        <v>0.13821581544576494</v>
      </c>
      <c r="D24" s="959"/>
      <c r="F24" s="959"/>
      <c r="G24" s="959"/>
      <c r="I24" s="959"/>
      <c r="J24" s="959"/>
      <c r="L24" s="959"/>
      <c r="M24" s="959"/>
      <c r="O24" s="959"/>
      <c r="P24" s="959"/>
      <c r="R24" s="959"/>
      <c r="S24" s="959"/>
      <c r="U24" s="959"/>
      <c r="V24" s="959"/>
      <c r="X24" s="959"/>
      <c r="Y24" s="959"/>
      <c r="AA24" s="959"/>
      <c r="AB24" s="959"/>
      <c r="AD24" s="959"/>
      <c r="AE24" s="959"/>
    </row>
    <row r="25" spans="1:31" x14ac:dyDescent="0.25">
      <c r="A25" t="str">
        <f>'S2.4.1 Dissol_imp'!B48</f>
        <v>max</v>
      </c>
      <c r="B25" s="26">
        <f>'S2.4.1 Dissol_imp'!C48</f>
        <v>0.52519517315999997</v>
      </c>
      <c r="C25" s="26">
        <f>'S2.4.1 Dissol_imp'!D48</f>
        <v>0.2122158920580316</v>
      </c>
      <c r="D25" s="959"/>
      <c r="F25" s="959"/>
      <c r="G25" s="959"/>
      <c r="I25" s="959"/>
      <c r="J25" s="959"/>
      <c r="L25" s="959"/>
      <c r="M25" s="959"/>
      <c r="O25" s="959"/>
      <c r="P25" s="959"/>
      <c r="R25" s="959"/>
      <c r="S25" s="959"/>
      <c r="U25" s="959"/>
      <c r="V25" s="959"/>
      <c r="X25" s="959"/>
      <c r="Y25" s="959"/>
      <c r="AA25" s="959"/>
      <c r="AB25" s="959"/>
      <c r="AD25" s="959"/>
      <c r="AE25" s="959"/>
    </row>
    <row r="29" spans="1:31" ht="18.75" x14ac:dyDescent="0.3">
      <c r="A29" s="399" t="s">
        <v>1473</v>
      </c>
    </row>
    <row r="30" spans="1:31" ht="21" x14ac:dyDescent="0.35">
      <c r="A30" s="726"/>
      <c r="B30" s="1541" t="s">
        <v>1147</v>
      </c>
      <c r="C30" s="1541"/>
      <c r="D30" s="1541"/>
      <c r="E30" s="1541" t="s">
        <v>1534</v>
      </c>
      <c r="F30" s="1541"/>
      <c r="G30" s="1541"/>
    </row>
    <row r="31" spans="1:31" ht="21" x14ac:dyDescent="0.35">
      <c r="A31" s="726"/>
      <c r="B31" s="631" t="s">
        <v>416</v>
      </c>
      <c r="C31" s="726" t="s">
        <v>1697</v>
      </c>
      <c r="D31" s="631" t="s">
        <v>412</v>
      </c>
      <c r="E31" s="631" t="s">
        <v>416</v>
      </c>
      <c r="F31" s="726" t="s">
        <v>1697</v>
      </c>
      <c r="G31" s="631" t="s">
        <v>412</v>
      </c>
    </row>
    <row r="32" spans="1:31" ht="21" x14ac:dyDescent="0.35">
      <c r="A32" s="726" t="s">
        <v>17</v>
      </c>
      <c r="B32" s="727">
        <f>'S2.4.1 Dissol_imp'!$C$48-'S2.4.3 Dissol_res'!C8</f>
        <v>-0.78886282812667963</v>
      </c>
      <c r="C32" s="476">
        <f>'S2.4.1 Dissol_imp'!$C$47-'S2.4.3 Dissol_res'!B8</f>
        <v>-1.0626664872052318</v>
      </c>
      <c r="D32" s="727">
        <f>'S2.4.1 Dissol_imp'!$C$46-'S2.4.3 Dissol_res'!D8</f>
        <v>-1.4002878581373059</v>
      </c>
      <c r="E32" s="727">
        <f>'S2.4.1 Dissol_imp'!$D$48-C17</f>
        <v>-0.69796526421543847</v>
      </c>
      <c r="F32" s="476">
        <f>'S2.4.1 Dissol_imp'!$D$47-'S2.4.3 Dissol_res'!B17</f>
        <v>-0.81297865503878208</v>
      </c>
      <c r="G32" s="727">
        <f>'S2.4.1 Dissol_imp'!$D$46-D17</f>
        <v>-0.9396586647236258</v>
      </c>
    </row>
    <row r="33" spans="1:7" ht="21" x14ac:dyDescent="0.35">
      <c r="A33" s="726" t="s">
        <v>19</v>
      </c>
      <c r="B33" s="727">
        <f>'S2.4.1 Dissol_imp'!$C$48-'S2.4.3 Dissol_res'!F8</f>
        <v>-0.77920810084466807</v>
      </c>
      <c r="C33" s="476">
        <f>'S2.4.1 Dissol_imp'!$C$47-'S2.4.3 Dissol_res'!E8</f>
        <v>-1.0521975058150987</v>
      </c>
      <c r="D33" s="727">
        <f>'S2.4.1 Dissol_imp'!$C$46-'S2.4.3 Dissol_res'!G8</f>
        <v>-1.3890046226390516</v>
      </c>
      <c r="E33" s="727">
        <f>'S2.4.1 Dissol_imp'!$D$48-F17</f>
        <v>-0.71068254574222012</v>
      </c>
      <c r="F33" s="476">
        <f>'S2.4.1 Dissol_imp'!$D$47-'S2.4.3 Dissol_res'!E17</f>
        <v>-0.82676847838107537</v>
      </c>
      <c r="G33" s="727">
        <f>'S2.4.1 Dissol_imp'!$D$46-G17</f>
        <v>-0.9545210298814305</v>
      </c>
    </row>
    <row r="34" spans="1:7" ht="21" x14ac:dyDescent="0.35">
      <c r="A34" s="726" t="s">
        <v>20</v>
      </c>
      <c r="B34" s="727">
        <f>'S2.4.1 Dissol_imp'!$C$48-'S2.4.3 Dissol_res'!I8</f>
        <v>-1.7374984956458983</v>
      </c>
      <c r="C34" s="476">
        <f>'S2.4.1 Dissol_imp'!$C$47-'S2.4.3 Dissol_res'!H8</f>
        <v>-2.0913075724670356</v>
      </c>
      <c r="D34" s="727">
        <f>'S2.4.1 Dissol_imp'!$C$46-'S2.4.3 Dissol_res'!J8</f>
        <v>-2.5089343611416939</v>
      </c>
      <c r="E34" s="727">
        <f>'S2.4.1 Dissol_imp'!$D$48-I17</f>
        <v>-1.0813659990525677</v>
      </c>
      <c r="F34" s="476">
        <f>'S2.4.1 Dissol_imp'!$D$47-'S2.4.3 Dissol_res'!H17</f>
        <v>-1.2287143916091632</v>
      </c>
      <c r="G34" s="727">
        <f>'S2.4.1 Dissol_imp'!$D$46-J17</f>
        <v>-1.3877294030272584</v>
      </c>
    </row>
    <row r="35" spans="1:7" ht="21" x14ac:dyDescent="0.35">
      <c r="A35" s="726" t="s">
        <v>21</v>
      </c>
      <c r="B35" s="727">
        <f>'S2.4.1 Dissol_imp'!$C$48-'S2.4.3 Dissol_res'!L8</f>
        <v>-0.70682864042975257</v>
      </c>
      <c r="C35" s="476">
        <f>'S2.4.1 Dissol_imp'!$C$47-'S2.4.3 Dissol_res'!K8</f>
        <v>-0.97371375355796175</v>
      </c>
      <c r="D35" s="727">
        <f>'S2.4.1 Dissol_imp'!$C$46-'S2.4.3 Dissol_res'!M8</f>
        <v>-1.3044165785396924</v>
      </c>
      <c r="E35" s="727">
        <f>'S2.4.1 Dissol_imp'!$D$48-L17</f>
        <v>-0.70134187944526694</v>
      </c>
      <c r="F35" s="476">
        <f>'S2.4.1 Dissol_imp'!$D$47-'S2.4.3 Dissol_res'!K17</f>
        <v>-0.81664004504702969</v>
      </c>
      <c r="G35" s="727">
        <f>'S2.4.1 Dissol_imp'!$D$46-M17</f>
        <v>-0.94360482951029268</v>
      </c>
    </row>
    <row r="36" spans="1:7" ht="21" x14ac:dyDescent="0.35">
      <c r="A36" s="726" t="s">
        <v>22</v>
      </c>
      <c r="B36" s="727">
        <f>'S2.4.1 Dissol_imp'!$C$48-'S2.4.3 Dissol_res'!O8</f>
        <v>-0.98090502741042718</v>
      </c>
      <c r="C36" s="476">
        <f>'S2.4.1 Dissol_imp'!$C$47-'S2.4.3 Dissol_res'!N8</f>
        <v>-1.2709050165490545</v>
      </c>
      <c r="D36" s="727">
        <f>'S2.4.1 Dissol_imp'!$C$46-'S2.4.3 Dissol_res'!P8</f>
        <v>-1.6247227175412038</v>
      </c>
      <c r="E36" s="727">
        <f>'S2.4.1 Dissol_imp'!$D$48-O17</f>
        <v>-1.0280377771295899</v>
      </c>
      <c r="F36" s="476">
        <f>'S2.4.1 Dissol_imp'!$D$47-'S2.4.3 Dissol_res'!N17</f>
        <v>-1.170888608801115</v>
      </c>
      <c r="G36" s="727">
        <f>'S2.4.1 Dissol_imp'!$D$46-P17</f>
        <v>-1.3254060593341399</v>
      </c>
    </row>
    <row r="37" spans="1:7" ht="21" x14ac:dyDescent="0.35">
      <c r="A37" s="726" t="s">
        <v>23</v>
      </c>
      <c r="B37" s="727">
        <f>'S2.4.1 Dissol_imp'!$C$48-'S2.4.3 Dissol_res'!R8</f>
        <v>-1.9102619063641566</v>
      </c>
      <c r="C37" s="476">
        <f>'S2.4.1 Dissol_imp'!$C$47-'S2.4.3 Dissol_res'!Q8</f>
        <v>-2.2786413913181587</v>
      </c>
      <c r="D37" s="727">
        <f>'S2.4.1 Dissol_imp'!$C$46-'S2.4.3 Dissol_res'!S8</f>
        <v>-2.7108385881256827</v>
      </c>
      <c r="E37" s="727">
        <f>'S2.4.1 Dissol_imp'!$D$48-R17</f>
        <v>-0.9911685105323359</v>
      </c>
      <c r="F37" s="476">
        <f>'S2.4.1 Dissol_imp'!$D$47-'S2.4.3 Dissol_res'!Q17</f>
        <v>-1.1309098859848155</v>
      </c>
      <c r="G37" s="727">
        <f>'S2.4.1 Dissol_imp'!$D$46-S17</f>
        <v>-1.2823178802987947</v>
      </c>
    </row>
    <row r="38" spans="1:7" ht="21" x14ac:dyDescent="0.35">
      <c r="A38" s="726" t="s">
        <v>24</v>
      </c>
      <c r="B38" s="727">
        <f>'S2.4.1 Dissol_imp'!$C$48-'S2.4.3 Dissol_res'!U8</f>
        <v>-1.4572591733442744</v>
      </c>
      <c r="C38" s="476">
        <f>'S2.4.1 Dissol_imp'!$C$47-'S2.4.3 Dissol_res'!T8</f>
        <v>-1.7874336085255149</v>
      </c>
      <c r="D38" s="727">
        <f>'S2.4.1 Dissol_imp'!$C$46-'S2.4.3 Dissol_res'!V8</f>
        <v>-2.1814257555602778</v>
      </c>
      <c r="E38" s="727">
        <f>'S2.4.1 Dissol_imp'!$D$48-U17</f>
        <v>-1.2951879302176184</v>
      </c>
      <c r="F38" s="476">
        <f>'S2.4.1 Dissol_imp'!$D$47-'S2.4.3 Dissol_res'!T17</f>
        <v>-1.460569497691748</v>
      </c>
      <c r="G38" s="727">
        <f>'S2.4.1 Dissol_imp'!$D$46-V17</f>
        <v>-1.6376176840273775</v>
      </c>
    </row>
    <row r="39" spans="1:7" ht="21" x14ac:dyDescent="0.35">
      <c r="A39" s="726" t="s">
        <v>25</v>
      </c>
      <c r="B39" s="727">
        <f>'S2.4.1 Dissol_imp'!$C$48-'S2.4.3 Dissol_res'!X8</f>
        <v>-1.0514150036844871</v>
      </c>
      <c r="C39" s="476">
        <f>'S2.4.1 Dissol_imp'!$C$47-'S2.4.3 Dissol_res'!W8</f>
        <v>-1.3473616173281555</v>
      </c>
      <c r="D39" s="727">
        <f>'S2.4.1 Dissol_imp'!$C$46-'S2.4.3 Dissol_res'!Y8</f>
        <v>-1.707125942825346</v>
      </c>
      <c r="E39" s="727">
        <f>'S2.4.1 Dissol_imp'!$D$48-X17</f>
        <v>-1.1025523059563431</v>
      </c>
      <c r="F39" s="476">
        <f>'S2.4.1 Dissol_imp'!$D$47-'S2.4.3 Dissol_res'!W17</f>
        <v>-1.2516874954807271</v>
      </c>
      <c r="G39" s="727">
        <f>'S2.4.1 Dissol_imp'!$D$46-Y17</f>
        <v>-1.4124893038666104</v>
      </c>
    </row>
    <row r="40" spans="1:7" ht="21" x14ac:dyDescent="0.35">
      <c r="A40" s="726" t="s">
        <v>26</v>
      </c>
      <c r="B40" s="727">
        <f>'S2.4.1 Dissol_imp'!$C$48-'S2.4.3 Dissol_res'!AA8</f>
        <v>-4.8435573111614643</v>
      </c>
      <c r="C40" s="476">
        <f>'S2.4.1 Dissol_imp'!$C$47-'S2.4.3 Dissol_res'!Z8</f>
        <v>-5.4593231555562038</v>
      </c>
      <c r="D40" s="727">
        <f>'S2.4.1 Dissol_imp'!$C$46-'S2.4.3 Dissol_res'!AB8</f>
        <v>-6.1389067118044638</v>
      </c>
      <c r="E40" s="727">
        <f>'S2.4.1 Dissol_imp'!$D$48-AA17</f>
        <v>-3.5633420268170828</v>
      </c>
      <c r="F40" s="476">
        <f>'S2.4.1 Dissol_imp'!$D$47-'S2.4.3 Dissol_res'!Z17</f>
        <v>-3.9200136988236975</v>
      </c>
      <c r="G40" s="727">
        <f>'S2.4.1 Dissol_imp'!$D$46-AB17</f>
        <v>-4.2883519896918099</v>
      </c>
    </row>
    <row r="41" spans="1:7" ht="21" x14ac:dyDescent="0.35">
      <c r="A41" s="726" t="s">
        <v>27</v>
      </c>
      <c r="B41" s="727">
        <f>'S2.4.1 Dissol_imp'!$C$48-'S2.4.3 Dissol_res'!AD8</f>
        <v>-4.9141510150461887</v>
      </c>
      <c r="C41" s="476">
        <f>'S2.4.1 Dissol_imp'!$C$47-'S2.4.3 Dissol_res'!AC8</f>
        <v>-5.5358705453107238</v>
      </c>
      <c r="D41" s="727">
        <f>'S2.4.1 Dissol_imp'!$C$46-'S2.4.3 Dissol_res'!AE8</f>
        <v>-6.2214077874287792</v>
      </c>
      <c r="E41" s="727">
        <f>'S2.4.1 Dissol_imp'!$D$48-AD17</f>
        <v>-2.6675784250213939</v>
      </c>
      <c r="F41" s="476">
        <f>'S2.4.1 Dissol_imp'!$D$47-'S2.4.3 Dissol_res'!AC17</f>
        <v>-2.9487037691657205</v>
      </c>
      <c r="G41" s="727">
        <f>'S2.4.1 Dissol_imp'!$D$46-AE17</f>
        <v>-3.2414957321715483</v>
      </c>
    </row>
  </sheetData>
  <mergeCells count="64">
    <mergeCell ref="B30:D30"/>
    <mergeCell ref="E30:G30"/>
    <mergeCell ref="F4:G4"/>
    <mergeCell ref="N3:P3"/>
    <mergeCell ref="Q3:S3"/>
    <mergeCell ref="E3:G3"/>
    <mergeCell ref="H3:J3"/>
    <mergeCell ref="K3:M3"/>
    <mergeCell ref="C4:D4"/>
    <mergeCell ref="K12:M12"/>
    <mergeCell ref="N12:P12"/>
    <mergeCell ref="C9:D9"/>
    <mergeCell ref="F9:G9"/>
    <mergeCell ref="I9:J9"/>
    <mergeCell ref="L9:M9"/>
    <mergeCell ref="B11:AE11"/>
    <mergeCell ref="T3:V3"/>
    <mergeCell ref="W3:Y3"/>
    <mergeCell ref="O4:P4"/>
    <mergeCell ref="R4:S4"/>
    <mergeCell ref="B2:AE2"/>
    <mergeCell ref="Z3:AB3"/>
    <mergeCell ref="AC3:AE3"/>
    <mergeCell ref="AA4:AB4"/>
    <mergeCell ref="AD4:AE4"/>
    <mergeCell ref="I4:J4"/>
    <mergeCell ref="L4:M4"/>
    <mergeCell ref="U4:V4"/>
    <mergeCell ref="X4:Y4"/>
    <mergeCell ref="B3:D3"/>
    <mergeCell ref="AC12:AE12"/>
    <mergeCell ref="E12:G12"/>
    <mergeCell ref="H12:J12"/>
    <mergeCell ref="AA9:AB9"/>
    <mergeCell ref="AD9:AE9"/>
    <mergeCell ref="O9:P9"/>
    <mergeCell ref="R9:S9"/>
    <mergeCell ref="U9:V9"/>
    <mergeCell ref="X9:Y9"/>
    <mergeCell ref="B12:D12"/>
    <mergeCell ref="Q12:S12"/>
    <mergeCell ref="T12:V12"/>
    <mergeCell ref="W12:Y12"/>
    <mergeCell ref="Z12:AB12"/>
    <mergeCell ref="L13:M13"/>
    <mergeCell ref="O13:P13"/>
    <mergeCell ref="C18:D18"/>
    <mergeCell ref="F18:G18"/>
    <mergeCell ref="I18:J18"/>
    <mergeCell ref="C13:D13"/>
    <mergeCell ref="F13:G13"/>
    <mergeCell ref="I13:J13"/>
    <mergeCell ref="L18:M18"/>
    <mergeCell ref="O18:P18"/>
    <mergeCell ref="R13:S13"/>
    <mergeCell ref="U13:V13"/>
    <mergeCell ref="X13:Y13"/>
    <mergeCell ref="AD18:AE18"/>
    <mergeCell ref="AD13:AE13"/>
    <mergeCell ref="AA13:AB13"/>
    <mergeCell ref="R18:S18"/>
    <mergeCell ref="U18:V18"/>
    <mergeCell ref="X18:Y18"/>
    <mergeCell ref="AA18:AB18"/>
  </mergeCell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666D7-ECEA-4C53-9192-963C87CEC418}">
  <sheetPr>
    <tabColor rgb="FF7A468A"/>
  </sheetPr>
  <dimension ref="A1:H43"/>
  <sheetViews>
    <sheetView zoomScale="67" workbookViewId="0">
      <selection activeCell="E33" sqref="E33"/>
    </sheetView>
  </sheetViews>
  <sheetFormatPr defaultRowHeight="15" x14ac:dyDescent="0.25"/>
  <cols>
    <col min="1" max="1" width="35.42578125" customWidth="1"/>
    <col min="2" max="2" width="24.5703125" customWidth="1"/>
  </cols>
  <sheetData>
    <row r="1" spans="1:7" ht="18.75" x14ac:dyDescent="0.3">
      <c r="A1" s="303" t="s">
        <v>1149</v>
      </c>
    </row>
    <row r="3" spans="1:7" x14ac:dyDescent="0.25">
      <c r="A3" s="294" t="s">
        <v>1210</v>
      </c>
    </row>
    <row r="4" spans="1:7" x14ac:dyDescent="0.25">
      <c r="A4" s="268" t="s">
        <v>1129</v>
      </c>
      <c r="B4" s="269" t="s">
        <v>1153</v>
      </c>
      <c r="C4" t="s">
        <v>3</v>
      </c>
      <c r="G4" s="54"/>
    </row>
    <row r="5" spans="1:7" x14ac:dyDescent="0.25">
      <c r="A5" s="15" t="s">
        <v>1154</v>
      </c>
      <c r="B5" s="27">
        <v>7.5458326000000006E-2</v>
      </c>
    </row>
    <row r="6" spans="1:7" x14ac:dyDescent="0.25">
      <c r="A6" s="15" t="s">
        <v>1155</v>
      </c>
      <c r="B6" s="288">
        <f>B5*3.6</f>
        <v>0.27164997360000004</v>
      </c>
    </row>
    <row r="7" spans="1:7" x14ac:dyDescent="0.25">
      <c r="A7" s="15" t="s">
        <v>1156</v>
      </c>
      <c r="B7" s="27">
        <v>3.0609121518212299E-2</v>
      </c>
    </row>
    <row r="8" spans="1:7" x14ac:dyDescent="0.25">
      <c r="A8" s="15" t="s">
        <v>1157</v>
      </c>
      <c r="B8" s="27">
        <v>36</v>
      </c>
    </row>
    <row r="9" spans="1:7" x14ac:dyDescent="0.25">
      <c r="A9" s="15" t="s">
        <v>1158</v>
      </c>
      <c r="B9" s="27">
        <f>B7*B8</f>
        <v>1.1019283746556428</v>
      </c>
    </row>
    <row r="10" spans="1:7" x14ac:dyDescent="0.25">
      <c r="A10" s="15" t="s">
        <v>1159</v>
      </c>
      <c r="B10" s="27">
        <v>1</v>
      </c>
    </row>
    <row r="11" spans="1:7" x14ac:dyDescent="0.25">
      <c r="A11" s="34" t="s">
        <v>1160</v>
      </c>
      <c r="B11" s="295">
        <f>B10/B9</f>
        <v>0.90750000000000386</v>
      </c>
    </row>
    <row r="12" spans="1:7" x14ac:dyDescent="0.25">
      <c r="B12" s="170"/>
    </row>
    <row r="13" spans="1:7" x14ac:dyDescent="0.25">
      <c r="A13" s="294" t="s">
        <v>1575</v>
      </c>
    </row>
    <row r="14" spans="1:7" x14ac:dyDescent="0.25">
      <c r="A14" s="268" t="s">
        <v>1129</v>
      </c>
      <c r="B14" s="269" t="s">
        <v>1215</v>
      </c>
      <c r="C14" t="s">
        <v>3</v>
      </c>
    </row>
    <row r="15" spans="1:7" x14ac:dyDescent="0.25">
      <c r="A15" s="15" t="s">
        <v>1154</v>
      </c>
      <c r="B15" s="302">
        <v>2.1251487999999999E-2</v>
      </c>
    </row>
    <row r="16" spans="1:7" x14ac:dyDescent="0.25">
      <c r="A16" s="34" t="s">
        <v>1155</v>
      </c>
      <c r="B16" s="292">
        <f>B15*3.6</f>
        <v>7.6505356799999993E-2</v>
      </c>
    </row>
    <row r="17" spans="1:8" x14ac:dyDescent="0.25">
      <c r="A17" s="15"/>
      <c r="B17" s="19"/>
    </row>
    <row r="18" spans="1:8" x14ac:dyDescent="0.25">
      <c r="A18" s="296" t="s">
        <v>1212</v>
      </c>
      <c r="B18" s="19"/>
      <c r="C18" s="19"/>
    </row>
    <row r="19" spans="1:8" x14ac:dyDescent="0.25">
      <c r="A19" s="268" t="s">
        <v>1129</v>
      </c>
      <c r="B19" s="269" t="s">
        <v>1214</v>
      </c>
      <c r="C19" t="s">
        <v>3</v>
      </c>
    </row>
    <row r="20" spans="1:8" x14ac:dyDescent="0.25">
      <c r="A20" s="15" t="s">
        <v>1154</v>
      </c>
      <c r="B20" s="302">
        <v>0.11536333</v>
      </c>
    </row>
    <row r="21" spans="1:8" x14ac:dyDescent="0.25">
      <c r="A21" s="34" t="s">
        <v>1155</v>
      </c>
      <c r="B21" s="292">
        <f>B20*3.6</f>
        <v>0.41530798800000002</v>
      </c>
    </row>
    <row r="22" spans="1:8" ht="33.4" customHeight="1" x14ac:dyDescent="0.25"/>
    <row r="23" spans="1:8" ht="18.75" x14ac:dyDescent="0.3">
      <c r="A23" s="303" t="s">
        <v>1150</v>
      </c>
    </row>
    <row r="24" spans="1:8" x14ac:dyDescent="0.25">
      <c r="A24" s="68"/>
    </row>
    <row r="25" spans="1:8" x14ac:dyDescent="0.25">
      <c r="A25" s="294" t="s">
        <v>1210</v>
      </c>
    </row>
    <row r="26" spans="1:8" x14ac:dyDescent="0.25">
      <c r="A26" s="268" t="s">
        <v>1129</v>
      </c>
      <c r="B26" s="269" t="s">
        <v>1140</v>
      </c>
      <c r="C26" s="169" t="s">
        <v>3</v>
      </c>
      <c r="H26" s="68"/>
    </row>
    <row r="27" spans="1:8" x14ac:dyDescent="0.25">
      <c r="A27" s="15" t="s">
        <v>1155</v>
      </c>
      <c r="B27" s="300">
        <v>9.6783945999999996E-2</v>
      </c>
      <c r="C27" t="s">
        <v>3</v>
      </c>
    </row>
    <row r="28" spans="1:8" x14ac:dyDescent="0.25">
      <c r="A28" s="34" t="s">
        <v>1161</v>
      </c>
      <c r="B28" s="289">
        <v>0.5</v>
      </c>
      <c r="C28" t="s">
        <v>3</v>
      </c>
    </row>
    <row r="29" spans="1:8" x14ac:dyDescent="0.25">
      <c r="A29" s="268" t="s">
        <v>1129</v>
      </c>
      <c r="B29" s="269" t="s">
        <v>1162</v>
      </c>
      <c r="C29" t="s">
        <v>3</v>
      </c>
    </row>
    <row r="30" spans="1:8" x14ac:dyDescent="0.25">
      <c r="A30" s="15" t="s">
        <v>1154</v>
      </c>
      <c r="B30" s="27">
        <v>4.3802064999999999E-3</v>
      </c>
    </row>
    <row r="31" spans="1:8" x14ac:dyDescent="0.25">
      <c r="A31" s="15" t="s">
        <v>1155</v>
      </c>
      <c r="B31" s="463">
        <f>B30*3.6</f>
        <v>1.57687434E-2</v>
      </c>
      <c r="C31" t="s">
        <v>3</v>
      </c>
    </row>
    <row r="32" spans="1:8" x14ac:dyDescent="0.25">
      <c r="A32" s="34" t="s">
        <v>1161</v>
      </c>
      <c r="B32" s="289">
        <v>0.5</v>
      </c>
      <c r="C32" t="s">
        <v>3</v>
      </c>
    </row>
    <row r="33" spans="1:3" x14ac:dyDescent="0.25">
      <c r="A33" s="280" t="s">
        <v>1466</v>
      </c>
      <c r="B33" s="301">
        <f>B27*B28+B31*B32</f>
        <v>5.6276344699999994E-2</v>
      </c>
      <c r="C33" t="s">
        <v>3</v>
      </c>
    </row>
    <row r="34" spans="1:3" x14ac:dyDescent="0.25">
      <c r="A34" s="273" t="s">
        <v>1163</v>
      </c>
      <c r="B34" s="293">
        <v>0.25</v>
      </c>
    </row>
    <row r="35" spans="1:3" x14ac:dyDescent="0.25">
      <c r="A35" s="291" t="s">
        <v>1911</v>
      </c>
      <c r="B35" s="289">
        <v>0.25</v>
      </c>
    </row>
    <row r="36" spans="1:3" x14ac:dyDescent="0.25">
      <c r="A36" s="291" t="s">
        <v>1467</v>
      </c>
      <c r="B36" s="292">
        <f>(1-B34)*B33+B34*B33/(1-B35)</f>
        <v>6.0966040091666659E-2</v>
      </c>
    </row>
    <row r="38" spans="1:3" x14ac:dyDescent="0.25">
      <c r="A38" s="294" t="s">
        <v>1211</v>
      </c>
    </row>
    <row r="39" spans="1:3" x14ac:dyDescent="0.25">
      <c r="A39" s="268" t="s">
        <v>1213</v>
      </c>
      <c r="B39" s="297">
        <f>AVERAGE(95%,99%)</f>
        <v>0.97</v>
      </c>
    </row>
    <row r="40" spans="1:3" x14ac:dyDescent="0.25">
      <c r="A40" s="34" t="s">
        <v>1467</v>
      </c>
      <c r="B40" s="292">
        <f>B36/B39</f>
        <v>6.2851587723367686E-2</v>
      </c>
    </row>
    <row r="41" spans="1:3" x14ac:dyDescent="0.25">
      <c r="A41" s="15"/>
      <c r="B41" s="287"/>
    </row>
    <row r="42" spans="1:3" x14ac:dyDescent="0.25">
      <c r="A42" s="296" t="s">
        <v>1212</v>
      </c>
      <c r="B42" s="19"/>
      <c r="C42" s="19"/>
    </row>
    <row r="43" spans="1:3" x14ac:dyDescent="0.25">
      <c r="A43" s="298" t="s">
        <v>1467</v>
      </c>
      <c r="B43" s="290">
        <f>B36</f>
        <v>6.0966040091666659E-2</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EF257-E774-4FC5-8D75-28952DAC8359}">
  <sheetPr>
    <tabColor rgb="FF7A468A"/>
  </sheetPr>
  <dimension ref="A1:U56"/>
  <sheetViews>
    <sheetView zoomScale="55" zoomScaleNormal="55" workbookViewId="0">
      <selection activeCell="A55" sqref="A55"/>
    </sheetView>
  </sheetViews>
  <sheetFormatPr defaultRowHeight="15" x14ac:dyDescent="0.25"/>
  <cols>
    <col min="1" max="1" width="54.7109375" customWidth="1"/>
    <col min="2" max="11" width="9" customWidth="1"/>
    <col min="12" max="15" width="10.7109375" customWidth="1"/>
    <col min="16" max="17" width="10.7109375" style="19" customWidth="1"/>
    <col min="18" max="20" width="10.7109375" customWidth="1"/>
  </cols>
  <sheetData>
    <row r="1" spans="1:21" x14ac:dyDescent="0.25">
      <c r="A1" s="335"/>
      <c r="B1" s="917"/>
      <c r="C1" s="917"/>
      <c r="D1" s="1526"/>
      <c r="E1" s="1526"/>
      <c r="F1" s="1131"/>
      <c r="G1" s="1132"/>
      <c r="H1" s="917"/>
      <c r="I1" s="1132"/>
      <c r="J1" s="917"/>
      <c r="K1" s="917"/>
      <c r="L1" s="1542" t="s">
        <v>1147</v>
      </c>
      <c r="M1" s="1543"/>
      <c r="N1" s="1545"/>
      <c r="O1" s="1546" t="s">
        <v>1218</v>
      </c>
      <c r="P1" s="1546"/>
      <c r="Q1" s="1547"/>
      <c r="R1" s="1542" t="s">
        <v>1148</v>
      </c>
      <c r="S1" s="1543"/>
      <c r="T1" s="1544"/>
    </row>
    <row r="2" spans="1:21" ht="15.75" thickBot="1" x14ac:dyDescent="0.3">
      <c r="A2" s="341" t="s">
        <v>1164</v>
      </c>
      <c r="B2" s="1128" t="s">
        <v>1165</v>
      </c>
      <c r="C2" s="1128" t="s">
        <v>1166</v>
      </c>
      <c r="D2" s="1133" t="s">
        <v>1167</v>
      </c>
      <c r="E2" s="1133" t="s">
        <v>1168</v>
      </c>
      <c r="F2" s="1134" t="s">
        <v>1169</v>
      </c>
      <c r="G2" s="1135" t="s">
        <v>1170</v>
      </c>
      <c r="H2" s="1128" t="s">
        <v>1171</v>
      </c>
      <c r="I2" s="1133" t="s">
        <v>1220</v>
      </c>
      <c r="J2" s="1128" t="s">
        <v>1795</v>
      </c>
      <c r="K2" s="1128" t="s">
        <v>1219</v>
      </c>
      <c r="L2" s="1136" t="s">
        <v>1216</v>
      </c>
      <c r="M2" s="1137" t="s">
        <v>1217</v>
      </c>
      <c r="N2" s="1152" t="s">
        <v>1905</v>
      </c>
      <c r="O2" s="1138" t="s">
        <v>1174</v>
      </c>
      <c r="P2" s="1139" t="s">
        <v>1903</v>
      </c>
      <c r="Q2" s="1163" t="s">
        <v>1904</v>
      </c>
      <c r="R2" s="1136" t="s">
        <v>1216</v>
      </c>
      <c r="S2" s="1137" t="s">
        <v>1217</v>
      </c>
      <c r="T2" s="1140" t="s">
        <v>1905</v>
      </c>
      <c r="U2" s="1159" t="s">
        <v>3</v>
      </c>
    </row>
    <row r="3" spans="1:21" x14ac:dyDescent="0.25">
      <c r="A3" s="1141" t="s">
        <v>1172</v>
      </c>
      <c r="B3" s="1132">
        <v>0.78019596961229998</v>
      </c>
      <c r="C3" s="1132">
        <v>6.6650719723999998</v>
      </c>
      <c r="D3" s="1142">
        <v>3.4207973511639997E-2</v>
      </c>
      <c r="E3" s="1142">
        <v>0.33293235928999998</v>
      </c>
      <c r="F3" s="1132">
        <v>0.66991326719835997</v>
      </c>
      <c r="G3" s="1143" t="s">
        <v>1173</v>
      </c>
      <c r="H3" s="1143" t="s">
        <v>1174</v>
      </c>
      <c r="I3" s="1160" t="s">
        <v>466</v>
      </c>
      <c r="J3" s="1144" t="s">
        <v>18</v>
      </c>
      <c r="K3" s="1145" t="s">
        <v>3</v>
      </c>
      <c r="L3" s="1123">
        <f>B3/3.6*'S2.5 energy supply scenarios'!$B$21</f>
        <v>9.0006005107053741E-2</v>
      </c>
      <c r="M3" s="23">
        <f>C3/3.6*'S2.5 energy supply scenarios'!$B$16</f>
        <v>0.1416426970405949</v>
      </c>
      <c r="N3" s="1153">
        <f>SUM(L3,M3,F3)</f>
        <v>0.90156196934600863</v>
      </c>
      <c r="O3" s="1156">
        <f t="shared" ref="O3:O19" si="0">SUM(D3,E3,F3)</f>
        <v>1.0370535999999999</v>
      </c>
      <c r="P3" s="1158"/>
      <c r="Q3" s="1124"/>
      <c r="R3" s="1123">
        <f>B3/3.6*'S2.5 energy supply scenarios'!$B$43</f>
        <v>1.3212627434094506E-2</v>
      </c>
      <c r="S3" s="23">
        <f>C3/3.6*'S2.5 energy supply scenarios'!$B$40</f>
        <v>0.11636398770996051</v>
      </c>
      <c r="T3" s="1125">
        <f>SUM(R3,S3,F3)</f>
        <v>0.79948988234241503</v>
      </c>
    </row>
    <row r="4" spans="1:21" x14ac:dyDescent="0.25">
      <c r="A4" s="900" t="s">
        <v>1175</v>
      </c>
      <c r="B4" s="272">
        <v>2.0221162516020001</v>
      </c>
      <c r="C4" s="272">
        <v>10.42870748</v>
      </c>
      <c r="D4" s="854">
        <v>8.9896080627200003E-2</v>
      </c>
      <c r="E4" s="854">
        <v>0.64298372997999997</v>
      </c>
      <c r="F4" s="272">
        <v>0.4108447893928</v>
      </c>
      <c r="G4" s="1146" t="s">
        <v>1173</v>
      </c>
      <c r="H4" s="1146" t="s">
        <v>1174</v>
      </c>
      <c r="I4" s="22" t="s">
        <v>466</v>
      </c>
      <c r="J4" s="23" t="s">
        <v>18</v>
      </c>
      <c r="K4" s="1130" t="s">
        <v>3</v>
      </c>
      <c r="L4" s="1123">
        <f>B4/3.6*'S2.5 energy supply scenarios'!$B$21</f>
        <v>0.23327806443192456</v>
      </c>
      <c r="M4" s="23">
        <f>C4/3.6*'S2.5 energy supply scenarios'!$B$16</f>
        <v>0.22162555186673022</v>
      </c>
      <c r="N4" s="1153">
        <f>SUM(L4,M4,F4)</f>
        <v>0.86574840569145484</v>
      </c>
      <c r="O4" s="1157">
        <f t="shared" si="0"/>
        <v>1.1437246000000001</v>
      </c>
      <c r="P4" s="1153"/>
      <c r="Q4" s="1124"/>
      <c r="R4" s="1123">
        <f>B4/3.6*'S2.5 energy supply scenarios'!$B$43</f>
        <v>3.4244561240327286E-2</v>
      </c>
      <c r="S4" s="23">
        <f>C4/3.6*'S2.5 energy supply scenarios'!$B$40</f>
        <v>0.18207245083904464</v>
      </c>
      <c r="T4" s="1125">
        <f>SUM(R4,S4,F4)</f>
        <v>0.62716180147217193</v>
      </c>
    </row>
    <row r="5" spans="1:21" x14ac:dyDescent="0.25">
      <c r="A5" s="900" t="s">
        <v>1176</v>
      </c>
      <c r="B5" s="272">
        <v>3.4984097301829999</v>
      </c>
      <c r="C5" s="272">
        <v>2.8003104088000002</v>
      </c>
      <c r="D5" s="854">
        <v>0.15653123887500001</v>
      </c>
      <c r="E5" s="854">
        <v>0.19299690953500001</v>
      </c>
      <c r="F5" s="272">
        <v>0.23734611158999999</v>
      </c>
      <c r="G5" s="1146" t="s">
        <v>1177</v>
      </c>
      <c r="H5" s="1146" t="s">
        <v>1174</v>
      </c>
      <c r="I5" s="22" t="s">
        <v>448</v>
      </c>
      <c r="J5" s="23" t="s">
        <v>448</v>
      </c>
      <c r="K5" s="1147">
        <v>1.123</v>
      </c>
      <c r="L5" s="1123">
        <f>B5/3.6*'S2.5 energy supply scenarios'!$B$21/K5</f>
        <v>0.35938396810179202</v>
      </c>
      <c r="M5" s="23">
        <f>C5*'S2.5 energy supply scenarios'!$B$16/K5</f>
        <v>0.19077359481388945</v>
      </c>
      <c r="N5" s="1153">
        <f>SUM(L5,M5,F5/K5)</f>
        <v>0.76150761775984877</v>
      </c>
      <c r="O5" s="1157">
        <f t="shared" si="0"/>
        <v>0.58687425999999998</v>
      </c>
      <c r="P5" s="1153">
        <v>1.8077847880608018</v>
      </c>
      <c r="Q5" s="1124">
        <f t="shared" ref="Q5:Q47" si="1">(N5-P5)/N5</f>
        <v>-1.3739549623663909</v>
      </c>
      <c r="R5" s="1123">
        <f>B5/3.6*'S2.5 energy supply scenarios'!$B$43/K5</f>
        <v>5.275655186193072E-2</v>
      </c>
      <c r="S5" s="23">
        <f>C5/3.6*'S2.5 energy supply scenarios'!$B$40/K5</f>
        <v>4.3535162588145056E-2</v>
      </c>
      <c r="T5" s="1125">
        <f>SUM(R5,S5,F5/K5)</f>
        <v>0.30764176929424319</v>
      </c>
    </row>
    <row r="6" spans="1:21" x14ac:dyDescent="0.25">
      <c r="A6" s="900" t="s">
        <v>1178</v>
      </c>
      <c r="B6" s="272">
        <v>0.41281114354409998</v>
      </c>
      <c r="C6" s="272">
        <v>18.050670687</v>
      </c>
      <c r="D6" s="854">
        <v>1.854929345056E-2</v>
      </c>
      <c r="E6" s="854">
        <v>1.2448777544930001</v>
      </c>
      <c r="F6" s="272">
        <v>0.57252515205643995</v>
      </c>
      <c r="G6" s="1146" t="s">
        <v>1173</v>
      </c>
      <c r="H6" s="1146" t="s">
        <v>1174</v>
      </c>
      <c r="I6" s="22" t="s">
        <v>454</v>
      </c>
      <c r="J6" s="23" t="s">
        <v>454</v>
      </c>
      <c r="K6" s="1130" t="s">
        <v>3</v>
      </c>
      <c r="L6" s="1123">
        <f>B6/3.6*'S2.5 energy supply scenarios'!$B$21</f>
        <v>4.762326818035538E-2</v>
      </c>
      <c r="M6" s="23">
        <f>C6/3.6*'S2.5 energy supply scenarios'!$B$16</f>
        <v>0.38360361149673222</v>
      </c>
      <c r="N6" s="1153">
        <f t="shared" ref="N6:N19" si="2">SUM(L6,M6,F6)</f>
        <v>1.0037520317335276</v>
      </c>
      <c r="O6" s="1157">
        <f t="shared" si="0"/>
        <v>1.8359521999999999</v>
      </c>
      <c r="P6" s="1153">
        <v>1.6000000000000003</v>
      </c>
      <c r="Q6" s="1124">
        <f t="shared" si="1"/>
        <v>-0.59401918941745413</v>
      </c>
      <c r="R6" s="1123">
        <f>B6/3.6*'S2.5 energy supply scenarios'!$B$43</f>
        <v>6.9909613132212107E-3</v>
      </c>
      <c r="S6" s="23">
        <f>C6/3.6*'S2.5 energy supply scenarios'!$B$40</f>
        <v>0.31514258670822282</v>
      </c>
      <c r="T6" s="1125">
        <f t="shared" ref="T6:T19" si="3">SUM(R6,S6,F6)</f>
        <v>0.89465870007788395</v>
      </c>
    </row>
    <row r="7" spans="1:21" x14ac:dyDescent="0.25">
      <c r="A7" s="900" t="s">
        <v>1179</v>
      </c>
      <c r="B7" s="272">
        <v>0.48106425547199999</v>
      </c>
      <c r="C7" s="272">
        <v>19.672185492000001</v>
      </c>
      <c r="D7" s="854">
        <v>2.0866098044890001E-2</v>
      </c>
      <c r="E7" s="854">
        <v>1.3608458677299999</v>
      </c>
      <c r="F7" s="272">
        <v>0.71704163422511003</v>
      </c>
      <c r="G7" s="1146" t="s">
        <v>1173</v>
      </c>
      <c r="H7" s="1146" t="s">
        <v>1174</v>
      </c>
      <c r="I7" s="22" t="s">
        <v>461</v>
      </c>
      <c r="J7" s="23" t="s">
        <v>461</v>
      </c>
      <c r="K7" s="1130" t="s">
        <v>3</v>
      </c>
      <c r="L7" s="1123">
        <f>B7/3.6*'S2.5 energy supply scenarios'!$B$21</f>
        <v>5.5497174455220649E-2</v>
      </c>
      <c r="M7" s="23">
        <f>C7/3.6*'S2.5 energy supply scenarios'!$B$16</f>
        <v>0.41806321391701207</v>
      </c>
      <c r="N7" s="1153">
        <f t="shared" si="2"/>
        <v>1.1906020225973428</v>
      </c>
      <c r="O7" s="1157">
        <f t="shared" si="0"/>
        <v>2.0987536000000002</v>
      </c>
      <c r="P7" s="1153">
        <v>1.1966940764577962</v>
      </c>
      <c r="Q7" s="1124">
        <f t="shared" si="1"/>
        <v>-5.1167844038794543E-3</v>
      </c>
      <c r="R7" s="1123">
        <f>B7/3.6*'S2.5 energy supply scenarios'!$B$43</f>
        <v>8.1468285238260347E-3</v>
      </c>
      <c r="S7" s="23">
        <f>C7/3.6*'S2.5 energy supply scenarios'!$B$40</f>
        <v>0.34345224782244416</v>
      </c>
      <c r="T7" s="1125">
        <f t="shared" si="3"/>
        <v>1.0686407105713802</v>
      </c>
    </row>
    <row r="8" spans="1:21" x14ac:dyDescent="0.25">
      <c r="A8" s="900" t="s">
        <v>1180</v>
      </c>
      <c r="B8" s="272">
        <v>0.44649308756040001</v>
      </c>
      <c r="C8" s="272">
        <v>21.967414976000001</v>
      </c>
      <c r="D8" s="854">
        <v>2.0013739551319999E-2</v>
      </c>
      <c r="E8" s="854">
        <v>1.534277952646</v>
      </c>
      <c r="F8" s="272">
        <v>0.60351920780267998</v>
      </c>
      <c r="G8" s="1146" t="s">
        <v>1173</v>
      </c>
      <c r="H8" s="1146" t="s">
        <v>1174</v>
      </c>
      <c r="I8" s="22" t="s">
        <v>443</v>
      </c>
      <c r="J8" s="1146" t="s">
        <v>443</v>
      </c>
      <c r="K8" s="1130" t="s">
        <v>3</v>
      </c>
      <c r="L8" s="1123">
        <f>B8/3.6*'S2.5 energy supply scenarios'!$B$21</f>
        <v>5.1508929402949322E-2</v>
      </c>
      <c r="M8" s="23">
        <f>C8/3.6*'S2.5 energy supply scenarios'!$B$16</f>
        <v>0.46684025575348426</v>
      </c>
      <c r="N8" s="1153">
        <f t="shared" si="2"/>
        <v>1.1218683929591136</v>
      </c>
      <c r="O8" s="1157">
        <f t="shared" si="0"/>
        <v>2.1578108999999999</v>
      </c>
      <c r="P8" s="1153">
        <v>1.2906666666666666</v>
      </c>
      <c r="Q8" s="1124">
        <f t="shared" si="1"/>
        <v>-0.1504617428986654</v>
      </c>
      <c r="R8" s="1123">
        <f>B8/3.6*'S2.5 energy supply scenarios'!$B$43</f>
        <v>7.5613654102387158E-3</v>
      </c>
      <c r="S8" s="23">
        <f>C8/3.6*'S2.5 energy supply scenarios'!$B$40</f>
        <v>0.3835241415054681</v>
      </c>
      <c r="T8" s="1125">
        <f t="shared" si="3"/>
        <v>0.99460471471838674</v>
      </c>
    </row>
    <row r="9" spans="1:21" x14ac:dyDescent="0.25">
      <c r="A9" s="900" t="s">
        <v>1181</v>
      </c>
      <c r="B9" s="272">
        <v>4.7590149927909997E-2</v>
      </c>
      <c r="C9" s="272">
        <v>3.9899178281999998</v>
      </c>
      <c r="D9" s="854">
        <v>2.1292329368489999E-3</v>
      </c>
      <c r="E9" s="854">
        <v>0.27170564159260002</v>
      </c>
      <c r="F9" s="272">
        <v>0.447141585470551</v>
      </c>
      <c r="G9" s="1146" t="s">
        <v>1173</v>
      </c>
      <c r="H9" s="1146" t="s">
        <v>1174</v>
      </c>
      <c r="I9" s="22" t="s">
        <v>443</v>
      </c>
      <c r="J9" s="1146" t="s">
        <v>443</v>
      </c>
      <c r="K9" s="1130" t="s">
        <v>3</v>
      </c>
      <c r="L9" s="1123">
        <f>B9/3.6*'S2.5 energy supply scenarios'!$B$21</f>
        <v>5.4901581708829573E-3</v>
      </c>
      <c r="M9" s="23">
        <f>C9/3.6*'S2.5 energy supply scenarios'!$B$16</f>
        <v>8.4791690846978351E-2</v>
      </c>
      <c r="N9" s="1153">
        <f t="shared" si="2"/>
        <v>0.53742343448841234</v>
      </c>
      <c r="O9" s="1157">
        <f t="shared" si="0"/>
        <v>0.72097646000000004</v>
      </c>
      <c r="P9" s="1153">
        <v>1.2906666666666666</v>
      </c>
      <c r="Q9" s="1124">
        <f t="shared" si="1"/>
        <v>-1.4015824093999298</v>
      </c>
      <c r="R9" s="1123">
        <f>B9/3.6*'S2.5 energy supply scenarios'!$B$43</f>
        <v>8.0593971902038553E-4</v>
      </c>
      <c r="S9" s="23">
        <f>C9/3.6*'S2.5 energy supply scenarios'!$B$40</f>
        <v>6.9659075107816937E-2</v>
      </c>
      <c r="T9" s="1125">
        <f t="shared" si="3"/>
        <v>0.51760660029738836</v>
      </c>
    </row>
    <row r="10" spans="1:21" x14ac:dyDescent="0.25">
      <c r="A10" s="126" t="s">
        <v>1209</v>
      </c>
      <c r="B10" s="19">
        <v>0.93863374333799998</v>
      </c>
      <c r="C10" s="19">
        <v>21.189218667999999</v>
      </c>
      <c r="D10" s="378">
        <v>4.1542869574080002E-2</v>
      </c>
      <c r="E10" s="378">
        <v>1.47449621725</v>
      </c>
      <c r="F10" s="19">
        <v>0.77151391317592</v>
      </c>
      <c r="G10" s="1146" t="s">
        <v>1173</v>
      </c>
      <c r="H10" s="1146" t="s">
        <v>1174</v>
      </c>
      <c r="I10" s="22" t="s">
        <v>443</v>
      </c>
      <c r="J10" s="1146" t="s">
        <v>443</v>
      </c>
      <c r="K10" s="1130" t="s">
        <v>3</v>
      </c>
      <c r="L10" s="1123">
        <f>B10/3.6*'S2.5 energy supply scenarios'!$B$21</f>
        <v>0.10828391428183701</v>
      </c>
      <c r="M10" s="23">
        <f>C10/3.6*'S2.5 energy supply scenarios'!$B$16</f>
        <v>0.45030242625237793</v>
      </c>
      <c r="N10" s="1153">
        <f t="shared" si="2"/>
        <v>1.330100253710135</v>
      </c>
      <c r="O10" s="1157">
        <f t="shared" si="0"/>
        <v>2.2875529999999999</v>
      </c>
      <c r="P10" s="1153">
        <v>1.2906666666666666</v>
      </c>
      <c r="Q10" s="1124">
        <f t="shared" si="1"/>
        <v>2.9647078807385884E-2</v>
      </c>
      <c r="R10" s="1123">
        <f>B10/3.6*'S2.5 energy supply scenarios'!$B$43</f>
        <v>1.589577289659324E-2</v>
      </c>
      <c r="S10" s="23">
        <f>C10/3.6*'S2.5 energy supply scenarios'!$B$40</f>
        <v>0.36993778775039504</v>
      </c>
      <c r="T10" s="1125">
        <f t="shared" si="3"/>
        <v>1.1573474738229081</v>
      </c>
    </row>
    <row r="11" spans="1:21" x14ac:dyDescent="0.25">
      <c r="A11" s="900" t="s">
        <v>1182</v>
      </c>
      <c r="B11" s="272">
        <v>0.44649308856039999</v>
      </c>
      <c r="C11" s="272">
        <v>21.967414986000001</v>
      </c>
      <c r="D11" s="854">
        <v>2.0013739551319999E-2</v>
      </c>
      <c r="E11" s="854">
        <v>1.5342779536460001</v>
      </c>
      <c r="F11" s="272">
        <v>0.60351920680268001</v>
      </c>
      <c r="G11" s="1146" t="s">
        <v>1173</v>
      </c>
      <c r="H11" s="1146" t="s">
        <v>1174</v>
      </c>
      <c r="I11" s="22" t="s">
        <v>1222</v>
      </c>
      <c r="J11" s="23" t="s">
        <v>18</v>
      </c>
      <c r="K11" s="1130" t="s">
        <v>3</v>
      </c>
      <c r="L11" s="1123">
        <f>B11/3.6*'S2.5 energy supply scenarios'!$B$21</f>
        <v>5.1508929518312652E-2</v>
      </c>
      <c r="M11" s="23">
        <f>C11/3.6*'S2.5 energy supply scenarios'!$B$16</f>
        <v>0.46684025596599915</v>
      </c>
      <c r="N11" s="1153">
        <f t="shared" si="2"/>
        <v>1.1218683922869919</v>
      </c>
      <c r="O11" s="1157">
        <f t="shared" si="0"/>
        <v>2.1578109000000003</v>
      </c>
      <c r="P11" s="1153"/>
      <c r="Q11" s="1124"/>
      <c r="R11" s="1123">
        <f>B11/3.6*'S2.5 energy supply scenarios'!$B$43</f>
        <v>7.5613654271737265E-3</v>
      </c>
      <c r="S11" s="23">
        <f>C11/3.6*'S2.5 energy supply scenarios'!$B$40</f>
        <v>0.38352414168005583</v>
      </c>
      <c r="T11" s="1125">
        <f t="shared" si="3"/>
        <v>0.99460471390990957</v>
      </c>
    </row>
    <row r="12" spans="1:21" x14ac:dyDescent="0.25">
      <c r="A12" s="900" t="s">
        <v>1183</v>
      </c>
      <c r="B12" s="272">
        <v>4.7590149927909997E-2</v>
      </c>
      <c r="C12" s="272">
        <v>3.9899178281999998</v>
      </c>
      <c r="D12" s="854">
        <v>2.1292329368489999E-3</v>
      </c>
      <c r="E12" s="854">
        <v>0.27170564259259999</v>
      </c>
      <c r="F12" s="272">
        <v>0.44714159447055102</v>
      </c>
      <c r="G12" s="1146" t="s">
        <v>1173</v>
      </c>
      <c r="H12" s="1146" t="s">
        <v>1174</v>
      </c>
      <c r="I12" s="22" t="s">
        <v>1222</v>
      </c>
      <c r="J12" s="23" t="s">
        <v>18</v>
      </c>
      <c r="K12" s="1130" t="s">
        <v>3</v>
      </c>
      <c r="L12" s="1123">
        <f>B12/3.6*'S2.5 energy supply scenarios'!$B$21</f>
        <v>5.4901581708829573E-3</v>
      </c>
      <c r="M12" s="23">
        <f>C12/3.6*'S2.5 energy supply scenarios'!$B$16</f>
        <v>8.4791690846978351E-2</v>
      </c>
      <c r="N12" s="1153">
        <f t="shared" si="2"/>
        <v>0.53742344348841231</v>
      </c>
      <c r="O12" s="1157">
        <f t="shared" si="0"/>
        <v>0.72097647000000009</v>
      </c>
      <c r="P12" s="1153"/>
      <c r="Q12" s="1124"/>
      <c r="R12" s="1123">
        <f>B12/3.6*'S2.5 energy supply scenarios'!$B$43</f>
        <v>8.0593971902038553E-4</v>
      </c>
      <c r="S12" s="23">
        <f>C12/3.6*'S2.5 energy supply scenarios'!$B$40</f>
        <v>6.9659075107816937E-2</v>
      </c>
      <c r="T12" s="1125">
        <f t="shared" si="3"/>
        <v>0.51760660929738833</v>
      </c>
    </row>
    <row r="13" spans="1:21" x14ac:dyDescent="0.25">
      <c r="A13" s="900" t="s">
        <v>1184</v>
      </c>
      <c r="B13" s="272">
        <v>0.44649308756040001</v>
      </c>
      <c r="C13" s="272">
        <v>21.967414976000001</v>
      </c>
      <c r="D13" s="854">
        <v>2.0013739551319999E-2</v>
      </c>
      <c r="E13" s="854">
        <v>1.534277952646</v>
      </c>
      <c r="F13" s="272">
        <v>0.60351920780267998</v>
      </c>
      <c r="G13" s="1146" t="s">
        <v>1173</v>
      </c>
      <c r="H13" s="1146" t="s">
        <v>1174</v>
      </c>
      <c r="I13" s="22" t="s">
        <v>1222</v>
      </c>
      <c r="J13" s="23" t="s">
        <v>18</v>
      </c>
      <c r="K13" s="1130" t="s">
        <v>3</v>
      </c>
      <c r="L13" s="1123">
        <f>B13/3.6*'S2.5 energy supply scenarios'!$B$21</f>
        <v>5.1508929402949322E-2</v>
      </c>
      <c r="M13" s="23">
        <f>C13/3.6*'S2.5 energy supply scenarios'!$B$16</f>
        <v>0.46684025575348426</v>
      </c>
      <c r="N13" s="1153">
        <f t="shared" si="2"/>
        <v>1.1218683929591136</v>
      </c>
      <c r="O13" s="1157">
        <f t="shared" si="0"/>
        <v>2.1578108999999999</v>
      </c>
      <c r="P13" s="1153"/>
      <c r="Q13" s="1124"/>
      <c r="R13" s="1123">
        <f>B13/3.6*'S2.5 energy supply scenarios'!$B$43</f>
        <v>7.5613654102387158E-3</v>
      </c>
      <c r="S13" s="23">
        <f>C13/3.6*'S2.5 energy supply scenarios'!$B$40</f>
        <v>0.3835241415054681</v>
      </c>
      <c r="T13" s="1125">
        <f t="shared" si="3"/>
        <v>0.99460471471838674</v>
      </c>
    </row>
    <row r="14" spans="1:21" x14ac:dyDescent="0.25">
      <c r="A14" s="900" t="s">
        <v>1185</v>
      </c>
      <c r="B14" s="272">
        <v>4.7590149927909997E-2</v>
      </c>
      <c r="C14" s="272">
        <v>3.9899178281999998</v>
      </c>
      <c r="D14" s="854">
        <v>2.1292329368489999E-3</v>
      </c>
      <c r="E14" s="854">
        <v>0.27170563159260003</v>
      </c>
      <c r="F14" s="272">
        <v>0.44714159547055099</v>
      </c>
      <c r="G14" s="1146" t="s">
        <v>1173</v>
      </c>
      <c r="H14" s="1146" t="s">
        <v>1174</v>
      </c>
      <c r="I14" s="22" t="s">
        <v>1222</v>
      </c>
      <c r="J14" s="23" t="s">
        <v>18</v>
      </c>
      <c r="K14" s="1130" t="s">
        <v>3</v>
      </c>
      <c r="L14" s="1123">
        <f>B14/3.6*'S2.5 energy supply scenarios'!$B$21</f>
        <v>5.4901581708829573E-3</v>
      </c>
      <c r="M14" s="23">
        <f>C14/3.6*'S2.5 energy supply scenarios'!$B$16</f>
        <v>8.4791690846978351E-2</v>
      </c>
      <c r="N14" s="1153">
        <f t="shared" si="2"/>
        <v>0.53742344448841228</v>
      </c>
      <c r="O14" s="1157">
        <f t="shared" si="0"/>
        <v>0.72097646000000004</v>
      </c>
      <c r="P14" s="1153"/>
      <c r="Q14" s="1124"/>
      <c r="R14" s="1123">
        <f>B14/3.6*'S2.5 energy supply scenarios'!$B$43</f>
        <v>8.0593971902038553E-4</v>
      </c>
      <c r="S14" s="23">
        <f>C14/3.6*'S2.5 energy supply scenarios'!$B$40</f>
        <v>6.9659075107816937E-2</v>
      </c>
      <c r="T14" s="1125">
        <f t="shared" si="3"/>
        <v>0.5176066102973883</v>
      </c>
    </row>
    <row r="15" spans="1:21" x14ac:dyDescent="0.25">
      <c r="A15" s="900" t="s">
        <v>1186</v>
      </c>
      <c r="B15" s="272">
        <v>0.30237194125130001</v>
      </c>
      <c r="C15" s="272">
        <v>16.893210877000001</v>
      </c>
      <c r="D15" s="854">
        <v>1.3682898702289999E-2</v>
      </c>
      <c r="E15" s="854">
        <v>1.1848167014919999</v>
      </c>
      <c r="F15" s="272">
        <v>0.56168229980571005</v>
      </c>
      <c r="G15" s="1146" t="s">
        <v>1173</v>
      </c>
      <c r="H15" s="1146" t="s">
        <v>1174</v>
      </c>
      <c r="I15" s="22" t="s">
        <v>438</v>
      </c>
      <c r="J15" s="23" t="s">
        <v>438</v>
      </c>
      <c r="K15" s="1130" t="s">
        <v>3</v>
      </c>
      <c r="L15" s="1123">
        <f>B15/3.6*'S2.5 energy supply scenarios'!$B$21</f>
        <v>3.4882634041314337E-2</v>
      </c>
      <c r="M15" s="23">
        <f>C15/3.6*'S2.5 energy supply scenarios'!$B$16</f>
        <v>0.35900586823403502</v>
      </c>
      <c r="N15" s="1153">
        <f t="shared" si="2"/>
        <v>0.95557080208105938</v>
      </c>
      <c r="O15" s="1157">
        <f t="shared" si="0"/>
        <v>1.7601818999999999</v>
      </c>
      <c r="P15" s="1153">
        <v>2.4700000000000002</v>
      </c>
      <c r="Q15" s="1124">
        <f t="shared" si="1"/>
        <v>-1.584842478046409</v>
      </c>
      <c r="R15" s="1123">
        <f>B15/3.6*'S2.5 energy supply scenarios'!$B$43</f>
        <v>5.1206721924782874E-3</v>
      </c>
      <c r="S15" s="23">
        <f>C15/3.6*'S2.5 energy supply scenarios'!$B$40</f>
        <v>0.29493475704586525</v>
      </c>
      <c r="T15" s="1125">
        <f t="shared" si="3"/>
        <v>0.86173772904405355</v>
      </c>
    </row>
    <row r="16" spans="1:21" x14ac:dyDescent="0.25">
      <c r="A16" s="900" t="s">
        <v>1187</v>
      </c>
      <c r="B16" s="272">
        <v>0.2602898153937</v>
      </c>
      <c r="C16" s="272">
        <v>11.869932499000001</v>
      </c>
      <c r="D16" s="854">
        <v>1.1657816735399999E-2</v>
      </c>
      <c r="E16" s="854">
        <v>0.67794618516899996</v>
      </c>
      <c r="F16" s="272">
        <v>0.77708559809559996</v>
      </c>
      <c r="G16" s="1146" t="s">
        <v>1173</v>
      </c>
      <c r="H16" s="1146" t="s">
        <v>1174</v>
      </c>
      <c r="I16" s="22" t="s">
        <v>439</v>
      </c>
      <c r="J16" s="23" t="s">
        <v>439</v>
      </c>
      <c r="K16" s="1130" t="s">
        <v>3</v>
      </c>
      <c r="L16" s="1123">
        <f>B16/3.6*'S2.5 energy supply scenarios'!$B$21</f>
        <v>3.0027899868902492E-2</v>
      </c>
      <c r="M16" s="23">
        <f>C16/3.6*'S2.5 energy supply scenarios'!$B$16</f>
        <v>0.25225372806330848</v>
      </c>
      <c r="N16" s="1153">
        <f t="shared" si="2"/>
        <v>1.0593672260278109</v>
      </c>
      <c r="O16" s="1157">
        <f t="shared" si="0"/>
        <v>1.4666896</v>
      </c>
      <c r="P16" s="1153">
        <v>2.3604933762403322</v>
      </c>
      <c r="Q16" s="1124">
        <f t="shared" si="1"/>
        <v>-1.2282106886496824</v>
      </c>
      <c r="R16" s="1123">
        <f>B16/3.6*'S2.5 energy supply scenarios'!$B$43</f>
        <v>4.4080109224291187E-3</v>
      </c>
      <c r="S16" s="23">
        <f>C16/3.6*'S2.5 energy supply scenarios'!$B$40</f>
        <v>0.20723447325870875</v>
      </c>
      <c r="T16" s="1125">
        <f t="shared" si="3"/>
        <v>0.98872808227673781</v>
      </c>
    </row>
    <row r="17" spans="1:20" x14ac:dyDescent="0.25">
      <c r="A17" s="900" t="s">
        <v>1188</v>
      </c>
      <c r="B17" s="272">
        <v>0.31743816836349997</v>
      </c>
      <c r="C17" s="272">
        <v>15.874411762999999</v>
      </c>
      <c r="D17" s="854">
        <v>1.423899216777E-2</v>
      </c>
      <c r="E17" s="854">
        <v>1.086729509677</v>
      </c>
      <c r="F17" s="272">
        <v>0.55338139815523002</v>
      </c>
      <c r="G17" s="1146" t="s">
        <v>1173</v>
      </c>
      <c r="H17" s="1146" t="s">
        <v>1174</v>
      </c>
      <c r="I17" s="1161" t="s">
        <v>458</v>
      </c>
      <c r="J17" s="23" t="s">
        <v>1189</v>
      </c>
      <c r="K17" s="1130" t="s">
        <v>3</v>
      </c>
      <c r="L17" s="1123">
        <f>B17/3.6*'S2.5 energy supply scenarios'!$B$21</f>
        <v>3.6620724171514005E-2</v>
      </c>
      <c r="M17" s="23">
        <f>C17/3.6*'S2.5 energy supply scenarios'!$B$16</f>
        <v>0.33735487108845325</v>
      </c>
      <c r="N17" s="1153">
        <f t="shared" si="2"/>
        <v>0.92735699341519728</v>
      </c>
      <c r="O17" s="1157">
        <f t="shared" si="0"/>
        <v>1.6543498999999999</v>
      </c>
      <c r="P17" s="1153">
        <v>1.5698988595321612</v>
      </c>
      <c r="Q17" s="1124">
        <f t="shared" si="1"/>
        <v>-0.69287434146656013</v>
      </c>
      <c r="R17" s="1123">
        <f>B17/3.6*'S2.5 energy supply scenarios'!$B$43</f>
        <v>5.3758189164095473E-3</v>
      </c>
      <c r="S17" s="23">
        <f>C17/3.6*'S2.5 energy supply scenarios'!$B$40</f>
        <v>0.27714777318862616</v>
      </c>
      <c r="T17" s="1125">
        <f t="shared" si="3"/>
        <v>0.83590499026026577</v>
      </c>
    </row>
    <row r="18" spans="1:20" x14ac:dyDescent="0.25">
      <c r="A18" s="900" t="s">
        <v>1190</v>
      </c>
      <c r="B18" s="272">
        <v>0.3174381693635</v>
      </c>
      <c r="C18" s="272">
        <v>15.874411762999999</v>
      </c>
      <c r="D18" s="854">
        <v>1.423899216777E-2</v>
      </c>
      <c r="E18" s="854">
        <v>1.086729509677</v>
      </c>
      <c r="F18" s="272">
        <v>0.55294469815522995</v>
      </c>
      <c r="G18" s="1146" t="s">
        <v>1173</v>
      </c>
      <c r="H18" s="1146" t="s">
        <v>1174</v>
      </c>
      <c r="I18" s="1161" t="s">
        <v>467</v>
      </c>
      <c r="J18" s="23" t="s">
        <v>18</v>
      </c>
      <c r="K18" s="1130" t="s">
        <v>3</v>
      </c>
      <c r="L18" s="1123">
        <f>B18/3.6*'S2.5 energy supply scenarios'!$B$21</f>
        <v>3.6620724286877342E-2</v>
      </c>
      <c r="M18" s="23">
        <f>C18/3.6*'S2.5 energy supply scenarios'!$B$16</f>
        <v>0.33735487108845325</v>
      </c>
      <c r="N18" s="1153">
        <f t="shared" si="2"/>
        <v>0.92692029353056049</v>
      </c>
      <c r="O18" s="1157">
        <f t="shared" si="0"/>
        <v>1.6539131999999999</v>
      </c>
      <c r="P18" s="1153"/>
      <c r="Q18" s="1124"/>
      <c r="R18" s="1123">
        <f>B18/3.6*'S2.5 energy supply scenarios'!$B$43</f>
        <v>5.3758189333445588E-3</v>
      </c>
      <c r="S18" s="23">
        <f>C18/3.6*'S2.5 energy supply scenarios'!$B$40</f>
        <v>0.27714777318862616</v>
      </c>
      <c r="T18" s="1125">
        <f t="shared" si="3"/>
        <v>0.8354682902772006</v>
      </c>
    </row>
    <row r="19" spans="1:20" x14ac:dyDescent="0.25">
      <c r="A19" s="900" t="s">
        <v>1191</v>
      </c>
      <c r="B19" s="272">
        <v>1.814965452362</v>
      </c>
      <c r="C19" s="272">
        <v>9.3803234100000008</v>
      </c>
      <c r="D19" s="854">
        <v>8.7481903329800006E-2</v>
      </c>
      <c r="E19" s="854">
        <v>1.143345366051</v>
      </c>
      <c r="F19" s="272">
        <v>0.3472688306192</v>
      </c>
      <c r="G19" s="1146" t="s">
        <v>1173</v>
      </c>
      <c r="H19" s="1146" t="s">
        <v>1174</v>
      </c>
      <c r="I19" s="22" t="s">
        <v>638</v>
      </c>
      <c r="J19" s="1148" t="s">
        <v>1192</v>
      </c>
      <c r="K19" s="1130" t="s">
        <v>3</v>
      </c>
      <c r="L19" s="1123">
        <f>B19/3.6*'S2.5 energy supply scenarios'!$B$21</f>
        <v>0.2093804584194367</v>
      </c>
      <c r="M19" s="23">
        <f>C19/3.6*'S2.5 energy supply scenarios'!$B$16</f>
        <v>0.19934583038373407</v>
      </c>
      <c r="N19" s="1153">
        <f t="shared" si="2"/>
        <v>0.75599511942237074</v>
      </c>
      <c r="O19" s="1157">
        <f t="shared" si="0"/>
        <v>1.5780961</v>
      </c>
      <c r="P19" s="1153">
        <v>0.68771709000000003</v>
      </c>
      <c r="Q19" s="1124">
        <f t="shared" si="1"/>
        <v>9.0315436790834772E-2</v>
      </c>
      <c r="R19" s="1123">
        <f>B19/3.6*'S2.5 energy supply scenarios'!$B$43</f>
        <v>3.0736460148247668E-2</v>
      </c>
      <c r="S19" s="23">
        <f>C19/3.6*'S2.5 energy supply scenarios'!$B$40</f>
        <v>0.16376894991032626</v>
      </c>
      <c r="T19" s="1125">
        <f t="shared" si="3"/>
        <v>0.54177424067777391</v>
      </c>
    </row>
    <row r="20" spans="1:20" x14ac:dyDescent="0.25">
      <c r="A20" s="900" t="str">
        <f t="shared" ref="A20:G20" si="4">A19</f>
        <v>miscellaneous coal-tar products {JP} | 173929000 | U</v>
      </c>
      <c r="B20" s="272">
        <f t="shared" si="4"/>
        <v>1.814965452362</v>
      </c>
      <c r="C20" s="272">
        <f t="shared" si="4"/>
        <v>9.3803234100000008</v>
      </c>
      <c r="D20" s="854">
        <f t="shared" si="4"/>
        <v>8.7481903329800006E-2</v>
      </c>
      <c r="E20" s="854">
        <f t="shared" si="4"/>
        <v>1.143345366051</v>
      </c>
      <c r="F20" s="272">
        <f t="shared" si="4"/>
        <v>0.3472688306192</v>
      </c>
      <c r="G20" s="272" t="str">
        <f t="shared" si="4"/>
        <v>1 kg</v>
      </c>
      <c r="H20" s="1146" t="s">
        <v>1174</v>
      </c>
      <c r="I20" s="22" t="s">
        <v>446</v>
      </c>
      <c r="J20" s="1148" t="str">
        <f>J19</f>
        <v>naphthalene, indene</v>
      </c>
      <c r="K20" s="1130" t="s">
        <v>3</v>
      </c>
      <c r="L20" s="1123">
        <f>B20/3.6*'S2.5 energy supply scenarios'!$B$21</f>
        <v>0.2093804584194367</v>
      </c>
      <c r="M20" s="23">
        <f>C20/3.6*'S2.5 energy supply scenarios'!$B$16</f>
        <v>0.19934583038373407</v>
      </c>
      <c r="N20" s="1153">
        <f>N19</f>
        <v>0.75599511942237074</v>
      </c>
      <c r="O20" s="1157">
        <f>O19</f>
        <v>1.5780961</v>
      </c>
      <c r="P20" s="1153">
        <v>0.68771709000000003</v>
      </c>
      <c r="Q20" s="1124">
        <f t="shared" si="1"/>
        <v>9.0315436790834772E-2</v>
      </c>
      <c r="R20" s="1123">
        <f>B20/3.6*'S2.5 energy supply scenarios'!$B$43</f>
        <v>3.0736460148247668E-2</v>
      </c>
      <c r="S20" s="23">
        <f>C20/3.6*'S2.5 energy supply scenarios'!$B$40</f>
        <v>0.16376894991032626</v>
      </c>
      <c r="T20" s="1125">
        <f>T19</f>
        <v>0.54177424067777391</v>
      </c>
    </row>
    <row r="21" spans="1:20" x14ac:dyDescent="0.25">
      <c r="A21" s="900" t="s">
        <v>1193</v>
      </c>
      <c r="B21" s="272">
        <v>0.31743816836349997</v>
      </c>
      <c r="C21" s="272">
        <v>15.874411762999999</v>
      </c>
      <c r="D21" s="854">
        <v>1.423899216777E-2</v>
      </c>
      <c r="E21" s="854">
        <v>1.086729509677</v>
      </c>
      <c r="F21" s="272">
        <v>0.55424179815523</v>
      </c>
      <c r="G21" s="1146" t="s">
        <v>1173</v>
      </c>
      <c r="H21" s="1146" t="s">
        <v>1174</v>
      </c>
      <c r="I21" s="1161" t="s">
        <v>451</v>
      </c>
      <c r="J21" s="23" t="s">
        <v>1194</v>
      </c>
      <c r="K21" s="1130" t="s">
        <v>3</v>
      </c>
      <c r="L21" s="1123">
        <f>B21/3.6*'S2.5 energy supply scenarios'!$B$21</f>
        <v>3.6620724171514005E-2</v>
      </c>
      <c r="M21" s="23">
        <f>C21/3.6*'S2.5 energy supply scenarios'!$B$16</f>
        <v>0.33735487108845325</v>
      </c>
      <c r="N21" s="1153">
        <f t="shared" ref="N21:N26" si="5">SUM(L21,M21,F21)</f>
        <v>0.92821739341519727</v>
      </c>
      <c r="O21" s="1157">
        <f t="shared" ref="O21:O26" si="6">SUM(D21,E21,F21)</f>
        <v>1.6552102999999998</v>
      </c>
      <c r="P21" s="1153">
        <v>1.655800124876565</v>
      </c>
      <c r="Q21" s="1124">
        <f t="shared" si="1"/>
        <v>-0.78384949110290547</v>
      </c>
      <c r="R21" s="1123">
        <f>B21/3.6*'S2.5 energy supply scenarios'!$B$43</f>
        <v>5.3758189164095473E-3</v>
      </c>
      <c r="S21" s="23">
        <f>C21/3.6*'S2.5 energy supply scenarios'!$B$40</f>
        <v>0.27714777318862616</v>
      </c>
      <c r="T21" s="1125">
        <f t="shared" ref="T21:T26" si="7">SUM(R21,S21,F21)</f>
        <v>0.83676539026026564</v>
      </c>
    </row>
    <row r="22" spans="1:20" x14ac:dyDescent="0.25">
      <c r="A22" s="900" t="s">
        <v>1195</v>
      </c>
      <c r="B22" s="272">
        <v>0.1942206921878</v>
      </c>
      <c r="C22" s="272">
        <v>10.598170579</v>
      </c>
      <c r="D22" s="854">
        <v>8.7033488010000003E-3</v>
      </c>
      <c r="E22" s="854">
        <v>0.73580791917900001</v>
      </c>
      <c r="F22" s="272">
        <v>0.50516073202</v>
      </c>
      <c r="G22" s="1146" t="s">
        <v>1173</v>
      </c>
      <c r="H22" s="1146" t="s">
        <v>1174</v>
      </c>
      <c r="I22" s="22" t="s">
        <v>440</v>
      </c>
      <c r="J22" s="23" t="s">
        <v>440</v>
      </c>
      <c r="K22" s="1130" t="s">
        <v>3</v>
      </c>
      <c r="L22" s="1123">
        <f>B22/3.6*'S2.5 energy supply scenarios'!$B$21</f>
        <v>2.2405945805689595E-2</v>
      </c>
      <c r="M22" s="23">
        <f>C22/3.6*'S2.5 energy supply scenarios'!$B$16</f>
        <v>0.22522689488157152</v>
      </c>
      <c r="N22" s="1153">
        <f t="shared" si="5"/>
        <v>0.7527935727072611</v>
      </c>
      <c r="O22" s="1157">
        <f t="shared" si="6"/>
        <v>1.2496719999999999</v>
      </c>
      <c r="P22" s="1153">
        <v>1.92</v>
      </c>
      <c r="Q22" s="1124">
        <f t="shared" si="1"/>
        <v>-1.5504999904490822</v>
      </c>
      <c r="R22" s="1123">
        <f>B22/3.6*'S2.5 energy supply scenarios'!$B$43</f>
        <v>3.2891295851535177E-3</v>
      </c>
      <c r="S22" s="23">
        <f>C22/3.6*'S2.5 energy supply scenarios'!$B$40</f>
        <v>0.18503106884812026</v>
      </c>
      <c r="T22" s="1125">
        <f t="shared" si="7"/>
        <v>0.69348093045327375</v>
      </c>
    </row>
    <row r="23" spans="1:20" x14ac:dyDescent="0.25">
      <c r="A23" s="900" t="s">
        <v>1196</v>
      </c>
      <c r="B23" s="272">
        <v>0.22095302404680001</v>
      </c>
      <c r="C23" s="272">
        <v>11.802923591100001</v>
      </c>
      <c r="D23" s="854">
        <v>9.9017802758800001E-3</v>
      </c>
      <c r="E23" s="854">
        <v>0.82041854694100003</v>
      </c>
      <c r="F23" s="272">
        <v>0.51538037278311999</v>
      </c>
      <c r="G23" s="1146" t="s">
        <v>1173</v>
      </c>
      <c r="H23" s="1146" t="s">
        <v>1174</v>
      </c>
      <c r="I23" s="22" t="s">
        <v>442</v>
      </c>
      <c r="J23" s="23" t="s">
        <v>442</v>
      </c>
      <c r="K23" s="1130" t="s">
        <v>3</v>
      </c>
      <c r="L23" s="1123">
        <f>B23/3.6*'S2.5 energy supply scenarios'!$B$21</f>
        <v>2.5489876627608925E-2</v>
      </c>
      <c r="M23" s="23">
        <f>C23/3.6*'S2.5 energy supply scenarios'!$B$16</f>
        <v>0.25082968906117853</v>
      </c>
      <c r="N23" s="1153">
        <f t="shared" si="5"/>
        <v>0.79169993847190745</v>
      </c>
      <c r="O23" s="1157">
        <f t="shared" si="6"/>
        <v>1.3457007000000001</v>
      </c>
      <c r="P23" s="1153">
        <v>1.6064705883415917</v>
      </c>
      <c r="Q23" s="1124">
        <f t="shared" si="1"/>
        <v>-1.0291407265261465</v>
      </c>
      <c r="R23" s="1123">
        <f>B23/3.6*'S2.5 energy supply scenarios'!$B$43</f>
        <v>3.7418419228922766E-3</v>
      </c>
      <c r="S23" s="23">
        <f>C23/3.6*'S2.5 energy supply scenarios'!$B$40</f>
        <v>0.20606457985506324</v>
      </c>
      <c r="T23" s="1125">
        <f t="shared" si="7"/>
        <v>0.72518679456107549</v>
      </c>
    </row>
    <row r="24" spans="1:20" x14ac:dyDescent="0.25">
      <c r="A24" s="900" t="s">
        <v>1197</v>
      </c>
      <c r="B24" s="272">
        <v>6.2393826193680002E-2</v>
      </c>
      <c r="C24" s="272">
        <v>4.6570866472999999</v>
      </c>
      <c r="D24" s="854">
        <v>2.793039133884E-3</v>
      </c>
      <c r="E24" s="854">
        <v>0.31856132656500002</v>
      </c>
      <c r="F24" s="272">
        <v>0.45364029430111602</v>
      </c>
      <c r="G24" s="1146" t="s">
        <v>1173</v>
      </c>
      <c r="H24" s="1146" t="s">
        <v>1174</v>
      </c>
      <c r="I24" s="22" t="s">
        <v>441</v>
      </c>
      <c r="J24" s="23" t="s">
        <v>1198</v>
      </c>
      <c r="K24" s="1130" t="s">
        <v>3</v>
      </c>
      <c r="L24" s="1123">
        <f>B24/3.6*'S2.5 energy supply scenarios'!$B$21</f>
        <v>7.1979595611441497E-3</v>
      </c>
      <c r="M24" s="23">
        <f>C24/3.6*'S2.5 energy supply scenarios'!$B$16</f>
        <v>9.8970021000056169E-2</v>
      </c>
      <c r="N24" s="1153">
        <f t="shared" si="5"/>
        <v>0.55980827486231632</v>
      </c>
      <c r="O24" s="1157">
        <f t="shared" si="6"/>
        <v>0.77499466000000006</v>
      </c>
      <c r="P24" s="1153">
        <v>1.7454121430781777</v>
      </c>
      <c r="Q24" s="1124">
        <f t="shared" si="1"/>
        <v>-2.1178748536853234</v>
      </c>
      <c r="R24" s="1123">
        <f>B24/3.6*'S2.5 energy supply scenarios'!$B$43</f>
        <v>1.0566401414434379E-3</v>
      </c>
      <c r="S24" s="23">
        <f>C24/3.6*'S2.5 energy supply scenarios'!$B$40</f>
        <v>8.1307024985583398E-2</v>
      </c>
      <c r="T24" s="1125">
        <f t="shared" si="7"/>
        <v>0.53600395942814283</v>
      </c>
    </row>
    <row r="25" spans="1:20" x14ac:dyDescent="0.25">
      <c r="A25" s="900" t="s">
        <v>1199</v>
      </c>
      <c r="B25" s="272">
        <v>0.90117178461799996</v>
      </c>
      <c r="C25" s="272">
        <v>23.669543377</v>
      </c>
      <c r="D25" s="854">
        <v>4.0370695993E-2</v>
      </c>
      <c r="E25" s="854">
        <v>1.5463970011499999</v>
      </c>
      <c r="F25" s="272">
        <v>0.966517502857</v>
      </c>
      <c r="G25" s="1146" t="s">
        <v>1173</v>
      </c>
      <c r="H25" s="1146" t="s">
        <v>1174</v>
      </c>
      <c r="I25" s="22" t="s">
        <v>434</v>
      </c>
      <c r="J25" s="23" t="s">
        <v>434</v>
      </c>
      <c r="K25" s="1130" t="s">
        <v>3</v>
      </c>
      <c r="L25" s="1123">
        <f>B25/3.6*'S2.5 energy supply scenarios'!$B$21</f>
        <v>0.10396217797557525</v>
      </c>
      <c r="M25" s="23">
        <f>C25/3.6*'S2.5 energy supply scenarios'!$B$16</f>
        <v>0.50301301704179491</v>
      </c>
      <c r="N25" s="1153">
        <f t="shared" si="5"/>
        <v>1.5734926978743702</v>
      </c>
      <c r="O25" s="1157">
        <f t="shared" si="6"/>
        <v>2.5532851999999999</v>
      </c>
      <c r="P25" s="1153">
        <v>3.25</v>
      </c>
      <c r="Q25" s="1124">
        <f t="shared" si="1"/>
        <v>-1.0654687526611479</v>
      </c>
      <c r="R25" s="1123">
        <f>B25/3.6*'S2.5 energy supply scenarios'!$B$43</f>
        <v>1.5261354208472159E-2</v>
      </c>
      <c r="S25" s="23">
        <f>C25/3.6*'S2.5 energy supply scenarios'!$B$40</f>
        <v>0.41324121720321449</v>
      </c>
      <c r="T25" s="1125">
        <f t="shared" si="7"/>
        <v>1.3950200742686867</v>
      </c>
    </row>
    <row r="26" spans="1:20" x14ac:dyDescent="0.25">
      <c r="A26" s="900" t="s">
        <v>1200</v>
      </c>
      <c r="B26" s="272">
        <v>0.80624184208000005</v>
      </c>
      <c r="C26" s="272">
        <v>20.061911329000001</v>
      </c>
      <c r="D26" s="854">
        <v>3.5739909063949998E-2</v>
      </c>
      <c r="E26" s="854">
        <v>1.43778216731</v>
      </c>
      <c r="F26" s="272">
        <v>0.65825612362605002</v>
      </c>
      <c r="G26" s="1146" t="s">
        <v>1173</v>
      </c>
      <c r="H26" s="1146" t="s">
        <v>1174</v>
      </c>
      <c r="I26" s="22" t="s">
        <v>436</v>
      </c>
      <c r="J26" s="1148" t="s">
        <v>1201</v>
      </c>
      <c r="K26" s="1130" t="s">
        <v>3</v>
      </c>
      <c r="L26" s="1123">
        <f>B26/3.6*'S2.5 energy supply scenarios'!$B$21</f>
        <v>9.3010743687682931E-2</v>
      </c>
      <c r="M26" s="23">
        <f>C26/3.6*'S2.5 energy supply scenarios'!$B$16</f>
        <v>0.42634546786530753</v>
      </c>
      <c r="N26" s="1153">
        <f t="shared" si="5"/>
        <v>1.1776123351790404</v>
      </c>
      <c r="O26" s="1157">
        <f t="shared" si="6"/>
        <v>2.1317782000000003</v>
      </c>
      <c r="P26" s="1155">
        <v>2.79</v>
      </c>
      <c r="Q26" s="1124">
        <f t="shared" si="1"/>
        <v>-1.3692007264647219</v>
      </c>
      <c r="R26" s="1123">
        <f>B26/3.6*'S2.5 energy supply scenarios'!$B$43</f>
        <v>1.3653714574396795E-2</v>
      </c>
      <c r="S26" s="23">
        <f>C26/3.6*'S2.5 energy supply scenarios'!$B$40</f>
        <v>0.35025638327585207</v>
      </c>
      <c r="T26" s="1125">
        <f t="shared" si="7"/>
        <v>1.022166221476299</v>
      </c>
    </row>
    <row r="27" spans="1:20" x14ac:dyDescent="0.25">
      <c r="A27" s="900" t="str">
        <f>A26</f>
        <v>synthetic carbolic acid {JP} | 173416000 | U</v>
      </c>
      <c r="B27" s="272">
        <f t="shared" ref="B27:T27" si="8">B26</f>
        <v>0.80624184208000005</v>
      </c>
      <c r="C27" s="272">
        <f t="shared" si="8"/>
        <v>20.061911329000001</v>
      </c>
      <c r="D27" s="854">
        <f t="shared" si="8"/>
        <v>3.5739909063949998E-2</v>
      </c>
      <c r="E27" s="854">
        <f t="shared" si="8"/>
        <v>1.43778216731</v>
      </c>
      <c r="F27" s="272">
        <f t="shared" si="8"/>
        <v>0.65825612362605002</v>
      </c>
      <c r="G27" s="272" t="str">
        <f t="shared" si="8"/>
        <v>1 kg</v>
      </c>
      <c r="H27" s="272" t="str">
        <f t="shared" si="8"/>
        <v>IDEA v2.3</v>
      </c>
      <c r="I27" s="854" t="s">
        <v>437</v>
      </c>
      <c r="J27" s="1149" t="str">
        <f t="shared" si="8"/>
        <v>phenol, alpha-methylstyrene</v>
      </c>
      <c r="K27" s="1130" t="s">
        <v>3</v>
      </c>
      <c r="L27" s="1123">
        <f>B27/3.6*'S2.5 energy supply scenarios'!$B$21</f>
        <v>9.3010743687682931E-2</v>
      </c>
      <c r="M27" s="23">
        <f>C27/3.6*'S2.5 energy supply scenarios'!$B$16</f>
        <v>0.42634546786530753</v>
      </c>
      <c r="N27" s="1153">
        <f t="shared" si="8"/>
        <v>1.1776123351790404</v>
      </c>
      <c r="O27" s="1157">
        <f>O26</f>
        <v>2.1317782000000003</v>
      </c>
      <c r="P27" s="1155">
        <v>2.79</v>
      </c>
      <c r="Q27" s="1124">
        <f t="shared" si="1"/>
        <v>-1.3692007264647219</v>
      </c>
      <c r="R27" s="1123">
        <f>B27/3.6*'S2.5 energy supply scenarios'!$B$43</f>
        <v>1.3653714574396795E-2</v>
      </c>
      <c r="S27" s="23">
        <f>C27/3.6*'S2.5 energy supply scenarios'!$B$40</f>
        <v>0.35025638327585207</v>
      </c>
      <c r="T27" s="1125">
        <f t="shared" si="8"/>
        <v>1.022166221476299</v>
      </c>
    </row>
    <row r="28" spans="1:20" x14ac:dyDescent="0.25">
      <c r="A28" s="900" t="s">
        <v>1202</v>
      </c>
      <c r="B28" s="272">
        <v>3.1719281116510002E-3</v>
      </c>
      <c r="C28" s="272">
        <v>1.1211530417519999</v>
      </c>
      <c r="D28" s="854">
        <v>1.419401019032E-4</v>
      </c>
      <c r="E28" s="854">
        <v>5.761191109325E-2</v>
      </c>
      <c r="F28" s="272">
        <v>0.78360465880484698</v>
      </c>
      <c r="G28" s="1146" t="s">
        <v>1173</v>
      </c>
      <c r="H28" s="1146" t="s">
        <v>1174</v>
      </c>
      <c r="I28" s="22" t="s">
        <v>1221</v>
      </c>
      <c r="J28" s="23" t="s">
        <v>1221</v>
      </c>
      <c r="K28" s="1130" t="s">
        <v>3</v>
      </c>
      <c r="L28" s="1123">
        <f>B28/3.6*'S2.5 energy supply scenarios'!$B$21</f>
        <v>3.6592418948067117E-4</v>
      </c>
      <c r="M28" s="23">
        <f>C28/3.6*'S2.5 energy supply scenarios'!$B$16</f>
        <v>2.3826170412956121E-2</v>
      </c>
      <c r="N28" s="1153">
        <f>SUM(L28,M28,F28)</f>
        <v>0.80779675340728374</v>
      </c>
      <c r="O28" s="1157">
        <f>SUM(D28,E28,F28)</f>
        <v>0.84135851000000017</v>
      </c>
      <c r="P28" s="1153">
        <v>0.85733333333333339</v>
      </c>
      <c r="Q28" s="1124">
        <f t="shared" si="1"/>
        <v>-6.1323073801800437E-2</v>
      </c>
      <c r="R28" s="1123">
        <f>B28/3.6*'S2.5 energy supply scenarios'!$B$43</f>
        <v>5.3716637895222049E-5</v>
      </c>
      <c r="S28" s="23">
        <f>C28/3.6*'S2.5 energy supply scenarios'!$B$40</f>
        <v>1.9573957987498981E-2</v>
      </c>
      <c r="T28" s="1125">
        <f>SUM(R28,S28,F28)</f>
        <v>0.80323233343024114</v>
      </c>
    </row>
    <row r="29" spans="1:20" x14ac:dyDescent="0.25">
      <c r="A29" s="900" t="s">
        <v>1203</v>
      </c>
      <c r="B29" s="272">
        <v>2.2472230707660001</v>
      </c>
      <c r="C29" s="272">
        <v>716.00224868800001</v>
      </c>
      <c r="D29" s="854">
        <v>0.10054194099289999</v>
      </c>
      <c r="E29" s="854">
        <v>36.792775839710004</v>
      </c>
      <c r="F29" s="272">
        <v>307.52427221929702</v>
      </c>
      <c r="G29" s="1146" t="s">
        <v>1204</v>
      </c>
      <c r="H29" s="1146" t="s">
        <v>1174</v>
      </c>
      <c r="I29" s="22" t="s">
        <v>435</v>
      </c>
      <c r="J29" s="23" t="s">
        <v>435</v>
      </c>
      <c r="K29" s="1147">
        <v>700</v>
      </c>
      <c r="L29" s="1123">
        <f>B29/3.6*'S2.5 energy supply scenarios'!$B$21/K29</f>
        <v>3.7035305242341633E-4</v>
      </c>
      <c r="M29" s="23">
        <f>C29/3.6*'S2.5 energy supply scenarios'!$B$16/K29</f>
        <v>2.1737304565665781E-2</v>
      </c>
      <c r="N29" s="1153">
        <f>SUM(L29,M29,F29/K29)</f>
        <v>0.46142804650279923</v>
      </c>
      <c r="O29" s="1157">
        <f>SUM(D29,E29,F29)/K29</f>
        <v>0.49202512857142844</v>
      </c>
      <c r="P29" s="1153">
        <v>0.35419056465565707</v>
      </c>
      <c r="Q29" s="1124">
        <f t="shared" si="1"/>
        <v>0.23240347581796073</v>
      </c>
      <c r="R29" s="1123">
        <f>B29/3.6*'S2.5 energy supply scenarios'!$B$43/K29</f>
        <v>5.4366782471126285E-5</v>
      </c>
      <c r="S29" s="23">
        <f>C29/3.6*'S2.5 energy supply scenarios'!$B$40/K29</f>
        <v>1.7857888152199349E-2</v>
      </c>
      <c r="T29" s="1125">
        <f>SUM(R29,S29,F29/K29)</f>
        <v>0.4572326438193805</v>
      </c>
    </row>
    <row r="30" spans="1:20" x14ac:dyDescent="0.25">
      <c r="A30" s="900" t="s">
        <v>1205</v>
      </c>
      <c r="B30" s="272">
        <v>1.7170154254400001E-2</v>
      </c>
      <c r="C30" s="272">
        <v>0.84970151090000001</v>
      </c>
      <c r="D30" s="854">
        <v>7.6801534065099996E-4</v>
      </c>
      <c r="E30" s="854">
        <v>4.3674452598500002E-2</v>
      </c>
      <c r="F30" s="272">
        <v>0.31333644206084899</v>
      </c>
      <c r="G30" s="1146" t="s">
        <v>1173</v>
      </c>
      <c r="H30" s="1146" t="s">
        <v>1174</v>
      </c>
      <c r="I30" s="1161" t="s">
        <v>445</v>
      </c>
      <c r="J30" s="23" t="s">
        <v>445</v>
      </c>
      <c r="K30" s="1147"/>
      <c r="L30" s="1123">
        <f>B30/3.6*'S2.5 energy supply scenarios'!$B$21</f>
        <v>1.9808061714012512E-3</v>
      </c>
      <c r="M30" s="23">
        <f>C30/3.6*'S2.5 energy supply scenarios'!$B$16</f>
        <v>1.8057421462473217E-2</v>
      </c>
      <c r="N30" s="1153">
        <f>SUM(L30,M30,F30)</f>
        <v>0.33337466969472346</v>
      </c>
      <c r="O30" s="1157">
        <f>SUM(D30,E30,F30)</f>
        <v>0.35777891000000001</v>
      </c>
      <c r="P30" s="1153">
        <v>0.72199999999999998</v>
      </c>
      <c r="Q30" s="1124">
        <f t="shared" si="1"/>
        <v>-1.1657314296288526</v>
      </c>
      <c r="R30" s="1123">
        <f>B30/3.6*'S2.5 energy supply scenarios'!$B$43</f>
        <v>2.9077675351495868E-4</v>
      </c>
      <c r="S30" s="23">
        <f>C30/3.6*'S2.5 energy supply scenarios'!$B$40</f>
        <v>1.4834746958613726E-2</v>
      </c>
      <c r="T30" s="1125">
        <f>SUM(R30,S30,F30)</f>
        <v>0.32846196577297765</v>
      </c>
    </row>
    <row r="31" spans="1:20" x14ac:dyDescent="0.25">
      <c r="A31" s="900" t="s">
        <v>1206</v>
      </c>
      <c r="B31" s="272">
        <v>0</v>
      </c>
      <c r="C31" s="272">
        <v>0</v>
      </c>
      <c r="D31" s="854">
        <v>0</v>
      </c>
      <c r="E31" s="854">
        <v>0</v>
      </c>
      <c r="F31" s="272">
        <v>0.38027994549733679</v>
      </c>
      <c r="G31" s="1146" t="s">
        <v>1173</v>
      </c>
      <c r="H31" s="1146" t="s">
        <v>1174</v>
      </c>
      <c r="I31" s="22" t="s">
        <v>465</v>
      </c>
      <c r="J31" s="23" t="s">
        <v>465</v>
      </c>
      <c r="K31" s="1147"/>
      <c r="L31" s="1123">
        <f>B31/3.6*'S2.5 energy supply scenarios'!$B$21</f>
        <v>0</v>
      </c>
      <c r="M31" s="23">
        <f>C31/3.6*'S2.5 energy supply scenarios'!$B$16</f>
        <v>0</v>
      </c>
      <c r="N31" s="1153">
        <f>SUM(L31,M31,F31)</f>
        <v>0.38027994549733679</v>
      </c>
      <c r="O31" s="1157">
        <f>SUM(D31,E31,F31)</f>
        <v>0.38027994549733679</v>
      </c>
      <c r="P31" s="1153">
        <v>0.54782385268779632</v>
      </c>
      <c r="Q31" s="1124">
        <f t="shared" si="1"/>
        <v>-0.44058044389204554</v>
      </c>
      <c r="R31" s="1123">
        <f>B31/3.6*'S2.5 energy supply scenarios'!$B$43</f>
        <v>0</v>
      </c>
      <c r="S31" s="23">
        <f>C31/3.6*'S2.5 energy supply scenarios'!$B$40</f>
        <v>0</v>
      </c>
      <c r="T31" s="1125">
        <f>SUM(R31,S31,F31)</f>
        <v>0.38027994549733679</v>
      </c>
    </row>
    <row r="32" spans="1:20" x14ac:dyDescent="0.25">
      <c r="A32" s="900" t="s">
        <v>1207</v>
      </c>
      <c r="B32" s="272">
        <v>0.27330278195090002</v>
      </c>
      <c r="C32" s="272">
        <v>1.31547109</v>
      </c>
      <c r="D32" s="854">
        <v>1.1841486987840001E-2</v>
      </c>
      <c r="E32" s="854">
        <v>9.1615348452000006E-2</v>
      </c>
      <c r="F32" s="272">
        <v>5.738907456016E-2</v>
      </c>
      <c r="G32" s="1146" t="s">
        <v>1208</v>
      </c>
      <c r="H32" s="1146" t="s">
        <v>1174</v>
      </c>
      <c r="I32" s="22" t="s">
        <v>457</v>
      </c>
      <c r="J32" s="23" t="s">
        <v>457</v>
      </c>
      <c r="K32" s="1147">
        <v>8.0769999999999995E-2</v>
      </c>
      <c r="L32" s="1123">
        <f>B32/3.6*'S2.5 energy supply scenarios'!$B$21/K32</f>
        <v>0.39035680356716262</v>
      </c>
      <c r="M32" s="23">
        <f>C32/3.6*'S2.5 energy supply scenarios'!$B$16/K32</f>
        <v>0.34611511803246148</v>
      </c>
      <c r="N32" s="1153">
        <f>SUM(L32,M32,F32/K32)</f>
        <v>1.4469965540146297</v>
      </c>
      <c r="O32" s="1157">
        <f>SUM(D32,E32,F32)</f>
        <v>0.16084591000000001</v>
      </c>
      <c r="P32" s="1153">
        <v>1.58</v>
      </c>
      <c r="Q32" s="1124">
        <f t="shared" si="1"/>
        <v>-9.1916905825627615E-2</v>
      </c>
      <c r="R32" s="1123">
        <f>B32/3.6*'S2.5 energy supply scenarios'!$B$43/K32</f>
        <v>5.73032766620672E-2</v>
      </c>
      <c r="S32" s="23">
        <f>C32/3.6*'S2.5 energy supply scenarios'!$B$40/K32</f>
        <v>0.28434459511469157</v>
      </c>
      <c r="T32" s="1125">
        <f>SUM(R32,S32,F32/K32)</f>
        <v>1.0521725041917644</v>
      </c>
    </row>
    <row r="33" spans="1:20" x14ac:dyDescent="0.25">
      <c r="A33" s="126" t="s">
        <v>1496</v>
      </c>
      <c r="B33" s="19">
        <v>4.1652662288600002</v>
      </c>
      <c r="C33" s="19">
        <v>18.305453618000001</v>
      </c>
      <c r="D33" s="378">
        <v>0.18620630309889999</v>
      </c>
      <c r="E33" s="378">
        <v>1.2602218630799999</v>
      </c>
      <c r="F33" s="19">
        <v>0.64854423382110005</v>
      </c>
      <c r="G33" s="19" t="s">
        <v>1173</v>
      </c>
      <c r="H33" s="272" t="s">
        <v>1174</v>
      </c>
      <c r="I33" s="378" t="s">
        <v>17</v>
      </c>
      <c r="J33" s="19" t="s">
        <v>17</v>
      </c>
      <c r="K33" s="926" t="s">
        <v>3</v>
      </c>
      <c r="L33" s="1123">
        <f>B33/3.6*'S2.5 energy supply scenarios'!$B$21</f>
        <v>0.48051898249783176</v>
      </c>
      <c r="M33" s="23">
        <f>C33/3.6*'S2.5 energy supply scenarios'!$B$16</f>
        <v>0.38901812789748358</v>
      </c>
      <c r="N33" s="1153">
        <f t="shared" ref="N33:N51" si="9">SUM(L33,M33,F33)</f>
        <v>1.5180813442164154</v>
      </c>
      <c r="O33" s="1157">
        <f t="shared" ref="O33:O52" si="10">SUM(D33,E33,F33)</f>
        <v>2.0949724000000001</v>
      </c>
      <c r="P33" s="1153">
        <v>2.3153999999999999</v>
      </c>
      <c r="Q33" s="1124">
        <f t="shared" si="1"/>
        <v>-0.52521471186060498</v>
      </c>
      <c r="R33" s="1123">
        <f>B33/3.6*'S2.5 energy supply scenarios'!$B$43</f>
        <v>7.053882997253999E-2</v>
      </c>
      <c r="S33" s="23">
        <f>C33/3.6*'S2.5 energy supply scenarios'!$B$40</f>
        <v>0.31959078441326816</v>
      </c>
      <c r="T33" s="1125">
        <f t="shared" ref="T33:T52" si="11">SUM(R33,S33,F33)</f>
        <v>1.0386738482069082</v>
      </c>
    </row>
    <row r="34" spans="1:20" x14ac:dyDescent="0.25">
      <c r="A34" s="126" t="s">
        <v>1495</v>
      </c>
      <c r="B34" s="19">
        <v>3.8894341383379998</v>
      </c>
      <c r="C34" s="19">
        <v>18.462016932000001</v>
      </c>
      <c r="D34" s="378">
        <v>0.17379133036239999</v>
      </c>
      <c r="E34" s="378">
        <v>1.27594582781</v>
      </c>
      <c r="F34" s="19">
        <v>0.66557764182760004</v>
      </c>
      <c r="G34" s="19" t="s">
        <v>1173</v>
      </c>
      <c r="H34" s="272" t="s">
        <v>1174</v>
      </c>
      <c r="I34" s="378" t="s">
        <v>19</v>
      </c>
      <c r="J34" s="19" t="s">
        <v>19</v>
      </c>
      <c r="K34" s="926" t="s">
        <v>3</v>
      </c>
      <c r="L34" s="1123">
        <f>B34/3.6*'S2.5 energy supply scenarios'!$B$21</f>
        <v>0.4486980740143523</v>
      </c>
      <c r="M34" s="23">
        <f>C34/3.6*'S2.5 energy supply scenarios'!$B$16</f>
        <v>0.39234533128619475</v>
      </c>
      <c r="N34" s="1153">
        <f t="shared" si="9"/>
        <v>1.5066210471281472</v>
      </c>
      <c r="O34" s="1157">
        <f t="shared" si="10"/>
        <v>2.1153148000000002</v>
      </c>
      <c r="P34" s="1153">
        <v>2.4766400000000002</v>
      </c>
      <c r="Q34" s="1124">
        <f t="shared" si="1"/>
        <v>-0.64383738347533326</v>
      </c>
      <c r="R34" s="1123">
        <f>B34/3.6*'S2.5 energy supply scenarios'!$B$43</f>
        <v>6.5867610447725405E-2</v>
      </c>
      <c r="S34" s="23">
        <f>C34/3.6*'S2.5 energy supply scenarios'!$B$40</f>
        <v>0.3223241879866382</v>
      </c>
      <c r="T34" s="1125">
        <f t="shared" si="11"/>
        <v>1.0537694402619637</v>
      </c>
    </row>
    <row r="35" spans="1:20" x14ac:dyDescent="0.25">
      <c r="A35" s="126" t="s">
        <v>1494</v>
      </c>
      <c r="B35" s="19">
        <v>10.77288252708</v>
      </c>
      <c r="C35" s="19">
        <v>23.727759075000002</v>
      </c>
      <c r="D35" s="378">
        <v>0.47754307779029997</v>
      </c>
      <c r="E35" s="378">
        <v>1.6027613863000001</v>
      </c>
      <c r="F35" s="19">
        <v>0.89707943590969996</v>
      </c>
      <c r="G35" s="19" t="s">
        <v>1173</v>
      </c>
      <c r="H35" s="272" t="s">
        <v>1174</v>
      </c>
      <c r="I35" s="378" t="s">
        <v>20</v>
      </c>
      <c r="J35" s="19" t="s">
        <v>1907</v>
      </c>
      <c r="K35" s="926" t="s">
        <v>3</v>
      </c>
      <c r="L35" s="1123">
        <f>B35/3.6*'S2.5 energy supply scenarios'!$B$21</f>
        <v>1.242795602022764</v>
      </c>
      <c r="M35" s="23">
        <f>C35/3.6*'S2.5 energy supply scenarios'!$B$16</f>
        <v>0.50425018724925363</v>
      </c>
      <c r="N35" s="1153">
        <f t="shared" si="9"/>
        <v>2.6441252251817176</v>
      </c>
      <c r="O35" s="1157">
        <f t="shared" si="10"/>
        <v>2.9773839</v>
      </c>
      <c r="P35" s="1153">
        <v>3.0064600000000001</v>
      </c>
      <c r="Q35" s="1124">
        <f t="shared" si="1"/>
        <v>-0.13703389361726659</v>
      </c>
      <c r="R35" s="1123">
        <f>B35/3.6*'S2.5 energy supply scenarios'!$B$43</f>
        <v>0.18243888556910404</v>
      </c>
      <c r="S35" s="23">
        <f>C35/3.6*'S2.5 energy supply scenarios'!$B$40</f>
        <v>0.41425759193924899</v>
      </c>
      <c r="T35" s="1125">
        <f t="shared" si="11"/>
        <v>1.493775913418053</v>
      </c>
    </row>
    <row r="36" spans="1:20" x14ac:dyDescent="0.25">
      <c r="A36" s="126" t="s">
        <v>1493</v>
      </c>
      <c r="B36" s="19">
        <v>3.1412080852809998</v>
      </c>
      <c r="C36" s="19">
        <v>18.150550548999998</v>
      </c>
      <c r="D36" s="378">
        <v>0.14025180158869999</v>
      </c>
      <c r="E36" s="378">
        <v>1.2518562210199999</v>
      </c>
      <c r="F36" s="19">
        <v>0.67259917739130004</v>
      </c>
      <c r="G36" s="19" t="s">
        <v>1173</v>
      </c>
      <c r="H36" s="272" t="s">
        <v>1174</v>
      </c>
      <c r="I36" s="378" t="s">
        <v>21</v>
      </c>
      <c r="J36" s="19" t="s">
        <v>21</v>
      </c>
      <c r="K36" s="926" t="s">
        <v>3</v>
      </c>
      <c r="L36" s="1123">
        <f>B36/3.6*'S2.5 energy supply scenarios'!$B$21</f>
        <v>0.36238022494094013</v>
      </c>
      <c r="M36" s="23">
        <f>C36/3.6*'S2.5 energy supply scenarios'!$B$16</f>
        <v>0.3857262071854668</v>
      </c>
      <c r="N36" s="1153">
        <f t="shared" si="9"/>
        <v>1.4207056095177069</v>
      </c>
      <c r="O36" s="1157">
        <f t="shared" si="10"/>
        <v>2.0647072</v>
      </c>
      <c r="P36" s="1153">
        <v>2.2891599999999999</v>
      </c>
      <c r="Q36" s="1124">
        <f t="shared" si="1"/>
        <v>-0.61128384702944261</v>
      </c>
      <c r="R36" s="1123">
        <f>B36/3.6*'S2.5 energy supply scenarios'!$B$43</f>
        <v>5.3196393906530248E-2</v>
      </c>
      <c r="S36" s="23">
        <f>C36/3.6*'S2.5 energy supply scenarios'!$B$40</f>
        <v>0.316886366682748</v>
      </c>
      <c r="T36" s="1125">
        <f t="shared" si="11"/>
        <v>1.0426819379805783</v>
      </c>
    </row>
    <row r="37" spans="1:20" x14ac:dyDescent="0.25">
      <c r="A37" s="126" t="s">
        <v>1492</v>
      </c>
      <c r="B37" s="19">
        <v>1.5521836547800001</v>
      </c>
      <c r="C37" s="19">
        <v>25.137742183</v>
      </c>
      <c r="D37" s="378">
        <v>6.9479580634599997E-2</v>
      </c>
      <c r="E37" s="378">
        <v>1.6399989830699999</v>
      </c>
      <c r="F37" s="19">
        <v>1.0191094362954001</v>
      </c>
      <c r="G37" s="19" t="s">
        <v>1173</v>
      </c>
      <c r="H37" s="272" t="s">
        <v>1174</v>
      </c>
      <c r="I37" s="378" t="s">
        <v>22</v>
      </c>
      <c r="J37" s="19" t="s">
        <v>22</v>
      </c>
      <c r="K37" s="926" t="s">
        <v>3</v>
      </c>
      <c r="L37" s="1123">
        <f>B37/3.6*'S2.5 energy supply scenarios'!$B$21</f>
        <v>0.17906507518699122</v>
      </c>
      <c r="M37" s="23">
        <f>C37/3.6*'S2.5 energy supply scenarios'!$B$16</f>
        <v>0.5342144263491182</v>
      </c>
      <c r="N37" s="1153">
        <f t="shared" si="9"/>
        <v>1.7323889378315096</v>
      </c>
      <c r="O37" s="1157">
        <f t="shared" si="10"/>
        <v>2.7285880000000002</v>
      </c>
      <c r="P37" s="1153">
        <v>3.6941299999999999</v>
      </c>
      <c r="Q37" s="1124">
        <f t="shared" si="1"/>
        <v>-1.1323906654726557</v>
      </c>
      <c r="R37" s="1123">
        <f>B37/3.6*'S2.5 energy supply scenarios'!$B$43</f>
        <v>2.6286247479707547E-2</v>
      </c>
      <c r="S37" s="23">
        <f>C37/3.6*'S2.5 energy supply scenarios'!$B$40</f>
        <v>0.43887416888395131</v>
      </c>
      <c r="T37" s="1125">
        <f t="shared" si="11"/>
        <v>1.484269852659059</v>
      </c>
    </row>
    <row r="38" spans="1:20" x14ac:dyDescent="0.25">
      <c r="A38" s="126" t="s">
        <v>1491</v>
      </c>
      <c r="B38" s="19">
        <v>2.971133952672</v>
      </c>
      <c r="C38" s="19">
        <v>23.878507023000001</v>
      </c>
      <c r="D38" s="378">
        <v>0.13268123867660001</v>
      </c>
      <c r="E38" s="378">
        <v>1.58319033916</v>
      </c>
      <c r="F38" s="19">
        <v>0.9094736221634</v>
      </c>
      <c r="G38" s="19" t="s">
        <v>1173</v>
      </c>
      <c r="H38" s="272" t="s">
        <v>1174</v>
      </c>
      <c r="I38" s="378" t="s">
        <v>22</v>
      </c>
      <c r="J38" s="19" t="s">
        <v>22</v>
      </c>
      <c r="K38" s="926" t="s">
        <v>3</v>
      </c>
      <c r="L38" s="1123">
        <f>B38/3.6*'S2.5 energy supply scenarios'!$B$21</f>
        <v>0.34275990665630429</v>
      </c>
      <c r="M38" s="23">
        <f>C38/3.6*'S2.5 energy supply scenarios'!$B$16</f>
        <v>0.5074538054572002</v>
      </c>
      <c r="N38" s="1153">
        <f t="shared" si="9"/>
        <v>1.7596873342769044</v>
      </c>
      <c r="O38" s="1157">
        <f t="shared" si="10"/>
        <v>2.6253451999999999</v>
      </c>
      <c r="P38" s="1153">
        <v>3.6941299999999999</v>
      </c>
      <c r="Q38" s="1124">
        <f t="shared" si="1"/>
        <v>-1.0993104445557667</v>
      </c>
      <c r="R38" s="1123">
        <f>B38/3.6*'S2.5 energy supply scenarios'!$B$43</f>
        <v>5.0316186576753658E-2</v>
      </c>
      <c r="S38" s="23">
        <f>C38/3.6*'S2.5 energy supply scenarios'!$B$40</f>
        <v>0.41688946634975993</v>
      </c>
      <c r="T38" s="1125">
        <f t="shared" si="11"/>
        <v>1.3766792750899137</v>
      </c>
    </row>
    <row r="39" spans="1:20" x14ac:dyDescent="0.25">
      <c r="A39" s="126" t="s">
        <v>1490</v>
      </c>
      <c r="B39" s="19">
        <v>13.63997673043</v>
      </c>
      <c r="C39" s="19">
        <v>31.620531025999998</v>
      </c>
      <c r="D39" s="378">
        <v>0.59526731608299999</v>
      </c>
      <c r="E39" s="378">
        <v>2.3487900325000002</v>
      </c>
      <c r="F39" s="19">
        <v>0.60366135141699995</v>
      </c>
      <c r="G39" s="19" t="s">
        <v>1173</v>
      </c>
      <c r="H39" s="272" t="s">
        <v>1174</v>
      </c>
      <c r="I39" s="378" t="s">
        <v>23</v>
      </c>
      <c r="J39" s="19" t="s">
        <v>23</v>
      </c>
      <c r="K39" s="926" t="s">
        <v>3</v>
      </c>
      <c r="L39" s="1123">
        <f>B39/3.6*'S2.5 energy supply scenarios'!$B$21</f>
        <v>1.5735531367449171</v>
      </c>
      <c r="M39" s="23">
        <f>C39/3.6*'S2.5 energy supply scenarios'!$B$16</f>
        <v>0.67198333565266655</v>
      </c>
      <c r="N39" s="1153">
        <f t="shared" si="9"/>
        <v>2.8491978238145839</v>
      </c>
      <c r="O39" s="1157">
        <f t="shared" si="10"/>
        <v>3.5477186999999999</v>
      </c>
      <c r="P39" s="1153">
        <v>2.6513100000000001</v>
      </c>
      <c r="Q39" s="1124">
        <f t="shared" si="1"/>
        <v>6.9453873002628577E-2</v>
      </c>
      <c r="R39" s="1123">
        <f>B39/3.6*'S2.5 energy supply scenarios'!$B$43</f>
        <v>0.23099315783244323</v>
      </c>
      <c r="S39" s="23">
        <f>C39/3.6*'S2.5 energy supply scenarios'!$B$40</f>
        <v>0.55205571656669683</v>
      </c>
      <c r="T39" s="1125">
        <f t="shared" si="11"/>
        <v>1.3867102258161399</v>
      </c>
    </row>
    <row r="40" spans="1:20" x14ac:dyDescent="0.25">
      <c r="A40" s="126" t="s">
        <v>1489</v>
      </c>
      <c r="B40" s="19">
        <v>4.6355219565150003</v>
      </c>
      <c r="C40" s="19">
        <v>28.376785481999999</v>
      </c>
      <c r="D40" s="378">
        <v>0.2069797875103</v>
      </c>
      <c r="E40" s="378">
        <v>1.9092923701</v>
      </c>
      <c r="F40" s="19">
        <v>1.1736590423897</v>
      </c>
      <c r="G40" s="19" t="s">
        <v>1173</v>
      </c>
      <c r="H40" s="272" t="s">
        <v>1174</v>
      </c>
      <c r="I40" s="378" t="s">
        <v>24</v>
      </c>
      <c r="J40" s="19" t="s">
        <v>24</v>
      </c>
      <c r="K40" s="926" t="s">
        <v>3</v>
      </c>
      <c r="L40" s="1123">
        <f>B40/3.6*'S2.5 energy supply scenarios'!$B$21</f>
        <v>0.53476924919168567</v>
      </c>
      <c r="M40" s="23">
        <f>C40/3.6*'S2.5 energy supply scenarios'!$B$16</f>
        <v>0.60304891614929712</v>
      </c>
      <c r="N40" s="1153">
        <f t="shared" si="9"/>
        <v>2.3114772077306829</v>
      </c>
      <c r="O40" s="1157">
        <f t="shared" si="10"/>
        <v>3.2899311999999998</v>
      </c>
      <c r="P40" s="1153">
        <v>4.6475799999999996</v>
      </c>
      <c r="Q40" s="1124">
        <f t="shared" si="1"/>
        <v>-1.0106536133933202</v>
      </c>
      <c r="R40" s="1123">
        <f>B40/3.6*'S2.5 energy supply scenarios'!$B$43</f>
        <v>7.8502615957415159E-2</v>
      </c>
      <c r="S40" s="23">
        <f>C40/3.6*'S2.5 energy supply scenarios'!$B$40</f>
        <v>0.49542389500808592</v>
      </c>
      <c r="T40" s="1125">
        <f t="shared" si="11"/>
        <v>1.7475855533552012</v>
      </c>
    </row>
    <row r="41" spans="1:20" x14ac:dyDescent="0.25">
      <c r="A41" s="126" t="s">
        <v>1488</v>
      </c>
      <c r="B41" s="19">
        <v>2.1451025161950001</v>
      </c>
      <c r="C41" s="19">
        <v>26.279673915</v>
      </c>
      <c r="D41" s="378">
        <v>9.5945077055099998E-2</v>
      </c>
      <c r="E41" s="378">
        <v>1.7315132975600001</v>
      </c>
      <c r="F41" s="19">
        <v>1.0237861253849001</v>
      </c>
      <c r="G41" s="19" t="s">
        <v>1173</v>
      </c>
      <c r="H41" s="272" t="s">
        <v>1174</v>
      </c>
      <c r="I41" s="378" t="s">
        <v>25</v>
      </c>
      <c r="J41" s="19" t="s">
        <v>25</v>
      </c>
      <c r="K41" s="926" t="s">
        <v>3</v>
      </c>
      <c r="L41" s="1123">
        <f>B41/3.6*'S2.5 energy supply scenarios'!$B$21</f>
        <v>0.24746616945963415</v>
      </c>
      <c r="M41" s="23">
        <f>C41/3.6*'S2.5 energy supply scenarios'!$B$16</f>
        <v>0.55848217484853546</v>
      </c>
      <c r="N41" s="1153">
        <f t="shared" si="9"/>
        <v>1.8297344696930697</v>
      </c>
      <c r="O41" s="1157">
        <f t="shared" si="10"/>
        <v>2.8512445</v>
      </c>
      <c r="P41" s="1153">
        <v>3.7391999999999999</v>
      </c>
      <c r="Q41" s="1124">
        <f t="shared" si="1"/>
        <v>-1.0435752082799397</v>
      </c>
      <c r="R41" s="1123">
        <f>B41/3.6*'S2.5 energy supply scenarios'!$B$43</f>
        <v>3.6327335000855394E-2</v>
      </c>
      <c r="S41" s="23">
        <f>C41/3.6*'S2.5 energy supply scenarios'!$B$40</f>
        <v>0.45881089733614444</v>
      </c>
      <c r="T41" s="1125">
        <f t="shared" si="11"/>
        <v>1.5189243577218998</v>
      </c>
    </row>
    <row r="42" spans="1:20" x14ac:dyDescent="0.25">
      <c r="A42" s="126" t="s">
        <v>1487</v>
      </c>
      <c r="B42" s="19">
        <v>15.737168786050001</v>
      </c>
      <c r="C42" s="19">
        <v>90.215430198000007</v>
      </c>
      <c r="D42" s="378">
        <v>0.70419268821400005</v>
      </c>
      <c r="E42" s="378">
        <v>6.1925346106000001</v>
      </c>
      <c r="F42" s="19">
        <v>2.5983564011859999</v>
      </c>
      <c r="G42" s="19" t="s">
        <v>1173</v>
      </c>
      <c r="H42" s="272" t="s">
        <v>1174</v>
      </c>
      <c r="I42" s="378" t="s">
        <v>26</v>
      </c>
      <c r="J42" s="19" t="s">
        <v>26</v>
      </c>
      <c r="K42" s="926" t="s">
        <v>3</v>
      </c>
      <c r="L42" s="1123">
        <f>B42/3.6*'S2.5 energy supply scenarios'!$B$21</f>
        <v>1.8154921959307859</v>
      </c>
      <c r="M42" s="23">
        <f>C42/3.6*'S2.5 energy supply scenarios'!$B$16</f>
        <v>1.9172121322676345</v>
      </c>
      <c r="N42" s="1153">
        <f t="shared" si="9"/>
        <v>6.3310607293844203</v>
      </c>
      <c r="O42" s="1157">
        <f>SUM(D42,E42,F42)</f>
        <v>9.4950837000000003</v>
      </c>
      <c r="P42" s="1153">
        <v>8.7691999999999997</v>
      </c>
      <c r="Q42" s="1124">
        <f t="shared" si="1"/>
        <v>-0.38510754750770548</v>
      </c>
      <c r="R42" s="1123">
        <f>B42/3.6*'S2.5 energy supply scenarios'!$B$43</f>
        <v>0.26650912864990267</v>
      </c>
      <c r="S42" s="23">
        <f>C42/3.6*'S2.5 energy supply scenarios'!$B$40</f>
        <v>1.5750508403030421</v>
      </c>
      <c r="T42" s="1125">
        <f t="shared" si="11"/>
        <v>4.4399163701389446</v>
      </c>
    </row>
    <row r="43" spans="1:20" x14ac:dyDescent="0.25">
      <c r="A43" s="126" t="s">
        <v>1486</v>
      </c>
      <c r="B43" s="19">
        <v>27.462149049840001</v>
      </c>
      <c r="C43" s="19">
        <v>88.372322066999999</v>
      </c>
      <c r="D43" s="378">
        <v>1.21389490451</v>
      </c>
      <c r="E43" s="378">
        <v>6.2388846519000003</v>
      </c>
      <c r="F43" s="19">
        <v>1.36868814359</v>
      </c>
      <c r="G43" s="19" t="s">
        <v>1173</v>
      </c>
      <c r="H43" s="272" t="s">
        <v>1174</v>
      </c>
      <c r="I43" s="378" t="s">
        <v>27</v>
      </c>
      <c r="J43" s="19" t="s">
        <v>27</v>
      </c>
      <c r="K43" s="926" t="s">
        <v>3</v>
      </c>
      <c r="L43" s="1123">
        <f>B43/3.6*'S2.5 energy supply scenarios'!$B$21</f>
        <v>3.1681249633458783</v>
      </c>
      <c r="M43" s="23">
        <f>C43/3.6*'S2.5 energy supply scenarios'!$B$16</f>
        <v>1.8780433419389855</v>
      </c>
      <c r="N43" s="1153">
        <f t="shared" si="9"/>
        <v>6.4148564488748638</v>
      </c>
      <c r="O43" s="1157">
        <f t="shared" si="10"/>
        <v>8.8214676999999995</v>
      </c>
      <c r="P43" s="1153">
        <v>8.2098800000000001</v>
      </c>
      <c r="Q43" s="1124">
        <f t="shared" si="1"/>
        <v>-0.27982287139721967</v>
      </c>
      <c r="R43" s="1123">
        <f>B43/3.6*'S2.5 energy supply scenarios'!$B$43</f>
        <v>0.46507179999329745</v>
      </c>
      <c r="S43" s="23">
        <f>C43/3.6*'S2.5 energy supply scenarios'!$B$40</f>
        <v>1.5428724313088202</v>
      </c>
      <c r="T43" s="1125">
        <f t="shared" si="11"/>
        <v>3.3766323748921176</v>
      </c>
    </row>
    <row r="44" spans="1:20" x14ac:dyDescent="0.25">
      <c r="A44" s="126" t="s">
        <v>1906</v>
      </c>
      <c r="B44" s="19">
        <v>13.630817096359999</v>
      </c>
      <c r="C44" s="19">
        <v>18.763272176000001</v>
      </c>
      <c r="D44" s="378">
        <v>0.60325504444800004</v>
      </c>
      <c r="E44" s="378">
        <v>1.2324180062000001</v>
      </c>
      <c r="F44" s="19">
        <v>1.120061849352</v>
      </c>
      <c r="G44" s="19" t="s">
        <v>1173</v>
      </c>
      <c r="H44" s="272" t="s">
        <v>1174</v>
      </c>
      <c r="I44" s="378" t="s">
        <v>2057</v>
      </c>
      <c r="J44" s="272" t="s">
        <v>18</v>
      </c>
      <c r="K44" s="926" t="s">
        <v>3</v>
      </c>
      <c r="L44" s="1123">
        <f>B44/3.6*'S2.5 energy supply scenarios'!$B$21</f>
        <v>1.5724964508570205</v>
      </c>
      <c r="M44" s="23">
        <f>C44/3.6*'S2.5 energy supply scenarios'!$B$16</f>
        <v>0.39874745348899787</v>
      </c>
      <c r="N44" s="1153">
        <f t="shared" si="9"/>
        <v>3.0913057536980184</v>
      </c>
      <c r="O44" s="1157">
        <f t="shared" si="10"/>
        <v>2.9557349000000004</v>
      </c>
      <c r="P44" s="1153"/>
      <c r="Q44" s="1124"/>
      <c r="R44" s="1123">
        <f>B44/3.6*'S2.5 energy supply scenarios'!$B$43</f>
        <v>0.23083803932746086</v>
      </c>
      <c r="S44" s="23">
        <f>C44/3.6*'S2.5 energy supply scenarios'!$B$40</f>
        <v>0.32758373531869117</v>
      </c>
      <c r="T44" s="1125">
        <f t="shared" si="11"/>
        <v>1.6784836239981522</v>
      </c>
    </row>
    <row r="45" spans="1:20" x14ac:dyDescent="0.25">
      <c r="A45" s="126" t="s">
        <v>1485</v>
      </c>
      <c r="B45" s="19">
        <v>7.9210767437399996</v>
      </c>
      <c r="C45" s="19">
        <v>31.538988346</v>
      </c>
      <c r="D45" s="378">
        <v>0.34677528658680001</v>
      </c>
      <c r="E45" s="378">
        <v>2.051484989</v>
      </c>
      <c r="F45" s="19">
        <v>1.0339398244132001</v>
      </c>
      <c r="G45" s="19" t="s">
        <v>1173</v>
      </c>
      <c r="H45" s="272" t="s">
        <v>1174</v>
      </c>
      <c r="I45" s="378" t="s">
        <v>2057</v>
      </c>
      <c r="J45" s="272" t="s">
        <v>18</v>
      </c>
      <c r="K45" s="926" t="s">
        <v>3</v>
      </c>
      <c r="L45" s="1123">
        <f>B45/3.6*'S2.5 energy supply scenarios'!$B$21</f>
        <v>0.91380179034340292</v>
      </c>
      <c r="M45" s="23">
        <f>C45/3.6*'S2.5 energy supply scenarios'!$B$16</f>
        <v>0.67025043236715875</v>
      </c>
      <c r="N45" s="1153">
        <f t="shared" si="9"/>
        <v>2.6179920471237619</v>
      </c>
      <c r="O45" s="1157">
        <f t="shared" si="10"/>
        <v>3.4322001000000002</v>
      </c>
      <c r="P45" s="1153"/>
      <c r="Q45" s="1124"/>
      <c r="R45" s="1123">
        <f>B45/3.6*'S2.5 energy supply scenarios'!$B$43</f>
        <v>0.13414352286889478</v>
      </c>
      <c r="S45" s="23">
        <f>C45/3.6*'S2.5 energy supply scenarios'!$B$40</f>
        <v>0.55063208131524721</v>
      </c>
      <c r="T45" s="1125">
        <f t="shared" si="11"/>
        <v>1.7187154285973421</v>
      </c>
    </row>
    <row r="46" spans="1:20" x14ac:dyDescent="0.25">
      <c r="A46" s="126" t="s">
        <v>1484</v>
      </c>
      <c r="B46" s="19">
        <v>4.2929157232990001</v>
      </c>
      <c r="C46" s="19">
        <v>11.542415546999999</v>
      </c>
      <c r="D46" s="378">
        <v>0.17989877021030001</v>
      </c>
      <c r="E46" s="378">
        <v>0.80226543844999998</v>
      </c>
      <c r="F46" s="19">
        <v>0.69528239133970005</v>
      </c>
      <c r="G46" s="19" t="s">
        <v>1173</v>
      </c>
      <c r="H46" s="272" t="s">
        <v>1174</v>
      </c>
      <c r="I46" s="378" t="s">
        <v>1236</v>
      </c>
      <c r="J46" s="465" t="s">
        <v>1908</v>
      </c>
      <c r="K46" s="926" t="s">
        <v>3</v>
      </c>
      <c r="L46" s="1123">
        <f>B46/3.6*'S2.5 energy supply scenarios'!$B$21</f>
        <v>0.49524505324913126</v>
      </c>
      <c r="M46" s="23">
        <f>C46/3.6*'S2.5 energy supply scenarios'!$B$16</f>
        <v>0.24529350548808387</v>
      </c>
      <c r="N46" s="1153">
        <f t="shared" si="9"/>
        <v>1.435820950076915</v>
      </c>
      <c r="O46" s="1157">
        <f t="shared" si="10"/>
        <v>1.6774466000000001</v>
      </c>
      <c r="P46" s="1165">
        <v>2.02</v>
      </c>
      <c r="Q46" s="1124">
        <f t="shared" si="1"/>
        <v>-0.40686065340653466</v>
      </c>
      <c r="R46" s="1123">
        <f>B46/3.6*'S2.5 energy supply scenarios'!$B$43</f>
        <v>7.27005755824425E-2</v>
      </c>
      <c r="S46" s="23">
        <f>C46/3.6*'S2.5 energy supply scenarios'!$B$40</f>
        <v>0.20151642869217595</v>
      </c>
      <c r="T46" s="1125">
        <f t="shared" si="11"/>
        <v>0.96949939561431853</v>
      </c>
    </row>
    <row r="47" spans="1:20" x14ac:dyDescent="0.25">
      <c r="A47" s="126" t="s">
        <v>1483</v>
      </c>
      <c r="B47" s="19">
        <v>10.197174170269999</v>
      </c>
      <c r="C47" s="19">
        <v>18.657389345999999</v>
      </c>
      <c r="D47" s="378">
        <v>0.45600398968389999</v>
      </c>
      <c r="E47" s="378">
        <v>1.2906388565</v>
      </c>
      <c r="F47" s="19">
        <v>0.70983935381609997</v>
      </c>
      <c r="G47" s="19" t="s">
        <v>1173</v>
      </c>
      <c r="H47" s="272" t="s">
        <v>1174</v>
      </c>
      <c r="I47" s="378" t="s">
        <v>1482</v>
      </c>
      <c r="J47" s="1162" t="s">
        <v>1909</v>
      </c>
      <c r="K47" s="926" t="s">
        <v>3</v>
      </c>
      <c r="L47" s="1123">
        <f>B47/3.6*'S2.5 energy supply scenarios'!$B$21</f>
        <v>1.176379968872334</v>
      </c>
      <c r="M47" s="23">
        <f>C47/3.6*'S2.5 energy supply scenarios'!$B$16</f>
        <v>0.39649728579784677</v>
      </c>
      <c r="N47" s="1153">
        <f t="shared" si="9"/>
        <v>2.2827166084862807</v>
      </c>
      <c r="O47" s="1157">
        <f t="shared" si="10"/>
        <v>2.4564821999999999</v>
      </c>
      <c r="P47" s="1165">
        <v>1.99</v>
      </c>
      <c r="Q47" s="1124">
        <f t="shared" si="1"/>
        <v>0.12823168999518844</v>
      </c>
      <c r="R47" s="1123">
        <f>B47/3.6*'S2.5 energy supply scenarios'!$B$43</f>
        <v>0.17268925813510791</v>
      </c>
      <c r="S47" s="23">
        <f>C47/3.6*'S2.5 energy supply scenarios'!$B$40</f>
        <v>0.3257351508803179</v>
      </c>
      <c r="T47" s="1125">
        <f t="shared" si="11"/>
        <v>1.2082637628315258</v>
      </c>
    </row>
    <row r="48" spans="1:20" x14ac:dyDescent="0.25">
      <c r="A48" s="126" t="s">
        <v>1481</v>
      </c>
      <c r="B48" s="19">
        <v>2.6823332831690001</v>
      </c>
      <c r="C48" s="19">
        <v>10.87109746</v>
      </c>
      <c r="D48" s="378">
        <v>0.1197638653846</v>
      </c>
      <c r="E48" s="378">
        <v>0.56671917630000002</v>
      </c>
      <c r="F48" s="19">
        <v>0.98798235831540004</v>
      </c>
      <c r="G48" s="19" t="s">
        <v>1173</v>
      </c>
      <c r="H48" s="272" t="s">
        <v>1174</v>
      </c>
      <c r="I48" s="378" t="s">
        <v>1480</v>
      </c>
      <c r="J48" s="1162" t="s">
        <v>1909</v>
      </c>
      <c r="K48" s="926" t="s">
        <v>3</v>
      </c>
      <c r="L48" s="1123">
        <f>B48/3.6*'S2.5 energy supply scenarios'!$B$21</f>
        <v>0.30944289971620881</v>
      </c>
      <c r="M48" s="23">
        <f>C48/3.6*'S2.5 energy supply scenarios'!$B$16</f>
        <v>0.23102699721802045</v>
      </c>
      <c r="N48" s="1153">
        <f t="shared" si="9"/>
        <v>1.5284522552496291</v>
      </c>
      <c r="O48" s="1157">
        <f t="shared" si="10"/>
        <v>1.6744654000000001</v>
      </c>
      <c r="P48" s="1182"/>
      <c r="Q48" s="1183"/>
      <c r="R48" s="1123">
        <f>B48/3.6*'S2.5 energy supply scenarios'!$B$43</f>
        <v>4.542534402247031E-2</v>
      </c>
      <c r="S48" s="23">
        <f>C48/3.6*'S2.5 energy supply scenarios'!$B$40</f>
        <v>0.18979603768235268</v>
      </c>
      <c r="T48" s="1125">
        <f t="shared" si="11"/>
        <v>1.2232037400202231</v>
      </c>
    </row>
    <row r="49" spans="1:20" x14ac:dyDescent="0.25">
      <c r="A49" s="126" t="s">
        <v>1479</v>
      </c>
      <c r="B49" s="19">
        <v>6.6971084860900003</v>
      </c>
      <c r="C49" s="19">
        <v>31.427916552999999</v>
      </c>
      <c r="D49" s="378">
        <v>0.29911313504789999</v>
      </c>
      <c r="E49" s="378">
        <v>2.2504688187999999</v>
      </c>
      <c r="F49" s="19">
        <v>0.74301724615209996</v>
      </c>
      <c r="G49" s="19" t="s">
        <v>1173</v>
      </c>
      <c r="H49" s="272" t="s">
        <v>1174</v>
      </c>
      <c r="I49" s="378" t="s">
        <v>1365</v>
      </c>
      <c r="J49" s="19" t="s">
        <v>1365</v>
      </c>
      <c r="K49" s="926" t="s">
        <v>3</v>
      </c>
      <c r="L49" s="1123">
        <f>B49/3.6*'S2.5 energy supply scenarios'!$B$21</f>
        <v>0.77260073632660109</v>
      </c>
      <c r="M49" s="23">
        <f>C49/3.6*'S2.5 energy supply scenarios'!$B$16</f>
        <v>0.66788999149108075</v>
      </c>
      <c r="N49" s="1153">
        <f t="shared" si="9"/>
        <v>2.1835079739697818</v>
      </c>
      <c r="O49" s="1157">
        <f t="shared" si="10"/>
        <v>3.2925992000000002</v>
      </c>
      <c r="P49" s="1182"/>
      <c r="Q49" s="1183"/>
      <c r="R49" s="1123">
        <f>B49/3.6*'S2.5 energy supply scenarios'!$B$43</f>
        <v>0.11341560679477887</v>
      </c>
      <c r="S49" s="23">
        <f>C49/3.6*'S2.5 energy supply scenarios'!$B$40</f>
        <v>0.54869290394265524</v>
      </c>
      <c r="T49" s="1125">
        <f t="shared" si="11"/>
        <v>1.4051257568895341</v>
      </c>
    </row>
    <row r="50" spans="1:20" x14ac:dyDescent="0.25">
      <c r="A50" s="126" t="s">
        <v>1478</v>
      </c>
      <c r="B50" s="19">
        <v>1.9185212001209999</v>
      </c>
      <c r="C50" s="19">
        <v>37.583919145000003</v>
      </c>
      <c r="D50" s="378">
        <v>8.5488107697499996E-2</v>
      </c>
      <c r="E50" s="378">
        <v>2.5105368329800002</v>
      </c>
      <c r="F50" s="19">
        <v>0.80339195932249996</v>
      </c>
      <c r="G50" s="19" t="s">
        <v>1173</v>
      </c>
      <c r="H50" s="272" t="s">
        <v>1174</v>
      </c>
      <c r="I50" s="378" t="s">
        <v>1378</v>
      </c>
      <c r="J50" s="19" t="s">
        <v>1378</v>
      </c>
      <c r="K50" s="926" t="s">
        <v>3</v>
      </c>
      <c r="L50" s="1123">
        <f>B50/3.6*'S2.5 energy supply scenarios'!$B$21</f>
        <v>0.22132699432155498</v>
      </c>
      <c r="M50" s="23">
        <f>C50/3.6*'S2.5 energy supply scenarios'!$B$16</f>
        <v>0.7987142067029378</v>
      </c>
      <c r="N50" s="1153">
        <f t="shared" si="9"/>
        <v>1.8234331603469927</v>
      </c>
      <c r="O50" s="1157">
        <f t="shared" si="10"/>
        <v>3.3994169000000003</v>
      </c>
      <c r="P50" s="1165">
        <v>3.84</v>
      </c>
      <c r="Q50" s="1124">
        <f>(N50-P50)/N50</f>
        <v>-1.1059176083368265</v>
      </c>
      <c r="R50" s="1123">
        <f>B50/3.6*'S2.5 energy supply scenarios'!$B$43</f>
        <v>3.2490177889802588E-2</v>
      </c>
      <c r="S50" s="23">
        <f>C50/3.6*'S2.5 energy supply scenarios'!$B$40</f>
        <v>0.65616916420275717</v>
      </c>
      <c r="T50" s="1125">
        <f t="shared" si="11"/>
        <v>1.4920513014150596</v>
      </c>
    </row>
    <row r="51" spans="1:20" x14ac:dyDescent="0.25">
      <c r="A51" s="126" t="s">
        <v>1477</v>
      </c>
      <c r="B51" s="19">
        <v>12.43323682878</v>
      </c>
      <c r="C51" s="19">
        <v>39.595822376999998</v>
      </c>
      <c r="D51" s="378">
        <v>0.54183804954259995</v>
      </c>
      <c r="E51" s="378">
        <v>3.0377044811</v>
      </c>
      <c r="F51" s="19">
        <v>1.5659778693574</v>
      </c>
      <c r="G51" s="19" t="s">
        <v>1173</v>
      </c>
      <c r="H51" s="272" t="s">
        <v>1174</v>
      </c>
      <c r="I51" s="378" t="s">
        <v>1667</v>
      </c>
      <c r="J51" s="272" t="s">
        <v>1327</v>
      </c>
      <c r="K51" s="926" t="s">
        <v>3</v>
      </c>
      <c r="L51" s="1123">
        <f>B51/3.6*'S2.5 energy supply scenarios'!$B$21</f>
        <v>1.4343396032467006</v>
      </c>
      <c r="M51" s="23">
        <f>C51/3.6*'S2.5 energy supply scenarios'!$B$16</f>
        <v>0.84147014409494691</v>
      </c>
      <c r="N51" s="1153">
        <f t="shared" si="9"/>
        <v>3.8417876166990474</v>
      </c>
      <c r="O51" s="1157">
        <f t="shared" si="10"/>
        <v>5.1455204000000005</v>
      </c>
      <c r="P51" s="1165">
        <v>3.8801644587467772</v>
      </c>
      <c r="Q51" s="1124">
        <f>(N51-P51)/N51</f>
        <v>-9.9893190037152538E-3</v>
      </c>
      <c r="R51" s="1123">
        <f>B51/3.6*'S2.5 energy supply scenarios'!$B$43</f>
        <v>0.21055700415905218</v>
      </c>
      <c r="S51" s="23">
        <f>C51/3.6*'S2.5 energy supply scenarios'!$B$40</f>
        <v>0.69129452877969455</v>
      </c>
      <c r="T51" s="1125">
        <f t="shared" si="11"/>
        <v>2.4678294022961467</v>
      </c>
    </row>
    <row r="52" spans="1:20" ht="15.75" thickBot="1" x14ac:dyDescent="0.3">
      <c r="A52" s="1150" t="s">
        <v>1476</v>
      </c>
      <c r="B52" s="1128">
        <v>0.1807442853938</v>
      </c>
      <c r="C52" s="1128">
        <v>-1.3179275319999999E-2</v>
      </c>
      <c r="D52" s="1133">
        <v>8.0872101840699998E-3</v>
      </c>
      <c r="E52" s="1133">
        <v>-8.1648657682000005E-3</v>
      </c>
      <c r="F52" s="1128">
        <v>0.13390745558413</v>
      </c>
      <c r="G52" s="1135" t="s">
        <v>1475</v>
      </c>
      <c r="H52" s="1135" t="s">
        <v>1174</v>
      </c>
      <c r="I52" s="1133" t="s">
        <v>1474</v>
      </c>
      <c r="J52" s="1128" t="s">
        <v>1474</v>
      </c>
      <c r="K52" s="1151">
        <f>K32*'S2.1.4 Gas_cred'!I15+K5*'S2.1.4 Gas_cred'!I16+AVERAGE(K32,K5)*(1-'S2.1.4 Gas_cred'!I15-'S2.1.4 Gas_cred'!I16)</f>
        <v>0.90792317292006519</v>
      </c>
      <c r="L52" s="1126">
        <f>B52/3.6*'S2.5 energy supply scenarios'!$B$21/K52</f>
        <v>2.2965888814619893E-2</v>
      </c>
      <c r="M52" s="1127">
        <f>C52/3.6*'S2.5 energy supply scenarios'!$B$16/K52</f>
        <v>-3.0848338236690726E-4</v>
      </c>
      <c r="N52" s="1154">
        <f>SUM(L52,M52,F52/K52)</f>
        <v>0.17014505590542731</v>
      </c>
      <c r="O52" s="1164">
        <f t="shared" si="10"/>
        <v>0.1338298</v>
      </c>
      <c r="P52" s="1184"/>
      <c r="Q52" s="1185"/>
      <c r="R52" s="1126">
        <f>B52/3.6*'S2.5 energy supply scenarios'!$B$43</f>
        <v>3.0609064860161249E-3</v>
      </c>
      <c r="S52" s="1127">
        <f>C52/3.6*'S2.5 energy supply scenarios'!$B$40</f>
        <v>-2.3009399414038742E-4</v>
      </c>
      <c r="T52" s="1129">
        <f t="shared" si="11"/>
        <v>0.13673826807600575</v>
      </c>
    </row>
    <row r="55" spans="1:20" x14ac:dyDescent="0.25">
      <c r="N55" s="165"/>
    </row>
    <row r="56" spans="1:20" x14ac:dyDescent="0.25">
      <c r="N56" s="165"/>
    </row>
  </sheetData>
  <mergeCells count="4">
    <mergeCell ref="D1:E1"/>
    <mergeCell ref="R1:T1"/>
    <mergeCell ref="L1:N1"/>
    <mergeCell ref="O1:Q1"/>
  </mergeCells>
  <conditionalFormatting sqref="T3:T52 N3:P49 N52:P52 N50:O51">
    <cfRule type="colorScale" priority="6">
      <colorScale>
        <cfvo type="num" val="0"/>
        <cfvo type="num" val="6"/>
        <color rgb="FFFCFCFF"/>
        <color rgb="FF3CC8C5"/>
      </colorScale>
    </cfRule>
  </conditionalFormatting>
  <conditionalFormatting sqref="O3:O52">
    <cfRule type="colorScale" priority="5">
      <colorScale>
        <cfvo type="num" val="0"/>
        <cfvo type="num" val="6"/>
        <color rgb="FFFCFCFF"/>
        <color rgb="FFEB6E19"/>
      </colorScale>
    </cfRule>
  </conditionalFormatting>
  <conditionalFormatting sqref="P3:P49 P52">
    <cfRule type="colorScale" priority="4">
      <colorScale>
        <cfvo type="num" val="0"/>
        <cfvo type="num" val="6"/>
        <color rgb="FFFCFCFF"/>
        <color theme="7" tint="-0.249977111117893"/>
      </colorScale>
    </cfRule>
  </conditionalFormatting>
  <conditionalFormatting sqref="Q3:Q52">
    <cfRule type="colorScale" priority="3">
      <colorScale>
        <cfvo type="min"/>
        <cfvo type="num" val="0"/>
        <cfvo type="max"/>
        <color rgb="FF5A8AC6"/>
        <color rgb="FFFCFCFF"/>
        <color rgb="FFF8696B"/>
      </colorScale>
    </cfRule>
  </conditionalFormatting>
  <conditionalFormatting sqref="P50:P51">
    <cfRule type="colorScale" priority="2">
      <colorScale>
        <cfvo type="num" val="0"/>
        <cfvo type="num" val="6"/>
        <color rgb="FFFCFCFF"/>
        <color rgb="FF3CC8C5"/>
      </colorScale>
    </cfRule>
  </conditionalFormatting>
  <conditionalFormatting sqref="P50:P51">
    <cfRule type="colorScale" priority="1">
      <colorScale>
        <cfvo type="num" val="0"/>
        <cfvo type="num" val="6"/>
        <color rgb="FFFCFCFF"/>
        <color theme="7" tint="-0.249977111117893"/>
      </colorScale>
    </cfRule>
  </conditionalFormatting>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4ED1A-8FE9-4D9C-96D6-B8885AE40B10}">
  <sheetPr>
    <tabColor rgb="FF7A468A"/>
  </sheetPr>
  <dimension ref="A1:R39"/>
  <sheetViews>
    <sheetView zoomScale="70" zoomScaleNormal="70" workbookViewId="0">
      <selection activeCell="A41" sqref="A41"/>
    </sheetView>
  </sheetViews>
  <sheetFormatPr defaultRowHeight="15" x14ac:dyDescent="0.25"/>
  <cols>
    <col min="2" max="2" width="7" customWidth="1"/>
    <col min="3" max="3" width="9.7109375" customWidth="1"/>
    <col min="4" max="4" width="9.42578125" customWidth="1"/>
    <col min="6" max="16" width="8" customWidth="1"/>
  </cols>
  <sheetData>
    <row r="1" spans="1:2" x14ac:dyDescent="0.25">
      <c r="A1" s="68" t="s">
        <v>2038</v>
      </c>
    </row>
    <row r="3" spans="1:2" x14ac:dyDescent="0.25">
      <c r="A3" t="s">
        <v>1429</v>
      </c>
    </row>
    <row r="4" spans="1:2" x14ac:dyDescent="0.25">
      <c r="A4" s="384">
        <v>0.15</v>
      </c>
      <c r="B4" t="s">
        <v>1430</v>
      </c>
    </row>
    <row r="5" spans="1:2" x14ac:dyDescent="0.25">
      <c r="A5" s="384">
        <v>0.7</v>
      </c>
      <c r="B5" t="s">
        <v>1431</v>
      </c>
    </row>
    <row r="6" spans="1:2" x14ac:dyDescent="0.25">
      <c r="A6" t="s">
        <v>1432</v>
      </c>
    </row>
    <row r="7" spans="1:2" x14ac:dyDescent="0.25">
      <c r="A7">
        <f>A4</f>
        <v>0.15</v>
      </c>
      <c r="B7" t="s">
        <v>1433</v>
      </c>
    </row>
    <row r="8" spans="1:2" x14ac:dyDescent="0.25">
      <c r="A8">
        <f>A5/0.7*0.4</f>
        <v>0.4</v>
      </c>
      <c r="B8" t="s">
        <v>1434</v>
      </c>
    </row>
    <row r="10" spans="1:2" x14ac:dyDescent="0.25">
      <c r="A10" t="s">
        <v>1435</v>
      </c>
    </row>
    <row r="11" spans="1:2" x14ac:dyDescent="0.25">
      <c r="A11" s="384">
        <f>B25</f>
        <v>42.3</v>
      </c>
      <c r="B11" t="s">
        <v>1436</v>
      </c>
    </row>
    <row r="12" spans="1:2" x14ac:dyDescent="0.25">
      <c r="A12" t="s">
        <v>1437</v>
      </c>
    </row>
    <row r="13" spans="1:2" x14ac:dyDescent="0.25">
      <c r="A13" s="384">
        <f>C25</f>
        <v>73300</v>
      </c>
      <c r="B13" t="s">
        <v>1438</v>
      </c>
    </row>
    <row r="14" spans="1:2" x14ac:dyDescent="0.25">
      <c r="A14" t="s">
        <v>1439</v>
      </c>
    </row>
    <row r="15" spans="1:2" x14ac:dyDescent="0.25">
      <c r="A15" s="166">
        <f>ROUND($A$13/1000/1000*A7/($A$7+$A$8)/A4,3)</f>
        <v>0.13300000000000001</v>
      </c>
      <c r="B15" t="str">
        <f>_xlfn.CONCAT("kg CO2e/MJ electricity (= ",ROUND(A15*3.6,2)," kg CO2e/kWh) and")</f>
        <v>kg CO2e/MJ electricity (= 0.48 kg CO2e/kWh) and</v>
      </c>
    </row>
    <row r="16" spans="1:2" x14ac:dyDescent="0.25">
      <c r="A16" s="166">
        <f>ROUND($A$13/1000/1000*A8/($A$7+$A$8)/A5,3)</f>
        <v>7.5999999999999998E-2</v>
      </c>
      <c r="B16" t="s">
        <v>1440</v>
      </c>
    </row>
    <row r="17" spans="1:18" x14ac:dyDescent="0.25">
      <c r="A17" s="166">
        <f>ROUND(A11*A13/1000/1000,2)</f>
        <v>3.1</v>
      </c>
      <c r="B17" t="s">
        <v>1441</v>
      </c>
    </row>
    <row r="19" spans="1:18" x14ac:dyDescent="0.25">
      <c r="A19" t="s">
        <v>1442</v>
      </c>
    </row>
    <row r="20" spans="1:18" x14ac:dyDescent="0.25">
      <c r="A20" s="166">
        <f>$A$11*A4</f>
        <v>6.3449999999999998</v>
      </c>
      <c r="B20" t="s">
        <v>1443</v>
      </c>
    </row>
    <row r="21" spans="1:18" x14ac:dyDescent="0.25">
      <c r="A21" s="166">
        <f>$A$11*A5</f>
        <v>29.609999999999996</v>
      </c>
      <c r="B21" t="s">
        <v>1444</v>
      </c>
    </row>
    <row r="23" spans="1:18" x14ac:dyDescent="0.25">
      <c r="A23" t="s">
        <v>1445</v>
      </c>
      <c r="F23" s="1478" t="s">
        <v>1617</v>
      </c>
      <c r="G23" s="1478"/>
      <c r="H23" s="1478"/>
      <c r="I23" s="1478"/>
      <c r="J23" s="1478"/>
      <c r="K23" s="1478"/>
      <c r="L23" s="1478"/>
      <c r="M23" s="1478"/>
      <c r="N23" s="1478"/>
      <c r="O23" s="1478"/>
      <c r="P23" s="1478"/>
      <c r="Q23" s="360" t="s">
        <v>30</v>
      </c>
    </row>
    <row r="24" spans="1:18" x14ac:dyDescent="0.25">
      <c r="A24" t="s">
        <v>1446</v>
      </c>
      <c r="B24" t="s">
        <v>1447</v>
      </c>
      <c r="C24" t="s">
        <v>1448</v>
      </c>
      <c r="D24" t="s">
        <v>1449</v>
      </c>
      <c r="F24" s="19" t="s">
        <v>110</v>
      </c>
      <c r="G24" s="465" t="s">
        <v>111</v>
      </c>
      <c r="H24" s="465" t="s">
        <v>112</v>
      </c>
      <c r="I24" s="19" t="s">
        <v>113</v>
      </c>
      <c r="J24" s="465" t="s">
        <v>114</v>
      </c>
      <c r="K24" s="465" t="s">
        <v>115</v>
      </c>
      <c r="L24" s="19" t="s">
        <v>116</v>
      </c>
      <c r="M24" s="465" t="s">
        <v>117</v>
      </c>
      <c r="N24" s="19" t="s">
        <v>118</v>
      </c>
      <c r="O24" s="272" t="s">
        <v>603</v>
      </c>
      <c r="P24" s="854" t="s">
        <v>45</v>
      </c>
    </row>
    <row r="25" spans="1:18" x14ac:dyDescent="0.25">
      <c r="A25" t="s">
        <v>1450</v>
      </c>
      <c r="B25">
        <v>42.3</v>
      </c>
      <c r="C25">
        <v>73300</v>
      </c>
      <c r="D25">
        <f t="shared" ref="D25:D30" si="0">ROUND(C25/(12+2*16)*12/1000/1000*B25,2)</f>
        <v>0.85</v>
      </c>
      <c r="F25" s="1478"/>
      <c r="G25" s="1478"/>
      <c r="H25" s="1478"/>
      <c r="I25" s="1478"/>
      <c r="J25" s="1478"/>
      <c r="K25" s="1478"/>
      <c r="L25" s="1478"/>
      <c r="M25" s="1478"/>
      <c r="N25" s="1478"/>
      <c r="O25" s="1478"/>
      <c r="P25" s="1478"/>
    </row>
    <row r="26" spans="1:18" x14ac:dyDescent="0.25">
      <c r="A26" t="s">
        <v>1451</v>
      </c>
      <c r="B26">
        <v>48</v>
      </c>
      <c r="C26">
        <v>56100</v>
      </c>
      <c r="D26">
        <f t="shared" si="0"/>
        <v>0.73</v>
      </c>
      <c r="F26" s="1478"/>
      <c r="G26" s="1478"/>
      <c r="H26" s="1478"/>
      <c r="I26" s="1478"/>
      <c r="J26" s="1478"/>
      <c r="K26" s="1478"/>
      <c r="L26" s="1478"/>
      <c r="M26" s="1478"/>
      <c r="N26" s="1478"/>
      <c r="O26" s="1478"/>
      <c r="P26" s="1478"/>
    </row>
    <row r="27" spans="1:18" x14ac:dyDescent="0.25">
      <c r="A27" t="s">
        <v>1452</v>
      </c>
      <c r="B27">
        <v>49.5</v>
      </c>
      <c r="C27">
        <v>57600</v>
      </c>
      <c r="D27">
        <f t="shared" si="0"/>
        <v>0.78</v>
      </c>
      <c r="F27" s="1478"/>
      <c r="G27" s="1478"/>
      <c r="H27" s="1478"/>
      <c r="I27" s="1478"/>
      <c r="J27" s="1478"/>
      <c r="K27" s="1478"/>
      <c r="L27" s="1478"/>
      <c r="M27" s="1478"/>
      <c r="N27" s="1478"/>
      <c r="O27" s="1478"/>
      <c r="P27" s="1478"/>
    </row>
    <row r="28" spans="1:18" x14ac:dyDescent="0.25">
      <c r="A28" t="s">
        <v>1453</v>
      </c>
      <c r="B28">
        <v>25.8</v>
      </c>
      <c r="C28">
        <v>94600</v>
      </c>
      <c r="D28">
        <f t="shared" si="0"/>
        <v>0.67</v>
      </c>
      <c r="F28" s="1478"/>
      <c r="G28" s="1478"/>
      <c r="H28" s="1478"/>
      <c r="I28" s="1478"/>
      <c r="J28" s="1478"/>
      <c r="K28" s="1478"/>
      <c r="L28" s="1478"/>
      <c r="M28" s="1478"/>
      <c r="N28" s="1478"/>
      <c r="O28" s="1478"/>
      <c r="P28" s="1478"/>
    </row>
    <row r="29" spans="1:18" x14ac:dyDescent="0.25">
      <c r="A29" t="s">
        <v>1454</v>
      </c>
      <c r="B29">
        <v>11.9</v>
      </c>
      <c r="C29">
        <v>101000</v>
      </c>
      <c r="D29">
        <f t="shared" si="0"/>
        <v>0.33</v>
      </c>
      <c r="F29" s="1478"/>
      <c r="G29" s="1478"/>
      <c r="H29" s="1478"/>
      <c r="I29" s="1478"/>
      <c r="J29" s="1478"/>
      <c r="K29" s="1478"/>
      <c r="L29" s="1478"/>
      <c r="M29" s="1478"/>
      <c r="N29" s="1478"/>
      <c r="O29" s="1478"/>
      <c r="P29" s="1478"/>
    </row>
    <row r="30" spans="1:18" x14ac:dyDescent="0.25">
      <c r="A30" t="s">
        <v>1455</v>
      </c>
      <c r="B30">
        <v>11.6</v>
      </c>
      <c r="C30">
        <v>100000</v>
      </c>
      <c r="D30">
        <f t="shared" si="0"/>
        <v>0.32</v>
      </c>
      <c r="F30" s="1478"/>
      <c r="G30" s="1478"/>
      <c r="H30" s="1478"/>
      <c r="I30" s="1478"/>
      <c r="J30" s="1478"/>
      <c r="K30" s="1478"/>
      <c r="L30" s="1478"/>
      <c r="M30" s="1478"/>
      <c r="N30" s="1478"/>
      <c r="O30" s="1478"/>
      <c r="P30" s="1478"/>
    </row>
    <row r="31" spans="1:18" x14ac:dyDescent="0.25">
      <c r="A31" t="s">
        <v>1456</v>
      </c>
      <c r="B31" s="66">
        <f>SUMPRODUCT(F31:O31,F35:O35)</f>
        <v>27.027899999999999</v>
      </c>
      <c r="C31" s="66">
        <f>F31*(12+2*16)/12/B31*1000000</f>
        <v>127115.56083405174</v>
      </c>
      <c r="D31">
        <v>0.94</v>
      </c>
      <c r="F31" s="1166">
        <f>'S2.2.1 Pyro_lit'!Z73</f>
        <v>0.93700000000000006</v>
      </c>
      <c r="G31" s="1166">
        <f>'S2.2.1 Pyro_lit'!AA73</f>
        <v>3.5000000000000003E-2</v>
      </c>
      <c r="H31" s="1166">
        <f>1-SUM(F31:G31)</f>
        <v>2.7999999999999914E-2</v>
      </c>
      <c r="I31" s="243">
        <v>0</v>
      </c>
      <c r="J31" s="243">
        <v>0</v>
      </c>
      <c r="K31" s="243">
        <v>0</v>
      </c>
      <c r="L31" s="243">
        <v>0</v>
      </c>
      <c r="M31" s="243">
        <v>0</v>
      </c>
      <c r="N31" s="243">
        <v>0</v>
      </c>
      <c r="O31" s="243">
        <v>0</v>
      </c>
      <c r="P31" s="1167">
        <f>SUM(F31:O31)</f>
        <v>1</v>
      </c>
      <c r="Q31" s="360" t="s">
        <v>1912</v>
      </c>
      <c r="R31" t="s">
        <v>3</v>
      </c>
    </row>
    <row r="32" spans="1:18" x14ac:dyDescent="0.25">
      <c r="A32" t="s">
        <v>1457</v>
      </c>
      <c r="B32" s="66">
        <f>SUMPRODUCT(F32:O32,F35:O35)</f>
        <v>20.729504567814473</v>
      </c>
      <c r="C32" s="66">
        <f>F32*(12+2*16)/12/B32*1000000</f>
        <v>126303.11425300999</v>
      </c>
      <c r="D32">
        <v>0.71</v>
      </c>
      <c r="F32" s="243">
        <f>(1-$N$32)*F33/SUM($F$33:$M$33)</f>
        <v>0.71405481377371749</v>
      </c>
      <c r="G32" s="243">
        <f t="shared" ref="G32:M32" si="1">(1-$N$32)*G33/SUM($F$33:$M$33)</f>
        <v>1.8973998594518621E-2</v>
      </c>
      <c r="H32" s="243">
        <f t="shared" si="1"/>
        <v>6.7832044975404071E-2</v>
      </c>
      <c r="I32" s="243">
        <f t="shared" si="1"/>
        <v>1.2965565706254394E-2</v>
      </c>
      <c r="J32" s="243">
        <f t="shared" si="1"/>
        <v>5.8503162333099074E-2</v>
      </c>
      <c r="K32" s="243">
        <f t="shared" si="1"/>
        <v>6.3246661981728738E-4</v>
      </c>
      <c r="L32" s="243">
        <f t="shared" si="1"/>
        <v>6.3246661981728738E-4</v>
      </c>
      <c r="M32" s="243">
        <f t="shared" si="1"/>
        <v>2.6405481377371746E-2</v>
      </c>
      <c r="N32" s="1166">
        <v>0.1</v>
      </c>
      <c r="O32" s="1166">
        <v>0</v>
      </c>
      <c r="P32" s="1167">
        <f>SUM(F32:O32)</f>
        <v>1</v>
      </c>
      <c r="Q32" s="360" t="s">
        <v>1914</v>
      </c>
      <c r="R32" t="s">
        <v>3</v>
      </c>
    </row>
    <row r="33" spans="1:18" x14ac:dyDescent="0.25">
      <c r="A33" t="s">
        <v>1458</v>
      </c>
      <c r="B33" s="66">
        <f>SUMPRODUCT(F33:O33,F35:O35)</f>
        <v>13.110259999999998</v>
      </c>
      <c r="C33" s="66">
        <f>F33*(12+2*16)/12/B33*1000000</f>
        <v>126303.11425300999</v>
      </c>
      <c r="D33">
        <v>0.45</v>
      </c>
      <c r="F33" s="1166">
        <f>'S2.2.1 Pyro_lit'!Z71</f>
        <v>0.4516</v>
      </c>
      <c r="G33" s="1166">
        <f>'S2.2.1 Pyro_lit'!AA71</f>
        <v>1.2E-2</v>
      </c>
      <c r="H33" s="1166">
        <f>'S2.2.1 Pyro_lit'!AB71</f>
        <v>4.2900000000000001E-2</v>
      </c>
      <c r="I33" s="1166">
        <f>'S2.2.1 Pyro_lit'!AC71</f>
        <v>8.2000000000000007E-3</v>
      </c>
      <c r="J33" s="1166">
        <f>'S2.2.1 Pyro_lit'!AD71</f>
        <v>3.6999999999999998E-2</v>
      </c>
      <c r="K33" s="1166">
        <f>'S2.2.1 Pyro_lit'!AE71</f>
        <v>4.0000000000000002E-4</v>
      </c>
      <c r="L33" s="1166">
        <f>'S2.2.1 Pyro_lit'!AF71</f>
        <v>4.0000000000000002E-4</v>
      </c>
      <c r="M33" s="1166">
        <f>'S2.2.1 Pyro_lit'!AG71</f>
        <v>1.67E-2</v>
      </c>
      <c r="N33" s="1166">
        <f>1-SUM(F33:M33)</f>
        <v>0.43079999999999996</v>
      </c>
      <c r="O33" s="1166">
        <f>'S2.2.1 Pyro_lit'!AI71</f>
        <v>0</v>
      </c>
      <c r="P33" s="1167">
        <f>SUM(F33:O33)</f>
        <v>1</v>
      </c>
      <c r="Q33" s="360" t="s">
        <v>1913</v>
      </c>
      <c r="R33" t="s">
        <v>3</v>
      </c>
    </row>
    <row r="34" spans="1:18" ht="17.649999999999999" customHeight="1" x14ac:dyDescent="0.25">
      <c r="F34" s="1548" t="s">
        <v>2060</v>
      </c>
      <c r="G34" s="1549"/>
      <c r="H34" s="1549"/>
      <c r="I34" s="1549"/>
      <c r="J34" s="1549"/>
      <c r="K34" s="1549"/>
      <c r="L34" s="1549"/>
      <c r="M34" s="1549"/>
      <c r="N34" s="1549"/>
      <c r="O34" s="1549"/>
      <c r="P34" s="47"/>
    </row>
    <row r="35" spans="1:18" x14ac:dyDescent="0.25">
      <c r="F35" s="1168">
        <v>25</v>
      </c>
      <c r="G35" s="1168">
        <v>94.3</v>
      </c>
      <c r="H35" s="1168">
        <v>10.8</v>
      </c>
      <c r="I35" s="1168">
        <v>6.3</v>
      </c>
      <c r="J35" s="1168"/>
      <c r="K35" s="1168"/>
      <c r="L35" s="1168"/>
      <c r="M35" s="1168">
        <v>10.4</v>
      </c>
      <c r="N35" s="1168"/>
      <c r="O35" s="1168">
        <v>-2.44</v>
      </c>
    </row>
    <row r="36" spans="1:18" x14ac:dyDescent="0.25">
      <c r="A36" t="s">
        <v>1459</v>
      </c>
    </row>
    <row r="37" spans="1:18" x14ac:dyDescent="0.25">
      <c r="A37" s="385" t="s">
        <v>1460</v>
      </c>
    </row>
    <row r="38" spans="1:18" x14ac:dyDescent="0.25">
      <c r="A38" t="s">
        <v>1461</v>
      </c>
    </row>
    <row r="39" spans="1:18" x14ac:dyDescent="0.25">
      <c r="A39" s="385" t="s">
        <v>1462</v>
      </c>
    </row>
  </sheetData>
  <mergeCells count="3">
    <mergeCell ref="F25:P30"/>
    <mergeCell ref="F34:O34"/>
    <mergeCell ref="F23:P23"/>
  </mergeCells>
  <hyperlinks>
    <hyperlink ref="A39" r:id="rId1" location="page=16" xr:uid="{D6242565-4C60-49A0-A7D1-93524D609241}"/>
    <hyperlink ref="A37" r:id="rId2" location="page=18" xr:uid="{1A0F59DC-1FDB-4905-A688-9A3A67A37996}"/>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536DE-A1B2-4EC9-BAA8-076B6C531796}">
  <sheetPr>
    <tabColor rgb="FF7A468A"/>
  </sheetPr>
  <dimension ref="A2:A3"/>
  <sheetViews>
    <sheetView workbookViewId="0"/>
  </sheetViews>
  <sheetFormatPr defaultRowHeight="15" x14ac:dyDescent="0.25"/>
  <sheetData>
    <row r="2" spans="1:1" ht="15.75" x14ac:dyDescent="0.25">
      <c r="A2" s="945" t="s">
        <v>2039</v>
      </c>
    </row>
    <row r="3" spans="1:1" ht="15.75" x14ac:dyDescent="0.25">
      <c r="A3" s="945" t="s">
        <v>2040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878F-A74B-4DBA-B2AB-606CEF545B86}">
  <sheetPr>
    <tabColor rgb="FFFF66FF"/>
    <pageSetUpPr fitToPage="1"/>
  </sheetPr>
  <dimension ref="A1:Q203"/>
  <sheetViews>
    <sheetView zoomScale="63" zoomScaleNormal="70" zoomScaleSheetLayoutView="70" workbookViewId="0">
      <selection activeCell="A205" sqref="A205"/>
    </sheetView>
  </sheetViews>
  <sheetFormatPr defaultRowHeight="15" x14ac:dyDescent="0.25"/>
  <cols>
    <col min="1" max="1" width="14" customWidth="1"/>
    <col min="2" max="15" width="9" customWidth="1"/>
    <col min="16" max="16" width="70.42578125" customWidth="1"/>
  </cols>
  <sheetData>
    <row r="1" spans="1:17" ht="51.4" customHeight="1" x14ac:dyDescent="0.25">
      <c r="A1" s="1610" t="s">
        <v>2158</v>
      </c>
      <c r="B1" s="1610"/>
      <c r="C1" s="1610"/>
      <c r="D1" s="1610"/>
      <c r="E1" s="1610"/>
      <c r="F1" s="1610"/>
      <c r="G1" s="1610"/>
      <c r="H1" s="1610"/>
      <c r="I1" s="1610"/>
      <c r="J1" s="1610"/>
      <c r="K1" s="1610"/>
      <c r="L1" s="1610"/>
      <c r="M1" s="1610"/>
      <c r="N1" s="1610"/>
      <c r="O1" s="1610"/>
      <c r="P1" s="1610"/>
    </row>
    <row r="2" spans="1:17" ht="7.9" customHeight="1" thickBot="1" x14ac:dyDescent="0.3">
      <c r="A2" s="1377"/>
      <c r="B2" s="1377"/>
      <c r="C2" s="1377"/>
      <c r="D2" s="1377"/>
      <c r="E2" s="1377"/>
      <c r="F2" s="1377"/>
      <c r="G2" s="1377"/>
      <c r="H2" s="1377"/>
      <c r="I2" s="1377"/>
      <c r="J2" s="1377"/>
      <c r="K2" s="1377"/>
      <c r="L2" s="1377"/>
      <c r="M2" s="1377"/>
      <c r="N2" s="1377"/>
      <c r="O2" s="1377"/>
      <c r="P2" s="1377"/>
    </row>
    <row r="3" spans="1:17" s="614" customFormat="1" ht="70.900000000000006" customHeight="1" thickBot="1" x14ac:dyDescent="0.3">
      <c r="A3" s="1617" t="s">
        <v>500</v>
      </c>
      <c r="B3" s="1617"/>
      <c r="C3" s="1617"/>
      <c r="D3" s="1617"/>
      <c r="E3" s="1617"/>
      <c r="F3" s="1617"/>
      <c r="G3" s="1617"/>
      <c r="H3" s="1617"/>
      <c r="I3" s="1617"/>
      <c r="J3" s="1617"/>
      <c r="K3" s="1617"/>
      <c r="L3" s="1617"/>
      <c r="M3" s="1617"/>
      <c r="N3" s="1617"/>
      <c r="O3" s="1617"/>
      <c r="P3" s="1617"/>
      <c r="Q3" s="184"/>
    </row>
    <row r="4" spans="1:17" s="614" customFormat="1" ht="35.85" customHeight="1" thickBot="1" x14ac:dyDescent="0.25">
      <c r="A4" s="960" t="s">
        <v>1586</v>
      </c>
      <c r="B4" s="961"/>
      <c r="C4" s="962"/>
      <c r="D4" s="962"/>
      <c r="E4" s="962"/>
      <c r="F4" s="962"/>
      <c r="G4" s="962"/>
      <c r="H4" s="962"/>
      <c r="I4" s="962"/>
      <c r="J4" s="962"/>
      <c r="K4" s="962"/>
      <c r="L4" s="962"/>
      <c r="M4" s="962"/>
      <c r="N4" s="962"/>
      <c r="O4" s="962"/>
      <c r="P4" s="961"/>
      <c r="Q4" s="184"/>
    </row>
    <row r="5" spans="1:17" s="614" customFormat="1" ht="35.85" customHeight="1" thickBot="1" x14ac:dyDescent="0.25">
      <c r="A5" s="963" t="s">
        <v>1587</v>
      </c>
      <c r="B5" s="1587" t="s">
        <v>1588</v>
      </c>
      <c r="C5" s="1587"/>
      <c r="D5" s="1587"/>
      <c r="E5" s="1587"/>
      <c r="F5" s="963"/>
      <c r="G5" s="963"/>
      <c r="H5" s="963"/>
      <c r="I5" s="963"/>
      <c r="J5" s="963"/>
      <c r="K5" s="963"/>
      <c r="L5" s="963"/>
      <c r="M5" s="963"/>
      <c r="N5" s="963"/>
      <c r="O5" s="963"/>
      <c r="P5" s="963" t="s">
        <v>1589</v>
      </c>
      <c r="Q5" s="184"/>
    </row>
    <row r="6" spans="1:17" s="614" customFormat="1" ht="25.35" customHeight="1" thickBot="1" x14ac:dyDescent="0.25">
      <c r="A6" s="1021" t="s">
        <v>1590</v>
      </c>
      <c r="B6" s="964" t="s">
        <v>1591</v>
      </c>
      <c r="C6" s="964" t="s">
        <v>1592</v>
      </c>
      <c r="D6" s="964" t="s">
        <v>1593</v>
      </c>
      <c r="E6" s="964"/>
      <c r="F6" s="964"/>
      <c r="G6" s="964"/>
      <c r="H6" s="964"/>
      <c r="I6" s="964"/>
      <c r="J6" s="964"/>
      <c r="K6" s="964"/>
      <c r="L6" s="964"/>
      <c r="M6" s="964"/>
      <c r="N6" s="964"/>
      <c r="O6" s="964"/>
      <c r="P6" s="965" t="s">
        <v>1640</v>
      </c>
      <c r="Q6" s="184"/>
    </row>
    <row r="7" spans="1:17" s="614" customFormat="1" ht="29.25" thickBot="1" x14ac:dyDescent="0.25">
      <c r="A7" s="1013" t="s">
        <v>1594</v>
      </c>
      <c r="B7" s="1014" t="s">
        <v>1078</v>
      </c>
      <c r="C7" s="1014" t="s">
        <v>20</v>
      </c>
      <c r="D7" s="1014" t="s">
        <v>21</v>
      </c>
      <c r="E7" s="1014" t="s">
        <v>22</v>
      </c>
      <c r="F7" s="1014"/>
      <c r="G7" s="1014"/>
      <c r="H7" s="1014"/>
      <c r="I7" s="1014"/>
      <c r="J7" s="1014"/>
      <c r="K7" s="1014"/>
      <c r="L7" s="1014"/>
      <c r="M7" s="1014"/>
      <c r="N7" s="1014"/>
      <c r="O7" s="1014"/>
      <c r="P7" s="1208" t="s">
        <v>1641</v>
      </c>
      <c r="Q7" s="184"/>
    </row>
    <row r="8" spans="1:17" s="614" customFormat="1" ht="27.4" customHeight="1" x14ac:dyDescent="0.2">
      <c r="A8" s="1556" t="s">
        <v>1595</v>
      </c>
      <c r="B8" s="1203" t="s">
        <v>1147</v>
      </c>
      <c r="C8" s="1041">
        <v>0.73</v>
      </c>
      <c r="D8" s="1041">
        <v>0.82</v>
      </c>
      <c r="E8" s="1041">
        <v>0.91</v>
      </c>
      <c r="F8" s="1031"/>
      <c r="G8" s="971"/>
      <c r="H8" s="971"/>
      <c r="I8" s="971"/>
      <c r="J8" s="971"/>
      <c r="K8" s="971"/>
      <c r="L8" s="971"/>
      <c r="M8" s="971"/>
      <c r="N8" s="971"/>
      <c r="O8" s="971"/>
      <c r="P8" s="1611" t="s">
        <v>2061</v>
      </c>
      <c r="Q8" s="184"/>
    </row>
    <row r="9" spans="1:17" s="614" customFormat="1" ht="27.4" customHeight="1" thickBot="1" x14ac:dyDescent="0.25">
      <c r="A9" s="1566"/>
      <c r="B9" s="1209" t="s">
        <v>2111</v>
      </c>
      <c r="C9" s="1205">
        <f>'S2.1.3 Gas_imp'!H22</f>
        <v>0.5</v>
      </c>
      <c r="D9" s="1205">
        <f>'S2.1.3 Gas_imp'!G22</f>
        <v>0.7</v>
      </c>
      <c r="E9" s="1205">
        <f>'S2.1.3 Gas_imp'!F22</f>
        <v>0.9</v>
      </c>
      <c r="F9" s="1206"/>
      <c r="G9" s="1207"/>
      <c r="H9" s="1207"/>
      <c r="I9" s="1207"/>
      <c r="J9" s="1207"/>
      <c r="K9" s="1207"/>
      <c r="L9" s="1207"/>
      <c r="M9" s="1207"/>
      <c r="N9" s="1207"/>
      <c r="O9" s="1207"/>
      <c r="P9" s="1612"/>
      <c r="Q9" s="184"/>
    </row>
    <row r="10" spans="1:17" s="614" customFormat="1" ht="62.25" customHeight="1" x14ac:dyDescent="0.2">
      <c r="A10" s="1555" t="s">
        <v>1596</v>
      </c>
      <c r="B10" s="1564" t="s">
        <v>2153</v>
      </c>
      <c r="C10" s="1564"/>
      <c r="D10" s="1564"/>
      <c r="E10" s="1564"/>
      <c r="F10" s="1204"/>
      <c r="G10" s="971"/>
      <c r="H10" s="971"/>
      <c r="I10" s="971"/>
      <c r="J10" s="971"/>
      <c r="K10" s="971"/>
      <c r="L10" s="971"/>
      <c r="M10" s="971"/>
      <c r="N10" s="971"/>
      <c r="O10" s="971"/>
      <c r="P10" s="1552" t="s">
        <v>2157</v>
      </c>
      <c r="Q10" s="184"/>
    </row>
    <row r="11" spans="1:17" s="614" customFormat="1" thickBot="1" x14ac:dyDescent="0.25">
      <c r="A11" s="1566"/>
      <c r="C11" s="1220" t="s">
        <v>2152</v>
      </c>
      <c r="D11" s="1220" t="s">
        <v>2112</v>
      </c>
      <c r="E11" s="971"/>
      <c r="F11" s="971"/>
      <c r="G11" s="971"/>
      <c r="H11" s="971"/>
      <c r="I11" s="971"/>
      <c r="J11" s="971"/>
      <c r="K11" s="971"/>
      <c r="L11" s="971"/>
      <c r="M11" s="971"/>
      <c r="N11" s="971"/>
      <c r="O11" s="971"/>
      <c r="P11" s="1565"/>
      <c r="Q11" s="184"/>
    </row>
    <row r="12" spans="1:17" s="617" customFormat="1" ht="70.5" customHeight="1" x14ac:dyDescent="0.25">
      <c r="A12" s="1555" t="s">
        <v>1597</v>
      </c>
      <c r="B12" s="966" t="s">
        <v>2113</v>
      </c>
      <c r="C12" s="965" t="s">
        <v>1645</v>
      </c>
      <c r="D12" s="965" t="s">
        <v>2159</v>
      </c>
      <c r="E12" s="965"/>
      <c r="F12" s="965"/>
      <c r="G12" s="965"/>
      <c r="H12" s="965"/>
      <c r="I12" s="965"/>
      <c r="J12" s="965"/>
      <c r="K12" s="965"/>
      <c r="L12" s="965"/>
      <c r="M12" s="965"/>
      <c r="N12" s="965"/>
      <c r="O12" s="965"/>
      <c r="P12" s="1550" t="s">
        <v>1793</v>
      </c>
      <c r="Q12" s="219"/>
    </row>
    <row r="13" spans="1:17" s="617" customFormat="1" ht="14.25" x14ac:dyDescent="0.25">
      <c r="A13" s="1556"/>
      <c r="B13" s="967" t="s">
        <v>1643</v>
      </c>
      <c r="C13" s="968" t="s">
        <v>1783</v>
      </c>
      <c r="D13" s="969" t="s">
        <v>18</v>
      </c>
      <c r="E13" s="968"/>
      <c r="F13" s="968"/>
      <c r="G13" s="968"/>
      <c r="H13" s="968"/>
      <c r="I13" s="968"/>
      <c r="J13" s="968"/>
      <c r="K13" s="968"/>
      <c r="L13" s="968"/>
      <c r="M13" s="968"/>
      <c r="N13" s="968"/>
      <c r="O13" s="968"/>
      <c r="P13" s="1551"/>
      <c r="Q13" s="219"/>
    </row>
    <row r="14" spans="1:17" s="617" customFormat="1" ht="29.25" thickBot="1" x14ac:dyDescent="0.3">
      <c r="A14" s="1556"/>
      <c r="B14" s="967" t="s">
        <v>1644</v>
      </c>
      <c r="C14" s="968" t="str">
        <f>C58</f>
        <v>0.03 kg / kg input</v>
      </c>
      <c r="D14" s="969" t="s">
        <v>18</v>
      </c>
      <c r="E14" s="968"/>
      <c r="F14" s="968"/>
      <c r="G14" s="968"/>
      <c r="H14" s="968"/>
      <c r="I14" s="968"/>
      <c r="J14" s="968"/>
      <c r="K14" s="968"/>
      <c r="L14" s="968"/>
      <c r="M14" s="968"/>
      <c r="N14" s="968"/>
      <c r="O14" s="968"/>
      <c r="P14" s="1551"/>
      <c r="Q14" s="219"/>
    </row>
    <row r="15" spans="1:17" s="614" customFormat="1" ht="128.25" x14ac:dyDescent="0.2">
      <c r="A15" s="1555" t="s">
        <v>1598</v>
      </c>
      <c r="B15" s="966" t="s">
        <v>2114</v>
      </c>
      <c r="C15" s="965" t="s">
        <v>2115</v>
      </c>
      <c r="D15" s="965" t="s">
        <v>2116</v>
      </c>
      <c r="E15" s="964"/>
      <c r="F15" s="964"/>
      <c r="G15" s="964"/>
      <c r="H15" s="964"/>
      <c r="I15" s="964"/>
      <c r="J15" s="964"/>
      <c r="K15" s="964"/>
      <c r="L15" s="964"/>
      <c r="M15" s="964"/>
      <c r="N15" s="964"/>
      <c r="O15" s="964"/>
      <c r="P15" s="1552" t="s">
        <v>1869</v>
      </c>
      <c r="Q15" s="184"/>
    </row>
    <row r="16" spans="1:17" s="614" customFormat="1" ht="86.25" thickBot="1" x14ac:dyDescent="0.25">
      <c r="A16" s="1556"/>
      <c r="B16" s="967" t="s">
        <v>1603</v>
      </c>
      <c r="C16" s="968" t="s">
        <v>2118</v>
      </c>
      <c r="D16" s="968" t="s">
        <v>2117</v>
      </c>
      <c r="E16" s="205"/>
      <c r="F16" s="971"/>
      <c r="G16" s="971"/>
      <c r="H16" s="971"/>
      <c r="I16" s="971"/>
      <c r="J16" s="971"/>
      <c r="K16" s="971"/>
      <c r="L16" s="971"/>
      <c r="M16" s="971"/>
      <c r="N16" s="971"/>
      <c r="O16" s="971"/>
      <c r="P16" s="1553"/>
      <c r="Q16" s="184"/>
    </row>
    <row r="17" spans="1:17" s="614" customFormat="1" ht="30.75" thickBot="1" x14ac:dyDescent="0.25">
      <c r="A17" s="1021" t="s">
        <v>1599</v>
      </c>
      <c r="B17" s="964" t="s">
        <v>1600</v>
      </c>
      <c r="C17" s="964"/>
      <c r="D17" s="964"/>
      <c r="E17" s="964"/>
      <c r="F17" s="964"/>
      <c r="G17" s="964"/>
      <c r="H17" s="964"/>
      <c r="I17" s="964"/>
      <c r="J17" s="964"/>
      <c r="K17" s="964"/>
      <c r="L17" s="964"/>
      <c r="M17" s="964"/>
      <c r="N17" s="964"/>
      <c r="O17" s="964"/>
      <c r="P17" s="965" t="s">
        <v>1646</v>
      </c>
      <c r="Q17" s="184"/>
    </row>
    <row r="18" spans="1:17" s="614" customFormat="1" ht="35.85" customHeight="1" thickBot="1" x14ac:dyDescent="0.25">
      <c r="A18" s="960" t="s">
        <v>1370</v>
      </c>
      <c r="B18" s="961"/>
      <c r="C18" s="962"/>
      <c r="D18" s="962"/>
      <c r="E18" s="962"/>
      <c r="F18" s="962"/>
      <c r="G18" s="962"/>
      <c r="H18" s="962"/>
      <c r="I18" s="962"/>
      <c r="J18" s="962"/>
      <c r="K18" s="962"/>
      <c r="L18" s="962"/>
      <c r="M18" s="962"/>
      <c r="N18" s="962"/>
      <c r="O18" s="962"/>
      <c r="P18" s="961"/>
      <c r="Q18" s="184"/>
    </row>
    <row r="19" spans="1:17" s="614" customFormat="1" ht="35.85" customHeight="1" thickBot="1" x14ac:dyDescent="0.25">
      <c r="A19" s="963" t="s">
        <v>1587</v>
      </c>
      <c r="B19" s="1587" t="s">
        <v>1588</v>
      </c>
      <c r="C19" s="1587"/>
      <c r="D19" s="1587"/>
      <c r="E19" s="1587"/>
      <c r="F19" s="963"/>
      <c r="G19" s="963"/>
      <c r="H19" s="963"/>
      <c r="I19" s="963"/>
      <c r="J19" s="963"/>
      <c r="K19" s="963"/>
      <c r="L19" s="963"/>
      <c r="M19" s="963"/>
      <c r="N19" s="963"/>
      <c r="O19" s="963"/>
      <c r="P19" s="963" t="s">
        <v>1589</v>
      </c>
      <c r="Q19" s="184"/>
    </row>
    <row r="20" spans="1:17" s="614" customFormat="1" ht="28.5" x14ac:dyDescent="0.2">
      <c r="A20" s="1603" t="s">
        <v>1601</v>
      </c>
      <c r="B20" s="972"/>
      <c r="C20" s="973" t="s">
        <v>421</v>
      </c>
      <c r="D20" s="974" t="s">
        <v>2119</v>
      </c>
      <c r="E20" s="975" t="s">
        <v>423</v>
      </c>
      <c r="F20" s="976"/>
      <c r="G20" s="976"/>
      <c r="H20" s="976"/>
      <c r="I20" s="976"/>
      <c r="J20" s="976"/>
      <c r="K20" s="976"/>
      <c r="L20" s="976"/>
      <c r="M20" s="976"/>
      <c r="N20" s="976"/>
      <c r="O20" s="976"/>
      <c r="P20" s="1605" t="s">
        <v>1652</v>
      </c>
      <c r="Q20" s="184"/>
    </row>
    <row r="21" spans="1:17" s="614" customFormat="1" ht="25.5" customHeight="1" x14ac:dyDescent="0.2">
      <c r="A21" s="1604"/>
      <c r="B21" s="978" t="s">
        <v>1602</v>
      </c>
      <c r="C21" s="979">
        <v>0.9</v>
      </c>
      <c r="D21" s="979">
        <v>0.85</v>
      </c>
      <c r="E21" s="979">
        <v>0.75</v>
      </c>
      <c r="F21" s="980"/>
      <c r="G21" s="980"/>
      <c r="H21" s="980"/>
      <c r="I21" s="980"/>
      <c r="J21" s="980"/>
      <c r="K21" s="980"/>
      <c r="L21" s="980"/>
      <c r="M21" s="980"/>
      <c r="N21" s="980"/>
      <c r="O21" s="980"/>
      <c r="P21" s="1606"/>
      <c r="Q21" s="184"/>
    </row>
    <row r="22" spans="1:17" s="614" customFormat="1" ht="25.5" customHeight="1" x14ac:dyDescent="0.2">
      <c r="A22" s="1604"/>
      <c r="B22" s="971" t="s">
        <v>1603</v>
      </c>
      <c r="C22" s="980">
        <v>0.05</v>
      </c>
      <c r="D22" s="980">
        <v>0.08</v>
      </c>
      <c r="E22" s="980">
        <v>0.13</v>
      </c>
      <c r="F22" s="980"/>
      <c r="G22" s="980"/>
      <c r="H22" s="980"/>
      <c r="I22" s="980"/>
      <c r="J22" s="980"/>
      <c r="K22" s="980"/>
      <c r="L22" s="980"/>
      <c r="M22" s="980"/>
      <c r="N22" s="980"/>
      <c r="O22" s="980"/>
      <c r="P22" s="1606"/>
      <c r="Q22" s="184"/>
    </row>
    <row r="23" spans="1:17" s="614" customFormat="1" ht="25.5" customHeight="1" thickBot="1" x14ac:dyDescent="0.25">
      <c r="A23" s="1604"/>
      <c r="B23" s="981" t="s">
        <v>1604</v>
      </c>
      <c r="C23" s="982">
        <v>0.05</v>
      </c>
      <c r="D23" s="982">
        <v>0.08</v>
      </c>
      <c r="E23" s="982">
        <v>0.13</v>
      </c>
      <c r="F23" s="982"/>
      <c r="G23" s="982"/>
      <c r="H23" s="982"/>
      <c r="I23" s="982"/>
      <c r="J23" s="982"/>
      <c r="K23" s="982"/>
      <c r="L23" s="982"/>
      <c r="M23" s="982"/>
      <c r="N23" s="982"/>
      <c r="O23" s="982"/>
      <c r="P23" s="1606"/>
      <c r="Q23" s="184"/>
    </row>
    <row r="24" spans="1:17" s="614" customFormat="1" ht="17.25" customHeight="1" x14ac:dyDescent="0.2">
      <c r="A24" s="1555" t="s">
        <v>1605</v>
      </c>
      <c r="B24" s="1568" t="s">
        <v>2121</v>
      </c>
      <c r="C24" s="1568" t="str">
        <f>'S2.1.4 Gas_cred'!C12</f>
        <v>alternative production impacts [kg CO2-eq / kg]</v>
      </c>
      <c r="D24" s="1568"/>
      <c r="E24" s="1568" t="str">
        <f>'S2.1.4 Gas_cred'!E12</f>
        <v>molar mass</v>
      </c>
      <c r="F24" s="1599" t="str">
        <f>'S2.1.4 Gas_cred'!F12</f>
        <v xml:space="preserve">product composition
</v>
      </c>
      <c r="G24" s="1599"/>
      <c r="H24" s="1599"/>
      <c r="I24" s="1599"/>
      <c r="J24" s="1599"/>
      <c r="K24" s="1599"/>
      <c r="L24" s="1599"/>
      <c r="M24" s="1599"/>
      <c r="N24" s="1599"/>
      <c r="O24" s="1599"/>
      <c r="P24" s="1434" t="s">
        <v>1655</v>
      </c>
      <c r="Q24" s="184"/>
    </row>
    <row r="25" spans="1:17" s="614" customFormat="1" ht="31.5" customHeight="1" x14ac:dyDescent="0.2">
      <c r="A25" s="1556"/>
      <c r="B25" s="1569">
        <v>0</v>
      </c>
      <c r="C25" s="1569"/>
      <c r="D25" s="1569"/>
      <c r="E25" s="1569">
        <f>'S2.1.4 Gas_cred'!E13</f>
        <v>0</v>
      </c>
      <c r="F25" s="1597" t="str">
        <f>'S2.1.4 Gas_cred'!F13</f>
        <v>material utilization - max high impact products</v>
      </c>
      <c r="G25" s="1597">
        <f>'S2.1.4 Gas_cred'!G13</f>
        <v>0</v>
      </c>
      <c r="H25" s="1585" t="str">
        <f>'S2.1.4 Gas_cred'!H13</f>
        <v>material utilization - intermediate composition</v>
      </c>
      <c r="I25" s="1585">
        <f>'S2.1.4 Gas_cred'!I13</f>
        <v>0</v>
      </c>
      <c r="J25" s="1598" t="str">
        <f>'S2.1.4 Gas_cred'!J13</f>
        <v>material utilization - low impact products</v>
      </c>
      <c r="K25" s="1598">
        <f>'S2.1.4 Gas_cred'!K13</f>
        <v>0</v>
      </c>
      <c r="L25" s="1375" t="str">
        <f>'S2.1.4 Gas_cred'!L13</f>
        <v>utilization as syngas</v>
      </c>
      <c r="M25" s="1375">
        <f>'S2.1.4 Gas_cred'!M13</f>
        <v>0</v>
      </c>
      <c r="N25" s="1596" t="str">
        <f>L85</f>
        <v>energetic utilization</v>
      </c>
      <c r="O25" s="1596"/>
      <c r="P25" s="1562"/>
      <c r="Q25" s="184"/>
    </row>
    <row r="26" spans="1:17" s="614" customFormat="1" ht="28.5" x14ac:dyDescent="0.2">
      <c r="A26" s="1556"/>
      <c r="B26" s="1590">
        <v>0</v>
      </c>
      <c r="C26" s="1169" t="s">
        <v>2059</v>
      </c>
      <c r="D26" s="1169" t="s">
        <v>2122</v>
      </c>
      <c r="E26" s="1590">
        <f>'S2.1.4 Gas_cred'!E14</f>
        <v>0</v>
      </c>
      <c r="F26" s="983" t="str">
        <f>'S2.1.4 Gas_cred'!F14</f>
        <v>molar share</v>
      </c>
      <c r="G26" s="983" t="str">
        <f>'S2.1.4 Gas_cred'!G14</f>
        <v>mass share</v>
      </c>
      <c r="H26" s="983" t="str">
        <f>'S2.1.4 Gas_cred'!H14</f>
        <v>molar share</v>
      </c>
      <c r="I26" s="983" t="str">
        <f>'S2.1.4 Gas_cred'!I14</f>
        <v>mass share</v>
      </c>
      <c r="J26" s="983" t="str">
        <f>'S2.1.4 Gas_cred'!J14</f>
        <v>molar share</v>
      </c>
      <c r="K26" s="983" t="str">
        <f>'S2.1.4 Gas_cred'!K14</f>
        <v>mass share</v>
      </c>
      <c r="L26" s="1572"/>
      <c r="M26" s="1572"/>
      <c r="N26" s="984"/>
      <c r="O26" s="984"/>
      <c r="P26" s="1562"/>
      <c r="Q26" s="184"/>
    </row>
    <row r="27" spans="1:17" s="614" customFormat="1" ht="14.25" x14ac:dyDescent="0.2">
      <c r="A27" s="1556"/>
      <c r="B27" s="985" t="str">
        <f>'S2.1.4 Gas_cred'!B15</f>
        <v>H2</v>
      </c>
      <c r="C27" s="986">
        <f>'S2.1.4 Gas_cred'!C15</f>
        <v>1.4469965540146297</v>
      </c>
      <c r="D27" s="986">
        <f>'S2.1.4 Gas_cred'!D15</f>
        <v>0.28434459511469157</v>
      </c>
      <c r="E27" s="987">
        <f>'S2.1.4 Gas_cred'!E15</f>
        <v>2</v>
      </c>
      <c r="F27" s="988">
        <f>'S2.1.4 Gas_cred'!F15</f>
        <v>0.5</v>
      </c>
      <c r="G27" s="989">
        <f>'S2.1.4 Gas_cred'!G15</f>
        <v>6.6666666666666666E-2</v>
      </c>
      <c r="H27" s="988">
        <f>'S2.1.4 Gas_cred'!H15</f>
        <v>0.6</v>
      </c>
      <c r="I27" s="989">
        <f>'S2.1.4 Gas_cred'!I15</f>
        <v>9.7879282218597041E-2</v>
      </c>
      <c r="J27" s="988">
        <f>'S2.1.4 Gas_cred'!J15</f>
        <v>0.3</v>
      </c>
      <c r="K27" s="989">
        <f>'S2.1.4 Gas_cred'!K15</f>
        <v>3.0769230769230767E-2</v>
      </c>
      <c r="L27" s="1570"/>
      <c r="M27" s="1570"/>
      <c r="N27" s="1607" t="s">
        <v>1608</v>
      </c>
      <c r="O27" s="1607"/>
      <c r="P27" s="1562"/>
      <c r="Q27" s="184"/>
    </row>
    <row r="28" spans="1:17" s="614" customFormat="1" ht="14.25" x14ac:dyDescent="0.2">
      <c r="A28" s="1556"/>
      <c r="B28" s="987" t="str">
        <f>'S2.1.4 Gas_cred'!B16</f>
        <v>CO</v>
      </c>
      <c r="C28" s="990">
        <f>'S2.1.4 Gas_cred'!C16</f>
        <v>0.76150761775984877</v>
      </c>
      <c r="D28" s="990">
        <f>'S2.1.4 Gas_cred'!D16</f>
        <v>4.3535162588145056E-2</v>
      </c>
      <c r="E28" s="987">
        <f>'S2.1.4 Gas_cred'!E16</f>
        <v>28</v>
      </c>
      <c r="F28" s="991">
        <f>'S2.1.4 Gas_cred'!F16</f>
        <v>0.5</v>
      </c>
      <c r="G28" s="992">
        <f>'S2.1.4 Gas_cred'!G16</f>
        <v>0.93333333333333335</v>
      </c>
      <c r="H28" s="991">
        <f>'S2.1.4 Gas_cred'!H16</f>
        <v>0.3</v>
      </c>
      <c r="I28" s="992">
        <f>'S2.1.4 Gas_cred'!I16</f>
        <v>0.68515497553017934</v>
      </c>
      <c r="J28" s="991">
        <f>'S2.1.4 Gas_cred'!J16</f>
        <v>0.2</v>
      </c>
      <c r="K28" s="992">
        <f>'S2.1.4 Gas_cred'!K16</f>
        <v>0.28717948717948721</v>
      </c>
      <c r="L28" s="1571"/>
      <c r="M28" s="1571"/>
      <c r="N28" s="1575"/>
      <c r="O28" s="1575"/>
      <c r="P28" s="1562"/>
      <c r="Q28" s="184"/>
    </row>
    <row r="29" spans="1:17" s="614" customFormat="1" ht="14.25" x14ac:dyDescent="0.2">
      <c r="A29" s="1556"/>
      <c r="B29" s="987" t="str">
        <f>'S2.1.4 Gas_cred'!B17</f>
        <v>methane</v>
      </c>
      <c r="C29" s="990">
        <f>'S2.1.4 Gas_cred'!C17</f>
        <v>0.38027994549733679</v>
      </c>
      <c r="D29" s="990">
        <f>'S2.1.4 Gas_cred'!D17</f>
        <v>0</v>
      </c>
      <c r="E29" s="987">
        <f>'S2.1.4 Gas_cred'!E17</f>
        <v>16</v>
      </c>
      <c r="F29" s="991">
        <f>'S2.1.4 Gas_cred'!F17</f>
        <v>0</v>
      </c>
      <c r="G29" s="992">
        <f>'S2.1.4 Gas_cred'!G17</f>
        <v>0</v>
      </c>
      <c r="H29" s="991">
        <f>'S2.1.4 Gas_cred'!H17</f>
        <v>0.01</v>
      </c>
      <c r="I29" s="992">
        <f>'S2.1.4 Gas_cred'!I17</f>
        <v>1.3050570962479607E-2</v>
      </c>
      <c r="J29" s="991">
        <f>'S2.1.4 Gas_cred'!J17</f>
        <v>0.1</v>
      </c>
      <c r="K29" s="992">
        <f>'S2.1.4 Gas_cred'!K17</f>
        <v>8.2051282051282051E-2</v>
      </c>
      <c r="L29" s="1571"/>
      <c r="M29" s="1571"/>
      <c r="N29" s="1575"/>
      <c r="O29" s="1575"/>
      <c r="P29" s="1562"/>
      <c r="Q29" s="184"/>
    </row>
    <row r="30" spans="1:17" s="614" customFormat="1" ht="42.75" x14ac:dyDescent="0.2">
      <c r="A30" s="1556"/>
      <c r="B30" s="1073" t="str">
        <f>'S2.1.4 Gas_cred'!B18</f>
        <v>small hydrocarbons</v>
      </c>
      <c r="C30" s="990">
        <f>'S2.1.4 Gas_cred'!C18</f>
        <v>0.38027994549733679</v>
      </c>
      <c r="D30" s="990">
        <f>'S2.1.4 Gas_cred'!D18</f>
        <v>0.38027994549733679</v>
      </c>
      <c r="E30" s="987">
        <f>'S2.1.4 Gas_cred'!E18</f>
        <v>30</v>
      </c>
      <c r="F30" s="991">
        <f>'S2.1.4 Gas_cred'!F18</f>
        <v>0</v>
      </c>
      <c r="G30" s="992">
        <f>'S2.1.4 Gas_cred'!G18</f>
        <v>0</v>
      </c>
      <c r="H30" s="991">
        <f>'S2.1.4 Gas_cred'!H18</f>
        <v>0.03</v>
      </c>
      <c r="I30" s="992">
        <f>'S2.1.4 Gas_cred'!I18</f>
        <v>7.3409461663947781E-2</v>
      </c>
      <c r="J30" s="991">
        <f>'S2.1.4 Gas_cred'!J18</f>
        <v>0.05</v>
      </c>
      <c r="K30" s="992">
        <f>'S2.1.4 Gas_cred'!K18</f>
        <v>7.6923076923076927E-2</v>
      </c>
      <c r="L30" s="1571"/>
      <c r="M30" s="1571"/>
      <c r="N30" s="1575"/>
      <c r="O30" s="1575"/>
      <c r="P30" s="1562"/>
      <c r="Q30" s="184"/>
    </row>
    <row r="31" spans="1:17" s="614" customFormat="1" ht="14.25" x14ac:dyDescent="0.2">
      <c r="A31" s="1556"/>
      <c r="B31" s="987" t="str">
        <f>'S2.1.4 Gas_cred'!B19</f>
        <v>H2O</v>
      </c>
      <c r="C31" s="990">
        <f>'S2.1.4 Gas_cred'!C19</f>
        <v>0</v>
      </c>
      <c r="D31" s="990">
        <f>'S2.1.4 Gas_cred'!D19</f>
        <v>0</v>
      </c>
      <c r="E31" s="987">
        <f>'S2.1.4 Gas_cred'!E19</f>
        <v>18</v>
      </c>
      <c r="F31" s="991">
        <f>'S2.1.4 Gas_cred'!F19</f>
        <v>0</v>
      </c>
      <c r="G31" s="992">
        <f>'S2.1.4 Gas_cred'!G19</f>
        <v>0</v>
      </c>
      <c r="H31" s="991">
        <f>'S2.1.4 Gas_cred'!H19</f>
        <v>0.04</v>
      </c>
      <c r="I31" s="992">
        <f>'S2.1.4 Gas_cred'!I19</f>
        <v>5.8727569331158226E-2</v>
      </c>
      <c r="J31" s="991">
        <f>'S2.1.4 Gas_cred'!J19</f>
        <v>0.2</v>
      </c>
      <c r="K31" s="992">
        <f>'S2.1.4 Gas_cred'!K19</f>
        <v>0.18461538461538463</v>
      </c>
      <c r="L31" s="1571"/>
      <c r="M31" s="1571"/>
      <c r="N31" s="1575"/>
      <c r="O31" s="1575"/>
      <c r="P31" s="1562"/>
      <c r="Q31" s="184"/>
    </row>
    <row r="32" spans="1:17" s="614" customFormat="1" ht="14.25" x14ac:dyDescent="0.2">
      <c r="A32" s="1556"/>
      <c r="B32" s="987" t="str">
        <f>'S2.1.4 Gas_cred'!B20</f>
        <v>CO2</v>
      </c>
      <c r="C32" s="990">
        <f>'S2.1.4 Gas_cred'!C20</f>
        <v>-1</v>
      </c>
      <c r="D32" s="987">
        <f>'S2.1.4 Gas_cred'!D20</f>
        <v>-1</v>
      </c>
      <c r="E32" s="987">
        <f>'S2.1.4 Gas_cred'!E20</f>
        <v>44</v>
      </c>
      <c r="F32" s="991">
        <f>'S2.1.4 Gas_cred'!F20</f>
        <v>0</v>
      </c>
      <c r="G32" s="992">
        <f>'S2.1.4 Gas_cred'!G20</f>
        <v>0</v>
      </c>
      <c r="H32" s="991">
        <f>'S2.1.4 Gas_cred'!H20</f>
        <v>0.02</v>
      </c>
      <c r="I32" s="992">
        <f>'S2.1.4 Gas_cred'!I20</f>
        <v>7.177814029363784E-2</v>
      </c>
      <c r="J32" s="991">
        <f>'S2.1.4 Gas_cred'!J20</f>
        <v>0.15</v>
      </c>
      <c r="K32" s="992">
        <f>'S2.1.4 Gas_cred'!K20</f>
        <v>0.33846153846153842</v>
      </c>
      <c r="L32" s="1571"/>
      <c r="M32" s="1571"/>
      <c r="N32" s="1575"/>
      <c r="O32" s="1575"/>
      <c r="P32" s="1562"/>
      <c r="Q32" s="184"/>
    </row>
    <row r="33" spans="1:17" s="614" customFormat="1" ht="14.25" x14ac:dyDescent="0.2">
      <c r="A33" s="1556"/>
      <c r="B33" s="994" t="str">
        <f>'S2.1.4 Gas_cred'!B21</f>
        <v>total</v>
      </c>
      <c r="C33" s="1608" t="str">
        <f>'S2.1.4 Gas_cred'!C21</f>
        <v xml:space="preserve"> </v>
      </c>
      <c r="D33" s="1608">
        <f>'S2.1.4 Gas_cred'!D21</f>
        <v>0</v>
      </c>
      <c r="E33" s="994"/>
      <c r="F33" s="995">
        <f>'S2.1.4 Gas_cred'!F21</f>
        <v>1</v>
      </c>
      <c r="G33" s="995">
        <f>'S2.1.4 Gas_cred'!G21</f>
        <v>1</v>
      </c>
      <c r="H33" s="995">
        <f>'S2.1.4 Gas_cred'!H21</f>
        <v>1</v>
      </c>
      <c r="I33" s="995">
        <f>'S2.1.4 Gas_cred'!I21</f>
        <v>0.99999999999999978</v>
      </c>
      <c r="J33" s="995">
        <f>'S2.1.4 Gas_cred'!J21</f>
        <v>0.70000000000000007</v>
      </c>
      <c r="K33" s="995">
        <f>'S2.1.4 Gas_cred'!K21</f>
        <v>1</v>
      </c>
      <c r="L33" s="1572"/>
      <c r="M33" s="1572"/>
      <c r="N33" s="1576"/>
      <c r="O33" s="1576"/>
      <c r="P33" s="1562"/>
      <c r="Q33" s="184"/>
    </row>
    <row r="34" spans="1:17" s="614" customFormat="1" ht="132.75" customHeight="1" x14ac:dyDescent="0.2">
      <c r="A34" s="1556"/>
      <c r="B34" s="997" t="s">
        <v>2120</v>
      </c>
      <c r="C34" s="1586" t="str">
        <f>'S2.1.4 Gas_cred'!C22</f>
        <v xml:space="preserve"> </v>
      </c>
      <c r="D34" s="1586">
        <f>'S2.1.4 Gas_cred'!D22</f>
        <v>0</v>
      </c>
      <c r="E34" s="1615"/>
      <c r="F34" s="1593">
        <f>'S2.1.4 Gas_cred'!F22</f>
        <v>0.80720688017683417</v>
      </c>
      <c r="G34" s="1593">
        <f>'S2.1.4 Gas_cred'!G22</f>
        <v>0</v>
      </c>
      <c r="H34" s="1593">
        <f>'S2.1.4 Gas_cred'!H22</f>
        <v>0.62448259349326773</v>
      </c>
      <c r="I34" s="1593">
        <f>'S2.1.4 Gas_cred'!I22</f>
        <v>0</v>
      </c>
      <c r="J34" s="1593">
        <f>'S2.1.4 Gas_cred'!J22</f>
        <v>0.49344248158095916</v>
      </c>
      <c r="K34" s="1593">
        <f>'S2.1.4 Gas_cred'!K22</f>
        <v>0</v>
      </c>
      <c r="L34" s="1593">
        <f>'S2.1.4 Gas_cred'!L22</f>
        <v>0.17014505590542731</v>
      </c>
      <c r="M34" s="1593">
        <f>'S2.1.4 Gas_cred'!M22</f>
        <v>0</v>
      </c>
      <c r="N34" s="1593">
        <f>L100</f>
        <v>0.31791369379412843</v>
      </c>
      <c r="O34" s="1593">
        <f>'S2.1.4 Gas_cred'!O22</f>
        <v>0</v>
      </c>
      <c r="P34" s="1562"/>
      <c r="Q34" s="184"/>
    </row>
    <row r="35" spans="1:17" s="614" customFormat="1" ht="149.25" customHeight="1" thickBot="1" x14ac:dyDescent="0.25">
      <c r="A35" s="1557"/>
      <c r="B35" s="998" t="s">
        <v>2132</v>
      </c>
      <c r="C35" s="1614">
        <f>'S2.1.4 Gas_cred'!C23</f>
        <v>0</v>
      </c>
      <c r="D35" s="1614">
        <f>'S2.1.4 Gas_cred'!D23</f>
        <v>0</v>
      </c>
      <c r="E35" s="1614"/>
      <c r="F35" s="1609">
        <f>'S2.1.4 Gas_cred'!F23</f>
        <v>5.9589124756581492E-2</v>
      </c>
      <c r="G35" s="1609">
        <f>'S2.1.4 Gas_cred'!G23</f>
        <v>0</v>
      </c>
      <c r="H35" s="1609">
        <f>'S2.1.4 Gas_cred'!H23</f>
        <v>1.3797783917263565E-2</v>
      </c>
      <c r="I35" s="1609">
        <f>'S2.1.4 Gas_cred'!I23</f>
        <v>0</v>
      </c>
      <c r="J35" s="1609">
        <f>'S2.1.4 Gas_cred'!J23</f>
        <v>-3.6975591673096678E-2</v>
      </c>
      <c r="K35" s="1609">
        <f>'S2.1.4 Gas_cred'!K23</f>
        <v>0</v>
      </c>
      <c r="L35" s="1609">
        <f>'S2.1.4 Gas_cred'!L23</f>
        <v>0.13673826807600575</v>
      </c>
      <c r="M35" s="1609">
        <f>'S2.1.4 Gas_cred'!M23</f>
        <v>0</v>
      </c>
      <c r="N35" s="1609">
        <f>L101</f>
        <v>-2.1205110104735234</v>
      </c>
      <c r="O35" s="1609">
        <f>'S2.1.4 Gas_cred'!O23</f>
        <v>0</v>
      </c>
      <c r="P35" s="1563"/>
      <c r="Q35" s="184"/>
    </row>
    <row r="36" spans="1:17" s="614" customFormat="1" ht="52.9" customHeight="1" x14ac:dyDescent="0.2">
      <c r="A36" s="1555" t="s">
        <v>1606</v>
      </c>
      <c r="B36" s="1568" t="s">
        <v>2121</v>
      </c>
      <c r="C36" s="1568" t="str">
        <f>'S2.1.4 Gas_cred'!C26</f>
        <v>alternative production impacts [kg CO2-eq / kg]</v>
      </c>
      <c r="D36" s="1568">
        <f>'S2.1.4 Gas_cred'!D26</f>
        <v>0</v>
      </c>
      <c r="E36" s="1591" t="str">
        <f>'S2.1.4 Gas_cred'!E26</f>
        <v xml:space="preserve">product composition
</v>
      </c>
      <c r="F36" s="1591"/>
      <c r="G36" s="1591"/>
      <c r="H36" s="1591"/>
      <c r="I36" s="999"/>
      <c r="J36" s="999"/>
      <c r="K36" s="999"/>
      <c r="L36" s="999"/>
      <c r="M36" s="999"/>
      <c r="N36" s="999"/>
      <c r="O36" s="999"/>
      <c r="P36" s="1434" t="s">
        <v>1910</v>
      </c>
      <c r="Q36" s="184"/>
    </row>
    <row r="37" spans="1:17" s="614" customFormat="1" ht="62.25" customHeight="1" x14ac:dyDescent="0.2">
      <c r="A37" s="1556"/>
      <c r="B37" s="1590">
        <v>0</v>
      </c>
      <c r="C37" s="1000" t="s">
        <v>2059</v>
      </c>
      <c r="D37" s="1000" t="s">
        <v>2122</v>
      </c>
      <c r="E37" s="1001" t="str">
        <f>'S2.1.4 Gas_cred'!E27</f>
        <v>material utilization - max high impact products</v>
      </c>
      <c r="F37" s="1002" t="str">
        <f>'S2.1.4 Gas_cred'!F27</f>
        <v>material utilization - intermediate composition</v>
      </c>
      <c r="G37" s="1003" t="str">
        <f>'S2.1.4 Gas_cred'!G27</f>
        <v>utilization as naphtha</v>
      </c>
      <c r="H37" s="1004" t="str">
        <f>'S2.1.4 Gas_cred'!H27</f>
        <v>energetic utilization</v>
      </c>
      <c r="I37" s="987"/>
      <c r="J37" s="987"/>
      <c r="K37" s="987"/>
      <c r="L37" s="987"/>
      <c r="M37" s="987"/>
      <c r="N37" s="987"/>
      <c r="O37" s="987"/>
      <c r="P37" s="1562"/>
      <c r="Q37" s="184"/>
    </row>
    <row r="38" spans="1:17" s="614" customFormat="1" ht="14.25" x14ac:dyDescent="0.2">
      <c r="A38" s="1556"/>
      <c r="B38" s="985" t="str">
        <f>'S2.1.4 Gas_cred'!B28</f>
        <v>styrene</v>
      </c>
      <c r="C38" s="1005">
        <f>'S2.1.4 Gas_cred'!C28</f>
        <v>1.5734926978743702</v>
      </c>
      <c r="D38" s="1005">
        <f>'S2.1.4 Gas_cred'!D28</f>
        <v>0.41324121720321449</v>
      </c>
      <c r="E38" s="991">
        <f>'S2.1.4 Gas_cred'!E28</f>
        <v>7.7100000000000002E-2</v>
      </c>
      <c r="F38" s="991">
        <f>'S2.1.4 Gas_cred'!F28</f>
        <v>5.938992451086119E-2</v>
      </c>
      <c r="G38" s="991"/>
      <c r="H38" s="991"/>
      <c r="I38" s="987"/>
      <c r="J38" s="987"/>
      <c r="K38" s="987"/>
      <c r="L38" s="987"/>
      <c r="M38" s="987"/>
      <c r="N38" s="987"/>
      <c r="O38" s="987"/>
      <c r="P38" s="1562"/>
      <c r="Q38" s="184"/>
    </row>
    <row r="39" spans="1:17" s="614" customFormat="1" ht="13.9" customHeight="1" x14ac:dyDescent="0.2">
      <c r="A39" s="1556"/>
      <c r="B39" s="987" t="str">
        <f>'S2.1.4 Gas_cred'!B29</f>
        <v>phenol</v>
      </c>
      <c r="C39" s="1006">
        <f>'S2.1.4 Gas_cred'!C29</f>
        <v>1.1776123351790404</v>
      </c>
      <c r="D39" s="1006">
        <f>'S2.1.4 Gas_cred'!D29</f>
        <v>0.35025638327585207</v>
      </c>
      <c r="E39" s="991">
        <f>'S2.1.4 Gas_cred'!E29</f>
        <v>1.01E-2</v>
      </c>
      <c r="F39" s="991">
        <f>'S2.1.4 Gas_cred'!F29</f>
        <v>7.7800030811893389E-3</v>
      </c>
      <c r="G39" s="991"/>
      <c r="H39" s="991"/>
      <c r="I39" s="987"/>
      <c r="J39" s="987"/>
      <c r="K39" s="987"/>
      <c r="L39" s="987"/>
      <c r="M39" s="987"/>
      <c r="N39" s="987"/>
      <c r="O39" s="987"/>
      <c r="P39" s="1562"/>
      <c r="Q39" s="184"/>
    </row>
    <row r="40" spans="1:17" s="614" customFormat="1" ht="13.5" customHeight="1" x14ac:dyDescent="0.2">
      <c r="A40" s="1556"/>
      <c r="B40" s="987" t="str">
        <f>'S2.1.4 Gas_cred'!B30</f>
        <v>toluene</v>
      </c>
      <c r="C40" s="1006">
        <f>'S2.1.4 Gas_cred'!C30</f>
        <v>0.79169993847190745</v>
      </c>
      <c r="D40" s="1006">
        <f>'S2.1.4 Gas_cred'!D30</f>
        <v>0.20606457985506324</v>
      </c>
      <c r="E40" s="991">
        <f>'S2.1.4 Gas_cred'!E30</f>
        <v>8.4099999999999994E-2</v>
      </c>
      <c r="F40" s="991">
        <f>'S2.1.4 Gas_cred'!F30</f>
        <v>6.4782005854259736E-2</v>
      </c>
      <c r="G40" s="991"/>
      <c r="H40" s="991"/>
      <c r="I40" s="987"/>
      <c r="J40" s="987"/>
      <c r="K40" s="987"/>
      <c r="L40" s="987"/>
      <c r="M40" s="987"/>
      <c r="N40" s="987"/>
      <c r="O40" s="987"/>
      <c r="P40" s="1562"/>
      <c r="Q40" s="184"/>
    </row>
    <row r="41" spans="1:17" s="614" customFormat="1" ht="13.5" customHeight="1" x14ac:dyDescent="0.2">
      <c r="A41" s="1556"/>
      <c r="B41" s="987" t="str">
        <f>'S2.1.4 Gas_cred'!B31</f>
        <v>indene</v>
      </c>
      <c r="C41" s="1006">
        <f>'S2.1.4 Gas_cred'!C31</f>
        <v>0.75599511942237074</v>
      </c>
      <c r="D41" s="1006">
        <f>'S2.1.4 Gas_cred'!D31</f>
        <v>0.16376894991032626</v>
      </c>
      <c r="E41" s="991">
        <f>'S2.1.4 Gas_cred'!E31</f>
        <v>1.6500000000000001E-2</v>
      </c>
      <c r="F41" s="991">
        <f>'S2.1.4 Gas_cred'!F31</f>
        <v>1.2709906023725159E-2</v>
      </c>
      <c r="G41" s="991"/>
      <c r="H41" s="991"/>
      <c r="I41" s="987"/>
      <c r="J41" s="987"/>
      <c r="K41" s="987"/>
      <c r="L41" s="987"/>
      <c r="M41" s="987"/>
      <c r="N41" s="987"/>
      <c r="O41" s="987"/>
      <c r="P41" s="1562"/>
      <c r="Q41" s="184"/>
    </row>
    <row r="42" spans="1:17" s="614" customFormat="1" ht="13.5" customHeight="1" x14ac:dyDescent="0.2">
      <c r="A42" s="1556"/>
      <c r="B42" s="987" t="str">
        <f>'S2.1.4 Gas_cred'!B32</f>
        <v>naphthalene</v>
      </c>
      <c r="C42" s="1006">
        <f>'S2.1.4 Gas_cred'!C32</f>
        <v>0.75599511942237074</v>
      </c>
      <c r="D42" s="1006">
        <f>'S2.1.4 Gas_cred'!D32</f>
        <v>0.16376894991032626</v>
      </c>
      <c r="E42" s="991">
        <f>'S2.1.4 Gas_cred'!E32</f>
        <v>7.1499999999999994E-2</v>
      </c>
      <c r="F42" s="991">
        <f>'S2.1.4 Gas_cred'!F32</f>
        <v>5.5076259436142347E-2</v>
      </c>
      <c r="G42" s="991"/>
      <c r="H42" s="991"/>
      <c r="I42" s="987"/>
      <c r="J42" s="987"/>
      <c r="K42" s="987"/>
      <c r="L42" s="987"/>
      <c r="M42" s="987"/>
      <c r="N42" s="987"/>
      <c r="O42" s="987"/>
      <c r="P42" s="1562"/>
      <c r="Q42" s="184"/>
    </row>
    <row r="43" spans="1:17" s="614" customFormat="1" ht="13.5" customHeight="1" x14ac:dyDescent="0.2">
      <c r="A43" s="1556"/>
      <c r="B43" s="987" t="str">
        <f>'S2.1.4 Gas_cred'!B33</f>
        <v>benzene</v>
      </c>
      <c r="C43" s="1006">
        <f>'S2.1.4 Gas_cred'!C33</f>
        <v>0.7527935727072611</v>
      </c>
      <c r="D43" s="1006">
        <f>'S2.1.4 Gas_cred'!D33</f>
        <v>0.18503106884812026</v>
      </c>
      <c r="E43" s="991">
        <f>'S2.1.4 Gas_cred'!E33</f>
        <v>0.38979999999999998</v>
      </c>
      <c r="F43" s="991">
        <f>'S2.1.4 Gas_cred'!F33</f>
        <v>0.30026190109382217</v>
      </c>
      <c r="G43" s="991"/>
      <c r="H43" s="991"/>
      <c r="I43" s="987"/>
      <c r="J43" s="987"/>
      <c r="K43" s="987"/>
      <c r="L43" s="987"/>
      <c r="M43" s="987"/>
      <c r="N43" s="987"/>
      <c r="O43" s="987"/>
      <c r="P43" s="1562"/>
      <c r="Q43" s="184"/>
    </row>
    <row r="44" spans="1:17" s="614" customFormat="1" ht="13.5" customHeight="1" x14ac:dyDescent="0.2">
      <c r="A44" s="1556"/>
      <c r="B44" s="987" t="str">
        <f>'S2.1.4 Gas_cred'!B34</f>
        <v>naphtha</v>
      </c>
      <c r="C44" s="1006">
        <f>'S2.1.4 Gas_cred'!C34</f>
        <v>0.46142804650279923</v>
      </c>
      <c r="D44" s="1006">
        <f>'S2.1.4 Gas_cred'!D34</f>
        <v>1.7857888152199349E-2</v>
      </c>
      <c r="E44" s="991">
        <f>'S2.1.4 Gas_cred'!E34</f>
        <v>0.3509000000000001</v>
      </c>
      <c r="F44" s="991">
        <f>'S2.1.4 Gas_cred'!F34</f>
        <v>0.5</v>
      </c>
      <c r="G44" s="991"/>
      <c r="H44" s="991"/>
      <c r="I44" s="987"/>
      <c r="J44" s="987"/>
      <c r="K44" s="987"/>
      <c r="L44" s="987"/>
      <c r="M44" s="987"/>
      <c r="N44" s="987"/>
      <c r="O44" s="987"/>
      <c r="P44" s="1562"/>
      <c r="Q44" s="184"/>
    </row>
    <row r="45" spans="1:17" s="614" customFormat="1" ht="13.5" customHeight="1" x14ac:dyDescent="0.2">
      <c r="A45" s="1556"/>
      <c r="B45" s="994" t="str">
        <f>'S2.1.4 Gas_cred'!B35</f>
        <v>total</v>
      </c>
      <c r="C45" s="1007">
        <f>'S2.1.4 Gas_cred'!C35</f>
        <v>0</v>
      </c>
      <c r="D45" s="1007">
        <f>'S2.1.4 Gas_cred'!D35</f>
        <v>0</v>
      </c>
      <c r="E45" s="995">
        <f>'S2.1.4 Gas_cred'!E35</f>
        <v>1</v>
      </c>
      <c r="F45" s="995">
        <f>'S2.1.4 Gas_cred'!F35</f>
        <v>1</v>
      </c>
      <c r="G45" s="995"/>
      <c r="H45" s="995"/>
      <c r="I45" s="987"/>
      <c r="J45" s="987"/>
      <c r="K45" s="987"/>
      <c r="L45" s="987"/>
      <c r="M45" s="987"/>
      <c r="N45" s="987"/>
      <c r="O45" s="987"/>
      <c r="P45" s="1562"/>
      <c r="Q45" s="184"/>
    </row>
    <row r="46" spans="1:17" s="614" customFormat="1" ht="132.75" customHeight="1" x14ac:dyDescent="0.2">
      <c r="A46" s="1556"/>
      <c r="B46" s="997" t="s">
        <v>2123</v>
      </c>
      <c r="C46" s="1586" t="str">
        <f>'S2.1.4 Gas_cred'!C36</f>
        <v xml:space="preserve"> </v>
      </c>
      <c r="D46" s="1586">
        <f>'S2.1.4 Gas_cred'!D36</f>
        <v>0</v>
      </c>
      <c r="E46" s="1008">
        <f>'S2.1.4 Gas_cred'!E36</f>
        <v>0.72167374308520083</v>
      </c>
      <c r="F46" s="1009">
        <f>'S2.1.4 Gas_cred'!F36</f>
        <v>0.66189461296590324</v>
      </c>
      <c r="G46" s="1009">
        <f>'S2.1.4 Gas_cred'!G36</f>
        <v>0.46142804650279923</v>
      </c>
      <c r="H46" s="1009">
        <f>'S2.1.4 Gas_cred'!H36</f>
        <v>0.46142804650279923</v>
      </c>
      <c r="I46" s="987"/>
      <c r="J46" s="987"/>
      <c r="K46" s="987"/>
      <c r="L46" s="987"/>
      <c r="M46" s="987"/>
      <c r="N46" s="987"/>
      <c r="O46" s="987"/>
      <c r="P46" s="1562"/>
      <c r="Q46" s="184"/>
    </row>
    <row r="47" spans="1:17" s="614" customFormat="1" ht="147.94999999999999" customHeight="1" thickBot="1" x14ac:dyDescent="0.25">
      <c r="A47" s="1556"/>
      <c r="B47" s="997" t="s">
        <v>2129</v>
      </c>
      <c r="C47" s="1586">
        <f>'S2.1.4 Gas_cred'!C37</f>
        <v>0</v>
      </c>
      <c r="D47" s="1586">
        <f>'S2.1.4 Gas_cred'!D37</f>
        <v>0</v>
      </c>
      <c r="E47" s="1008">
        <f>'S2.1.4 Gas_cred'!E37</f>
        <v>0.14553162966497751</v>
      </c>
      <c r="F47" s="1008">
        <f>'S2.1.4 Gas_cred'!F37</f>
        <v>0.11620463095976225</v>
      </c>
      <c r="G47" s="1008">
        <f>'S2.1.4 Gas_cred'!G37</f>
        <v>1.7857888152199349E-2</v>
      </c>
      <c r="H47" s="1008">
        <f>'S2.1.4 Gas_cred'!H37</f>
        <v>-2.4761830453137383</v>
      </c>
      <c r="I47" s="987"/>
      <c r="J47" s="987"/>
      <c r="K47" s="987"/>
      <c r="L47" s="987"/>
      <c r="M47" s="987"/>
      <c r="N47" s="987"/>
      <c r="O47" s="987"/>
      <c r="P47" s="1562"/>
      <c r="Q47" s="184"/>
    </row>
    <row r="48" spans="1:17" s="614" customFormat="1" ht="27.4" customHeight="1" thickBot="1" x14ac:dyDescent="0.25">
      <c r="A48" s="1010" t="s">
        <v>1607</v>
      </c>
      <c r="B48" s="1616" t="s">
        <v>1608</v>
      </c>
      <c r="C48" s="1616"/>
      <c r="D48" s="1616"/>
      <c r="E48" s="1616"/>
      <c r="F48" s="1616"/>
      <c r="G48" s="1616"/>
      <c r="H48" s="1616"/>
      <c r="I48" s="1616"/>
      <c r="J48" s="1616"/>
      <c r="K48" s="1616"/>
      <c r="L48" s="1616"/>
      <c r="M48" s="1616"/>
      <c r="N48" s="1616"/>
      <c r="O48" s="1616"/>
      <c r="P48" s="1012" t="s">
        <v>1651</v>
      </c>
      <c r="Q48" s="184"/>
    </row>
    <row r="49" spans="1:17" s="812" customFormat="1" ht="46.15" customHeight="1" thickBot="1" x14ac:dyDescent="0.25">
      <c r="A49" s="1013" t="s">
        <v>1609</v>
      </c>
      <c r="B49" s="1567" t="s">
        <v>2124</v>
      </c>
      <c r="C49" s="1567"/>
      <c r="D49" s="1014"/>
      <c r="E49" s="1014"/>
      <c r="F49" s="1014"/>
      <c r="G49" s="1014"/>
      <c r="H49" s="1014"/>
      <c r="I49" s="1014"/>
      <c r="J49" s="1014"/>
      <c r="K49" s="1014"/>
      <c r="L49" s="1014"/>
      <c r="M49" s="1014"/>
      <c r="N49" s="1014"/>
      <c r="O49" s="1014"/>
      <c r="P49" s="1014" t="s">
        <v>1649</v>
      </c>
      <c r="Q49" s="218"/>
    </row>
    <row r="50" spans="1:17" s="614" customFormat="1" ht="71.650000000000006" customHeight="1" thickBot="1" x14ac:dyDescent="0.3">
      <c r="A50" s="1554" t="s">
        <v>121</v>
      </c>
      <c r="B50" s="1554"/>
      <c r="C50" s="1554"/>
      <c r="D50" s="1554"/>
      <c r="E50" s="1554"/>
      <c r="F50" s="1554"/>
      <c r="G50" s="1554"/>
      <c r="H50" s="1554"/>
      <c r="I50" s="1554"/>
      <c r="J50" s="1554"/>
      <c r="K50" s="1554"/>
      <c r="L50" s="1554"/>
      <c r="M50" s="1554"/>
      <c r="N50" s="1554"/>
      <c r="O50" s="1554"/>
      <c r="P50" s="1554"/>
      <c r="Q50" s="184"/>
    </row>
    <row r="51" spans="1:17" s="614" customFormat="1" ht="39.4" customHeight="1" thickBot="1" x14ac:dyDescent="0.25">
      <c r="A51" s="960" t="s">
        <v>1586</v>
      </c>
      <c r="B51" s="961"/>
      <c r="C51" s="962"/>
      <c r="D51" s="962"/>
      <c r="E51" s="962"/>
      <c r="F51" s="962"/>
      <c r="G51" s="962"/>
      <c r="H51" s="962"/>
      <c r="I51" s="962"/>
      <c r="J51" s="962"/>
      <c r="K51" s="962"/>
      <c r="L51" s="962"/>
      <c r="M51" s="962"/>
      <c r="N51" s="962"/>
      <c r="O51" s="962"/>
      <c r="P51" s="961"/>
      <c r="Q51" s="184"/>
    </row>
    <row r="52" spans="1:17" s="360" customFormat="1" ht="39.4" customHeight="1" thickBot="1" x14ac:dyDescent="0.25">
      <c r="A52" s="963" t="s">
        <v>1587</v>
      </c>
      <c r="B52" s="1587" t="s">
        <v>1588</v>
      </c>
      <c r="C52" s="1587"/>
      <c r="D52" s="1587"/>
      <c r="E52" s="1587"/>
      <c r="F52" s="963"/>
      <c r="G52" s="963"/>
      <c r="H52" s="963"/>
      <c r="I52" s="963"/>
      <c r="J52" s="963"/>
      <c r="K52" s="963"/>
      <c r="L52" s="963"/>
      <c r="M52" s="963"/>
      <c r="N52" s="963"/>
      <c r="O52" s="963"/>
      <c r="P52" s="963" t="s">
        <v>1589</v>
      </c>
      <c r="Q52" s="184"/>
    </row>
    <row r="53" spans="1:17" s="360" customFormat="1" ht="14.25" x14ac:dyDescent="0.2">
      <c r="A53" s="1555" t="s">
        <v>1610</v>
      </c>
      <c r="B53" s="1051"/>
      <c r="C53" s="1072" t="s">
        <v>423</v>
      </c>
      <c r="D53" s="1072" t="s">
        <v>422</v>
      </c>
      <c r="E53" s="1072" t="s">
        <v>421</v>
      </c>
      <c r="F53" s="999"/>
      <c r="G53" s="999"/>
      <c r="H53" s="999"/>
      <c r="I53" s="999"/>
      <c r="J53" s="999"/>
      <c r="K53" s="999"/>
      <c r="L53" s="999"/>
      <c r="M53" s="999"/>
      <c r="N53" s="999"/>
      <c r="O53" s="999"/>
      <c r="P53" s="1550" t="s">
        <v>1776</v>
      </c>
      <c r="Q53" s="184"/>
    </row>
    <row r="54" spans="1:17" s="360" customFormat="1" ht="42.75" customHeight="1" x14ac:dyDescent="0.2">
      <c r="A54" s="1556"/>
      <c r="B54" s="1081" t="s">
        <v>1777</v>
      </c>
      <c r="C54" s="1006">
        <f>'S2.2.2 Pyro_imp'!C48</f>
        <v>0.41666666666666663</v>
      </c>
      <c r="D54" s="1006">
        <f>'S2.2.2 Pyro_imp'!D48</f>
        <v>1.4554810476759401</v>
      </c>
      <c r="E54" s="1006">
        <f>'S2.2.2 Pyro_imp'!E48</f>
        <v>3.4013333333333327</v>
      </c>
      <c r="F54" s="987"/>
      <c r="G54" s="987"/>
      <c r="H54" s="987"/>
      <c r="I54" s="987"/>
      <c r="J54" s="987"/>
      <c r="K54" s="987"/>
      <c r="L54" s="987"/>
      <c r="M54" s="987"/>
      <c r="N54" s="987"/>
      <c r="O54" s="987"/>
      <c r="P54" s="1551"/>
      <c r="Q54" s="184"/>
    </row>
    <row r="55" spans="1:17" s="360" customFormat="1" ht="57.75" thickBot="1" x14ac:dyDescent="0.25">
      <c r="A55" s="1557"/>
      <c r="B55" s="1082" t="s">
        <v>2125</v>
      </c>
      <c r="C55" s="1067">
        <f>'S2.2.2 Pyro_imp'!C49</f>
        <v>2.4E-2</v>
      </c>
      <c r="D55" s="1067">
        <f>'S2.2.2 Pyro_imp'!D49</f>
        <v>0.18470998463901692</v>
      </c>
      <c r="E55" s="1067">
        <f>'S2.2.2 Pyro_imp'!E49</f>
        <v>0.60199999999999998</v>
      </c>
      <c r="F55" s="1054"/>
      <c r="G55" s="1054"/>
      <c r="H55" s="1054"/>
      <c r="I55" s="1054"/>
      <c r="J55" s="1054"/>
      <c r="K55" s="1054"/>
      <c r="L55" s="1054"/>
      <c r="M55" s="1054"/>
      <c r="N55" s="1054"/>
      <c r="O55" s="1054"/>
      <c r="P55" s="1561"/>
      <c r="Q55" s="184"/>
    </row>
    <row r="56" spans="1:17" s="360" customFormat="1" ht="100.5" thickBot="1" x14ac:dyDescent="0.25">
      <c r="A56" s="1083" t="s">
        <v>1598</v>
      </c>
      <c r="B56" s="1061" t="s">
        <v>2126</v>
      </c>
      <c r="C56" s="1061" t="s">
        <v>2127</v>
      </c>
      <c r="D56" s="1051"/>
      <c r="E56" s="1051"/>
      <c r="F56" s="1051"/>
      <c r="G56" s="1051"/>
      <c r="H56" s="1051"/>
      <c r="I56" s="1051"/>
      <c r="J56" s="1051"/>
      <c r="K56" s="1051"/>
      <c r="L56" s="1051"/>
      <c r="M56" s="1051"/>
      <c r="N56" s="1051"/>
      <c r="O56" s="1051"/>
      <c r="P56" s="977" t="s">
        <v>1782</v>
      </c>
      <c r="Q56" s="184"/>
    </row>
    <row r="57" spans="1:17" s="614" customFormat="1" ht="14.25" x14ac:dyDescent="0.2">
      <c r="A57" s="1555" t="s">
        <v>1597</v>
      </c>
      <c r="B57" s="1047" t="s">
        <v>1643</v>
      </c>
      <c r="C57" s="965" t="s">
        <v>1783</v>
      </c>
      <c r="D57" s="1015"/>
      <c r="E57" s="964"/>
      <c r="F57" s="964"/>
      <c r="G57" s="964"/>
      <c r="H57" s="964"/>
      <c r="I57" s="964"/>
      <c r="J57" s="964"/>
      <c r="K57" s="964"/>
      <c r="L57" s="964"/>
      <c r="M57" s="964"/>
      <c r="N57" s="964"/>
      <c r="O57" s="964"/>
      <c r="P57" s="1558" t="s">
        <v>1785</v>
      </c>
      <c r="Q57" s="184"/>
    </row>
    <row r="58" spans="1:17" s="813" customFormat="1" ht="29.25" thickBot="1" x14ac:dyDescent="0.25">
      <c r="A58" s="1557"/>
      <c r="B58" s="1016" t="s">
        <v>1644</v>
      </c>
      <c r="C58" s="1019" t="s">
        <v>1784</v>
      </c>
      <c r="D58" s="1017"/>
      <c r="E58" s="1018"/>
      <c r="F58" s="1018"/>
      <c r="G58" s="1018"/>
      <c r="H58" s="1018"/>
      <c r="I58" s="1018"/>
      <c r="J58" s="1018"/>
      <c r="K58" s="1018"/>
      <c r="L58" s="1018"/>
      <c r="M58" s="1018"/>
      <c r="N58" s="1018"/>
      <c r="O58" s="1018"/>
      <c r="P58" s="1560"/>
      <c r="Q58" s="1020"/>
    </row>
    <row r="59" spans="1:17" s="614" customFormat="1" ht="39.4" customHeight="1" thickBot="1" x14ac:dyDescent="0.25">
      <c r="A59" s="960" t="s">
        <v>1370</v>
      </c>
      <c r="B59" s="961"/>
      <c r="C59" s="962"/>
      <c r="D59" s="962"/>
      <c r="E59" s="962"/>
      <c r="F59" s="962"/>
      <c r="G59" s="962"/>
      <c r="H59" s="962"/>
      <c r="I59" s="962"/>
      <c r="J59" s="962"/>
      <c r="K59" s="962"/>
      <c r="L59" s="962"/>
      <c r="M59" s="962"/>
      <c r="N59" s="962"/>
      <c r="O59" s="962"/>
      <c r="P59" s="961"/>
      <c r="Q59" s="184"/>
    </row>
    <row r="60" spans="1:17" s="360" customFormat="1" ht="39.4" customHeight="1" thickBot="1" x14ac:dyDescent="0.25">
      <c r="A60" s="963" t="s">
        <v>1587</v>
      </c>
      <c r="B60" s="1587" t="s">
        <v>1588</v>
      </c>
      <c r="C60" s="1587"/>
      <c r="D60" s="1587"/>
      <c r="E60" s="1587"/>
      <c r="F60" s="963"/>
      <c r="G60" s="963"/>
      <c r="H60" s="963"/>
      <c r="I60" s="963"/>
      <c r="J60" s="963"/>
      <c r="K60" s="963"/>
      <c r="L60" s="963"/>
      <c r="M60" s="963"/>
      <c r="N60" s="963"/>
      <c r="O60" s="963"/>
      <c r="P60" s="963" t="s">
        <v>1589</v>
      </c>
      <c r="Q60" s="184"/>
    </row>
    <row r="61" spans="1:17" s="360" customFormat="1" ht="24.4" customHeight="1" x14ac:dyDescent="0.2">
      <c r="A61" s="1600" t="s">
        <v>1601</v>
      </c>
      <c r="B61" s="1022"/>
      <c r="C61" s="1210" t="str">
        <f>'S2.2.3 Pyro_cred'!C5</f>
        <v>high</v>
      </c>
      <c r="D61" s="1211" t="s">
        <v>2119</v>
      </c>
      <c r="E61" s="1212" t="str">
        <f>'S2.2.3 Pyro_cred'!E5</f>
        <v>low</v>
      </c>
      <c r="F61" s="976"/>
      <c r="G61" s="976"/>
      <c r="H61" s="976"/>
      <c r="I61" s="976"/>
      <c r="J61" s="976"/>
      <c r="K61" s="976"/>
      <c r="L61" s="976"/>
      <c r="M61" s="976"/>
      <c r="N61" s="976"/>
      <c r="O61" s="976"/>
      <c r="P61" s="1366" t="s">
        <v>1653</v>
      </c>
      <c r="Q61" s="184"/>
    </row>
    <row r="62" spans="1:17" s="360" customFormat="1" ht="24.4" customHeight="1" x14ac:dyDescent="0.2">
      <c r="A62" s="1601"/>
      <c r="B62" s="971" t="s">
        <v>1603</v>
      </c>
      <c r="C62" s="980">
        <f>'S2.2.3 Pyro_cred'!C6</f>
        <v>0.77</v>
      </c>
      <c r="D62" s="980">
        <f>'S2.2.3 Pyro_cred'!D6</f>
        <v>0.59</v>
      </c>
      <c r="E62" s="980">
        <f>'S2.2.3 Pyro_cred'!E6</f>
        <v>0.36499999999999999</v>
      </c>
      <c r="F62" s="980"/>
      <c r="G62" s="980"/>
      <c r="H62" s="980"/>
      <c r="I62" s="980"/>
      <c r="J62" s="980"/>
      <c r="K62" s="980"/>
      <c r="L62" s="980"/>
      <c r="M62" s="980"/>
      <c r="N62" s="980"/>
      <c r="O62" s="980"/>
      <c r="P62" s="1380"/>
      <c r="Q62" s="184"/>
    </row>
    <row r="63" spans="1:17" s="360" customFormat="1" ht="24.4" customHeight="1" x14ac:dyDescent="0.2">
      <c r="A63" s="1601"/>
      <c r="B63" s="971" t="s">
        <v>1602</v>
      </c>
      <c r="C63" s="980">
        <f>'S2.2.3 Pyro_cred'!C7</f>
        <v>0.11499999999999999</v>
      </c>
      <c r="D63" s="980">
        <f>'S2.2.3 Pyro_cred'!D7</f>
        <v>0.20500000000000002</v>
      </c>
      <c r="E63" s="980">
        <f>'S2.2.3 Pyro_cred'!E7</f>
        <v>0.3175</v>
      </c>
      <c r="F63" s="980"/>
      <c r="G63" s="980"/>
      <c r="H63" s="980"/>
      <c r="I63" s="980"/>
      <c r="J63" s="980"/>
      <c r="K63" s="980"/>
      <c r="L63" s="980"/>
      <c r="M63" s="980"/>
      <c r="N63" s="980"/>
      <c r="O63" s="980"/>
      <c r="P63" s="1380"/>
      <c r="Q63" s="184"/>
    </row>
    <row r="64" spans="1:17" s="360" customFormat="1" ht="24.4" customHeight="1" thickBot="1" x14ac:dyDescent="0.25">
      <c r="A64" s="1602"/>
      <c r="B64" s="981" t="s">
        <v>1604</v>
      </c>
      <c r="C64" s="982">
        <f>'S2.2.3 Pyro_cred'!C8</f>
        <v>0.11499999999999999</v>
      </c>
      <c r="D64" s="982">
        <f>'S2.2.3 Pyro_cred'!D8</f>
        <v>0.20500000000000002</v>
      </c>
      <c r="E64" s="982">
        <f>'S2.2.3 Pyro_cred'!E8</f>
        <v>0.3175</v>
      </c>
      <c r="F64" s="982"/>
      <c r="G64" s="982"/>
      <c r="H64" s="982"/>
      <c r="I64" s="982"/>
      <c r="J64" s="982"/>
      <c r="K64" s="982"/>
      <c r="L64" s="982"/>
      <c r="M64" s="982"/>
      <c r="N64" s="982"/>
      <c r="O64" s="982"/>
      <c r="P64" s="1594"/>
      <c r="Q64" s="184"/>
    </row>
    <row r="65" spans="1:17" s="360" customFormat="1" ht="53.25" customHeight="1" x14ac:dyDescent="0.2">
      <c r="A65" s="1555" t="s">
        <v>1606</v>
      </c>
      <c r="B65" s="1568" t="s">
        <v>2121</v>
      </c>
      <c r="C65" s="1568" t="str">
        <f>'S2.2.3 Pyro_cred'!C12</f>
        <v>alternative production impacts [kg CO2-eq / kg]</v>
      </c>
      <c r="D65" s="1568">
        <f>'S2.2.3 Pyro_cred'!D12</f>
        <v>0</v>
      </c>
      <c r="E65" s="1599" t="str">
        <f>'S2.2.3 Pyro_cred'!E12</f>
        <v xml:space="preserve">product composition
</v>
      </c>
      <c r="F65" s="1599"/>
      <c r="G65" s="1599"/>
      <c r="H65" s="1599"/>
      <c r="I65" s="999"/>
      <c r="J65" s="999"/>
      <c r="K65" s="999"/>
      <c r="L65" s="999"/>
      <c r="M65" s="999"/>
      <c r="N65" s="999"/>
      <c r="O65" s="999"/>
      <c r="P65" s="1366" t="s">
        <v>1654</v>
      </c>
      <c r="Q65" s="184"/>
    </row>
    <row r="66" spans="1:17" s="360" customFormat="1" ht="82.5" customHeight="1" x14ac:dyDescent="0.2">
      <c r="A66" s="1556"/>
      <c r="B66" s="1590">
        <v>0</v>
      </c>
      <c r="C66" s="1000" t="s">
        <v>2059</v>
      </c>
      <c r="D66" s="1000" t="s">
        <v>2122</v>
      </c>
      <c r="E66" s="1001" t="s">
        <v>429</v>
      </c>
      <c r="F66" s="1002" t="s">
        <v>2128</v>
      </c>
      <c r="G66" s="1003" t="s">
        <v>1650</v>
      </c>
      <c r="H66" s="1004" t="s">
        <v>1576</v>
      </c>
      <c r="I66" s="987"/>
      <c r="J66" s="987"/>
      <c r="K66" s="987"/>
      <c r="L66" s="987"/>
      <c r="M66" s="987"/>
      <c r="N66" s="987"/>
      <c r="O66" s="987"/>
      <c r="P66" s="1380"/>
      <c r="Q66" s="184"/>
    </row>
    <row r="67" spans="1:17" s="360" customFormat="1" ht="13.9" customHeight="1" x14ac:dyDescent="0.2">
      <c r="A67" s="1556"/>
      <c r="B67" s="987" t="str">
        <f>'S2.2.3 Pyro_cred'!B14</f>
        <v>styrene</v>
      </c>
      <c r="C67" s="1006">
        <f>'S2.2.3 Pyro_cred'!C14</f>
        <v>1.5734926978743702</v>
      </c>
      <c r="D67" s="1006">
        <f>'S2.2.3 Pyro_cred'!D14</f>
        <v>0.41324121720321449</v>
      </c>
      <c r="E67" s="991">
        <f>'S2.2.3 Pyro_cred'!E14</f>
        <v>0.59199999999999997</v>
      </c>
      <c r="F67" s="991">
        <f>'S2.2.3 Pyro_cred'!F14</f>
        <v>7.1428571428571425E-2</v>
      </c>
      <c r="G67" s="1571"/>
      <c r="H67" s="1024"/>
      <c r="I67" s="987"/>
      <c r="J67" s="987"/>
      <c r="K67" s="987"/>
      <c r="L67" s="987"/>
      <c r="M67" s="987"/>
      <c r="N67" s="987"/>
      <c r="O67" s="987"/>
      <c r="P67" s="1380"/>
      <c r="Q67" s="184"/>
    </row>
    <row r="68" spans="1:17" s="360" customFormat="1" ht="13.9" customHeight="1" x14ac:dyDescent="0.2">
      <c r="A68" s="1556"/>
      <c r="B68" s="987" t="str">
        <f>'S2.2.3 Pyro_cred'!B15</f>
        <v>phenol</v>
      </c>
      <c r="C68" s="1006">
        <f>'S2.2.3 Pyro_cred'!C15</f>
        <v>1.1776123351790404</v>
      </c>
      <c r="D68" s="1006">
        <f>'S2.2.3 Pyro_cred'!D15</f>
        <v>0.35025638327585207</v>
      </c>
      <c r="E68" s="991">
        <f>'S2.2.3 Pyro_cred'!E15</f>
        <v>0.214</v>
      </c>
      <c r="F68" s="991">
        <f>'S2.2.3 Pyro_cred'!F15</f>
        <v>7.1428571428571425E-2</v>
      </c>
      <c r="G68" s="1571"/>
      <c r="H68" s="987"/>
      <c r="I68" s="987"/>
      <c r="J68" s="987"/>
      <c r="K68" s="987"/>
      <c r="L68" s="987"/>
      <c r="M68" s="987"/>
      <c r="N68" s="987"/>
      <c r="O68" s="987"/>
      <c r="P68" s="1380"/>
      <c r="Q68" s="184"/>
    </row>
    <row r="69" spans="1:17" s="360" customFormat="1" ht="40.9" customHeight="1" x14ac:dyDescent="0.2">
      <c r="A69" s="1556"/>
      <c r="B69" s="1073" t="s">
        <v>2130</v>
      </c>
      <c r="C69" s="1006">
        <f>'S2.2.3 Pyro_cred'!C16</f>
        <v>1.1776123351790404</v>
      </c>
      <c r="D69" s="1006">
        <f>'S2.2.3 Pyro_cred'!D16</f>
        <v>0.35025638327585207</v>
      </c>
      <c r="E69" s="991">
        <f>'S2.2.3 Pyro_cred'!E16</f>
        <v>0.115</v>
      </c>
      <c r="F69" s="991">
        <f>'S2.2.3 Pyro_cred'!F16</f>
        <v>7.1428571428571425E-2</v>
      </c>
      <c r="G69" s="1571"/>
      <c r="H69" s="987"/>
      <c r="I69" s="987"/>
      <c r="J69" s="987"/>
      <c r="K69" s="987"/>
      <c r="L69" s="987"/>
      <c r="M69" s="987"/>
      <c r="N69" s="987"/>
      <c r="O69" s="987"/>
      <c r="P69" s="1380"/>
      <c r="Q69" s="184"/>
    </row>
    <row r="70" spans="1:17" s="360" customFormat="1" ht="27.4" customHeight="1" x14ac:dyDescent="0.2">
      <c r="A70" s="1556"/>
      <c r="B70" s="1073" t="s">
        <v>2131</v>
      </c>
      <c r="C70" s="1006">
        <f>'S2.2.3 Pyro_cred'!C17</f>
        <v>1.0593672260278109</v>
      </c>
      <c r="D70" s="1006">
        <f>'S2.2.3 Pyro_cred'!D17</f>
        <v>0.20723447325870875</v>
      </c>
      <c r="E70" s="991">
        <f>'S2.2.3 Pyro_cred'!E17</f>
        <v>6.2000000000000055E-2</v>
      </c>
      <c r="F70" s="991">
        <f>'S2.2.3 Pyro_cred'!F17</f>
        <v>7.1428571428571425E-2</v>
      </c>
      <c r="G70" s="1571"/>
      <c r="H70" s="987"/>
      <c r="I70" s="987"/>
      <c r="J70" s="987"/>
      <c r="K70" s="987"/>
      <c r="L70" s="987"/>
      <c r="M70" s="987"/>
      <c r="N70" s="987"/>
      <c r="O70" s="987"/>
      <c r="P70" s="1380"/>
      <c r="Q70" s="184"/>
    </row>
    <row r="71" spans="1:17" s="360" customFormat="1" ht="13.9" customHeight="1" x14ac:dyDescent="0.2">
      <c r="A71" s="1556"/>
      <c r="B71" s="987" t="str">
        <f>'S2.2.3 Pyro_cred'!B18</f>
        <v>other C6</v>
      </c>
      <c r="C71" s="1006">
        <f>'S2.2.3 Pyro_cred'!C18</f>
        <v>0.99646402705255355</v>
      </c>
      <c r="D71" s="1006">
        <f>'S2.2.3 Pyro_cred'!D18</f>
        <v>0.88985292961289442</v>
      </c>
      <c r="E71" s="1023">
        <f>'S2.2.3 Pyro_cred'!E18</f>
        <v>1.7000000000000015E-2</v>
      </c>
      <c r="F71" s="991">
        <f>'S2.2.3 Pyro_cred'!F18</f>
        <v>7.1428571428571425E-2</v>
      </c>
      <c r="G71" s="1571"/>
      <c r="H71" s="987"/>
      <c r="I71" s="987"/>
      <c r="J71" s="987"/>
      <c r="K71" s="987"/>
      <c r="L71" s="987"/>
      <c r="M71" s="987"/>
      <c r="N71" s="987"/>
      <c r="O71" s="987"/>
      <c r="P71" s="1380"/>
      <c r="Q71" s="184"/>
    </row>
    <row r="72" spans="1:17" s="360" customFormat="1" ht="13.9" customHeight="1" x14ac:dyDescent="0.2">
      <c r="A72" s="1556"/>
      <c r="B72" s="987" t="str">
        <f>'S2.2.3 Pyro_cred'!B19</f>
        <v>cumene</v>
      </c>
      <c r="C72" s="1006">
        <f>'S2.2.3 Pyro_cred'!C19</f>
        <v>0.95557080208105938</v>
      </c>
      <c r="D72" s="1006">
        <f>'S2.2.3 Pyro_cred'!D19</f>
        <v>0.29493475704586525</v>
      </c>
      <c r="E72" s="991">
        <f>'S2.2.3 Pyro_cred'!E19</f>
        <v>0</v>
      </c>
      <c r="F72" s="991">
        <f>'S2.2.3 Pyro_cred'!F19</f>
        <v>7.1428571428571425E-2</v>
      </c>
      <c r="G72" s="1571"/>
      <c r="H72" s="987"/>
      <c r="I72" s="987"/>
      <c r="J72" s="987"/>
      <c r="K72" s="987"/>
      <c r="L72" s="987"/>
      <c r="M72" s="987"/>
      <c r="N72" s="987"/>
      <c r="O72" s="987"/>
      <c r="P72" s="1380"/>
      <c r="Q72" s="184"/>
    </row>
    <row r="73" spans="1:17" s="360" customFormat="1" ht="13.9" customHeight="1" x14ac:dyDescent="0.2">
      <c r="A73" s="1556"/>
      <c r="B73" s="987" t="str">
        <f>'S2.2.3 Pyro_cred'!B20</f>
        <v>C5</v>
      </c>
      <c r="C73" s="1006">
        <f>'S2.2.3 Pyro_cred'!C20</f>
        <v>0.80779675340728374</v>
      </c>
      <c r="D73" s="1006">
        <f>'S2.2.3 Pyro_cred'!D20</f>
        <v>0.80323233343024114</v>
      </c>
      <c r="E73" s="991">
        <f>'S2.2.3 Pyro_cred'!E20</f>
        <v>0</v>
      </c>
      <c r="F73" s="991">
        <f>'S2.2.3 Pyro_cred'!F20</f>
        <v>7.1428571428571425E-2</v>
      </c>
      <c r="G73" s="1571"/>
      <c r="H73" s="987"/>
      <c r="I73" s="987"/>
      <c r="J73" s="987"/>
      <c r="K73" s="987"/>
      <c r="L73" s="987"/>
      <c r="M73" s="987"/>
      <c r="N73" s="987"/>
      <c r="O73" s="987"/>
      <c r="P73" s="1380"/>
      <c r="Q73" s="184"/>
    </row>
    <row r="74" spans="1:17" s="360" customFormat="1" ht="13.9" customHeight="1" x14ac:dyDescent="0.2">
      <c r="A74" s="1556"/>
      <c r="B74" s="987" t="str">
        <f>'S2.2.3 Pyro_cred'!B21</f>
        <v>toluene</v>
      </c>
      <c r="C74" s="1006">
        <f>'S2.2.3 Pyro_cred'!C21</f>
        <v>0.79169993847190745</v>
      </c>
      <c r="D74" s="1006">
        <f>'S2.2.3 Pyro_cred'!D21</f>
        <v>0.20606457985506324</v>
      </c>
      <c r="E74" s="991">
        <f>'S2.2.3 Pyro_cred'!E21</f>
        <v>0</v>
      </c>
      <c r="F74" s="991">
        <f>'S2.2.3 Pyro_cred'!F21</f>
        <v>7.1428571428571425E-2</v>
      </c>
      <c r="G74" s="1571"/>
      <c r="H74" s="987"/>
      <c r="I74" s="987"/>
      <c r="J74" s="987"/>
      <c r="K74" s="987"/>
      <c r="L74" s="987"/>
      <c r="M74" s="987"/>
      <c r="N74" s="987"/>
      <c r="O74" s="987"/>
      <c r="P74" s="1380"/>
      <c r="Q74" s="184"/>
    </row>
    <row r="75" spans="1:17" s="360" customFormat="1" ht="13.9" customHeight="1" x14ac:dyDescent="0.2">
      <c r="A75" s="1556"/>
      <c r="B75" s="987" t="str">
        <f>'S2.2.3 Pyro_cred'!B22</f>
        <v>indene</v>
      </c>
      <c r="C75" s="1006">
        <f>'S2.2.3 Pyro_cred'!C22</f>
        <v>0.75599511942237074</v>
      </c>
      <c r="D75" s="1006">
        <f>'S2.2.3 Pyro_cred'!D22</f>
        <v>0.16376894991032626</v>
      </c>
      <c r="E75" s="991">
        <f>'S2.2.3 Pyro_cred'!E22</f>
        <v>0</v>
      </c>
      <c r="F75" s="991">
        <f>'S2.2.3 Pyro_cred'!F22</f>
        <v>7.1428571428571425E-2</v>
      </c>
      <c r="G75" s="1571"/>
      <c r="H75" s="987"/>
      <c r="I75" s="987"/>
      <c r="J75" s="987"/>
      <c r="K75" s="987"/>
      <c r="L75" s="987"/>
      <c r="M75" s="987"/>
      <c r="N75" s="987"/>
      <c r="O75" s="987"/>
      <c r="P75" s="1380"/>
      <c r="Q75" s="184"/>
    </row>
    <row r="76" spans="1:17" s="360" customFormat="1" ht="13.9" customHeight="1" x14ac:dyDescent="0.2">
      <c r="A76" s="1556"/>
      <c r="B76" s="987" t="str">
        <f>'S2.2.3 Pyro_cred'!B23</f>
        <v>naphthalene</v>
      </c>
      <c r="C76" s="1006">
        <f>'S2.2.3 Pyro_cred'!C23</f>
        <v>0.75599511942237074</v>
      </c>
      <c r="D76" s="1006">
        <f>'S2.2.3 Pyro_cred'!D23</f>
        <v>0.16376894991032626</v>
      </c>
      <c r="E76" s="991">
        <f>'S2.2.3 Pyro_cred'!E23</f>
        <v>0</v>
      </c>
      <c r="F76" s="991">
        <f>'S2.2.3 Pyro_cred'!F23</f>
        <v>7.1428571428571425E-2</v>
      </c>
      <c r="G76" s="1571"/>
      <c r="H76" s="987"/>
      <c r="I76" s="987"/>
      <c r="J76" s="987"/>
      <c r="K76" s="987"/>
      <c r="L76" s="987"/>
      <c r="M76" s="987"/>
      <c r="N76" s="987"/>
      <c r="O76" s="987"/>
      <c r="P76" s="1380"/>
      <c r="Q76" s="184"/>
    </row>
    <row r="77" spans="1:17" s="360" customFormat="1" ht="13.9" customHeight="1" x14ac:dyDescent="0.2">
      <c r="A77" s="1556"/>
      <c r="B77" s="987" t="str">
        <f>'S2.2.3 Pyro_cred'!B24</f>
        <v>benzene</v>
      </c>
      <c r="C77" s="1006">
        <f>'S2.2.3 Pyro_cred'!C24</f>
        <v>0.7527935727072611</v>
      </c>
      <c r="D77" s="1006">
        <f>'S2.2.3 Pyro_cred'!D24</f>
        <v>0.18503106884812026</v>
      </c>
      <c r="E77" s="991">
        <f>'S2.2.3 Pyro_cred'!E24</f>
        <v>0</v>
      </c>
      <c r="F77" s="991">
        <f>'S2.2.3 Pyro_cred'!F24</f>
        <v>7.1428571428571425E-2</v>
      </c>
      <c r="G77" s="1571"/>
      <c r="H77" s="987"/>
      <c r="I77" s="987"/>
      <c r="J77" s="987"/>
      <c r="K77" s="987"/>
      <c r="L77" s="987"/>
      <c r="M77" s="987"/>
      <c r="N77" s="987"/>
      <c r="O77" s="987"/>
      <c r="P77" s="1380"/>
      <c r="Q77" s="184"/>
    </row>
    <row r="78" spans="1:17" s="360" customFormat="1" ht="13.9" customHeight="1" x14ac:dyDescent="0.2">
      <c r="A78" s="1556"/>
      <c r="B78" s="987" t="str">
        <f>'S2.2.3 Pyro_cred'!B25</f>
        <v>paraffins</v>
      </c>
      <c r="C78" s="1006">
        <f>'S2.2.3 Pyro_cred'!C25</f>
        <v>0.6642221657140831</v>
      </c>
      <c r="D78" s="1006">
        <f>'S2.2.3 Pyro_cred'!D25</f>
        <v>0.61355776026291764</v>
      </c>
      <c r="E78" s="991">
        <f>'S2.2.3 Pyro_cred'!E25</f>
        <v>0</v>
      </c>
      <c r="F78" s="991">
        <f>'S2.2.3 Pyro_cred'!F25</f>
        <v>7.1428571428571425E-2</v>
      </c>
      <c r="G78" s="1571"/>
      <c r="H78" s="987"/>
      <c r="I78" s="987"/>
      <c r="J78" s="987"/>
      <c r="K78" s="987"/>
      <c r="L78" s="987"/>
      <c r="M78" s="987"/>
      <c r="N78" s="987"/>
      <c r="O78" s="987"/>
      <c r="P78" s="1380"/>
      <c r="Q78" s="184"/>
    </row>
    <row r="79" spans="1:17" s="360" customFormat="1" ht="13.9" customHeight="1" x14ac:dyDescent="0.2">
      <c r="A79" s="1556"/>
      <c r="B79" s="987" t="str">
        <f>'S2.2.3 Pyro_cred'!B26</f>
        <v>xylene</v>
      </c>
      <c r="C79" s="1006">
        <f>'S2.2.3 Pyro_cred'!C26</f>
        <v>0.55980827486231632</v>
      </c>
      <c r="D79" s="1006">
        <f>'S2.2.3 Pyro_cred'!D26</f>
        <v>8.1307024985583398E-2</v>
      </c>
      <c r="E79" s="991">
        <f>'S2.2.3 Pyro_cred'!E26</f>
        <v>0</v>
      </c>
      <c r="F79" s="991">
        <f>'S2.2.3 Pyro_cred'!F26</f>
        <v>7.1428571428571425E-2</v>
      </c>
      <c r="G79" s="1571"/>
      <c r="H79" s="987"/>
      <c r="I79" s="987"/>
      <c r="J79" s="987"/>
      <c r="K79" s="987"/>
      <c r="L79" s="987"/>
      <c r="M79" s="987"/>
      <c r="N79" s="987"/>
      <c r="O79" s="987"/>
      <c r="P79" s="1380"/>
      <c r="Q79" s="184"/>
    </row>
    <row r="80" spans="1:17" s="360" customFormat="1" ht="13.9" customHeight="1" x14ac:dyDescent="0.2">
      <c r="A80" s="1556"/>
      <c r="B80" s="987" t="str">
        <f>'S2.2.3 Pyro_cred'!B27</f>
        <v>naphtha</v>
      </c>
      <c r="C80" s="1006">
        <f>'S2.2.3 Pyro_cred'!C27</f>
        <v>0.46142804650279923</v>
      </c>
      <c r="D80" s="1006">
        <f>'S2.2.3 Pyro_cred'!D27</f>
        <v>1.7857888152199349E-2</v>
      </c>
      <c r="E80" s="991">
        <f>'S2.2.3 Pyro_cred'!E27</f>
        <v>0</v>
      </c>
      <c r="F80" s="991">
        <f>'S2.2.3 Pyro_cred'!F27</f>
        <v>7.1428571428571425E-2</v>
      </c>
      <c r="G80" s="1571"/>
      <c r="H80" s="987"/>
      <c r="I80" s="987"/>
      <c r="J80" s="987"/>
      <c r="K80" s="987"/>
      <c r="L80" s="987"/>
      <c r="M80" s="987"/>
      <c r="N80" s="987"/>
      <c r="O80" s="987"/>
      <c r="P80" s="1380"/>
      <c r="Q80" s="184"/>
    </row>
    <row r="81" spans="1:17" s="360" customFormat="1" ht="13.9" customHeight="1" x14ac:dyDescent="0.2">
      <c r="A81" s="1556"/>
      <c r="B81" s="994" t="str">
        <f>'S2.2.3 Pyro_cred'!B28</f>
        <v>total</v>
      </c>
      <c r="C81" s="1571"/>
      <c r="D81" s="1571"/>
      <c r="E81" s="1025">
        <f>'S2.2.3 Pyro_cred'!E28</f>
        <v>1</v>
      </c>
      <c r="F81" s="1025">
        <f>'S2.2.3 Pyro_cred'!F28</f>
        <v>0.99999999999999967</v>
      </c>
      <c r="G81" s="1571"/>
      <c r="H81" s="987"/>
      <c r="I81" s="987"/>
      <c r="J81" s="987"/>
      <c r="K81" s="987"/>
      <c r="L81" s="987"/>
      <c r="M81" s="987"/>
      <c r="N81" s="987"/>
      <c r="O81" s="987"/>
      <c r="P81" s="1380"/>
      <c r="Q81" s="184"/>
    </row>
    <row r="82" spans="1:17" s="360" customFormat="1" ht="133.5" customHeight="1" x14ac:dyDescent="0.2">
      <c r="A82" s="1556"/>
      <c r="B82" s="997" t="s">
        <v>2123</v>
      </c>
      <c r="C82" s="1595"/>
      <c r="D82" s="1595"/>
      <c r="E82" s="1009">
        <f>'S2.2.3 Pyro_cred'!E29</f>
        <v>1.4015627918891491</v>
      </c>
      <c r="F82" s="1009">
        <f>'S2.2.3 Pyro_cred'!F29</f>
        <v>0.89213274385030483</v>
      </c>
      <c r="G82" s="1009">
        <f>'S2.2.3 Pyro_cred'!G29</f>
        <v>0.46142804650279923</v>
      </c>
      <c r="H82" s="1009">
        <f>'S2.2.3 Pyro_cred'!H29</f>
        <v>0.46142804650279923</v>
      </c>
      <c r="I82" s="987"/>
      <c r="J82" s="987"/>
      <c r="K82" s="987"/>
      <c r="L82" s="987"/>
      <c r="M82" s="987"/>
      <c r="N82" s="987"/>
      <c r="O82" s="987"/>
      <c r="P82" s="1380"/>
      <c r="Q82" s="184"/>
    </row>
    <row r="83" spans="1:17" s="360" customFormat="1" ht="144" customHeight="1" thickBot="1" x14ac:dyDescent="0.25">
      <c r="A83" s="1556"/>
      <c r="B83" s="997" t="s">
        <v>2129</v>
      </c>
      <c r="C83" s="1592"/>
      <c r="D83" s="1592"/>
      <c r="E83" s="1008">
        <f>'S2.2.3 Pyro_cred'!E30</f>
        <v>0.38784918782751743</v>
      </c>
      <c r="F83" s="1008">
        <f>'S2.2.3 Pyro_cred'!F30</f>
        <v>0.33859747850194022</v>
      </c>
      <c r="G83" s="1008">
        <f>'S2.2.3 Pyro_cred'!G30</f>
        <v>1.7857888152199349E-2</v>
      </c>
      <c r="H83" s="1008">
        <f>'S2.2.3 Pyro_cred'!H30</f>
        <v>-2.4761830453137383</v>
      </c>
      <c r="I83" s="987"/>
      <c r="J83" s="987"/>
      <c r="K83" s="987"/>
      <c r="L83" s="987"/>
      <c r="M83" s="987"/>
      <c r="N83" s="987"/>
      <c r="O83" s="987"/>
      <c r="P83" s="1380"/>
      <c r="Q83" s="184"/>
    </row>
    <row r="84" spans="1:17" s="360" customFormat="1" ht="17.649999999999999" customHeight="1" x14ac:dyDescent="0.2">
      <c r="A84" s="1588" t="s">
        <v>1605</v>
      </c>
      <c r="B84" s="1568" t="s">
        <v>2121</v>
      </c>
      <c r="C84" s="1568" t="str">
        <f>'S2.2.3 Pyro_cred'!C33</f>
        <v>alternative production impacts [kg CO2-eq / kg]</v>
      </c>
      <c r="D84" s="1568"/>
      <c r="E84" s="1568" t="str">
        <f>'S2.2.3 Pyro_cred'!E33</f>
        <v>molar mass</v>
      </c>
      <c r="F84" s="1591" t="str">
        <f>'S2.2.3 Pyro_cred'!F33</f>
        <v xml:space="preserve">product composition
</v>
      </c>
      <c r="G84" s="1591">
        <f>'S2.2.3 Pyro_cred'!G33</f>
        <v>0</v>
      </c>
      <c r="H84" s="1591">
        <f>'S2.2.3 Pyro_cred'!H33</f>
        <v>0</v>
      </c>
      <c r="I84" s="1591">
        <f>'S2.2.3 Pyro_cred'!I33</f>
        <v>0</v>
      </c>
      <c r="J84" s="1591">
        <f>'S2.2.3 Pyro_cred'!J33</f>
        <v>0</v>
      </c>
      <c r="K84" s="1591">
        <f>'S2.2.3 Pyro_cred'!K33</f>
        <v>0</v>
      </c>
      <c r="L84" s="1568">
        <f>'S2.2.3 Pyro_cred'!L33</f>
        <v>0</v>
      </c>
      <c r="M84" s="1568">
        <f>'S2.2.3 Pyro_cred'!M33</f>
        <v>0</v>
      </c>
      <c r="N84" s="1026"/>
      <c r="O84" s="1026"/>
      <c r="P84" s="1366" t="s">
        <v>1656</v>
      </c>
      <c r="Q84" s="184"/>
    </row>
    <row r="85" spans="1:17" s="360" customFormat="1" ht="29.65" customHeight="1" x14ac:dyDescent="0.2">
      <c r="A85" s="1589"/>
      <c r="B85" s="1569">
        <v>0</v>
      </c>
      <c r="C85" s="1569"/>
      <c r="D85" s="1569"/>
      <c r="E85" s="1569">
        <f>'S2.2.3 Pyro_cred'!E34</f>
        <v>0</v>
      </c>
      <c r="F85" s="1597" t="str">
        <f>'S2.2.3 Pyro_cred'!$F$34</f>
        <v>material utilization - max high impact products</v>
      </c>
      <c r="G85" s="1597"/>
      <c r="H85" s="1585" t="str">
        <f>'S2.2.3 Pyro_cred'!H34</f>
        <v>material utilization - intermediate composition</v>
      </c>
      <c r="I85" s="1585"/>
      <c r="J85" s="1598" t="str">
        <f>'S2.2.3 Pyro_cred'!J34</f>
        <v>utilization as syngas</v>
      </c>
      <c r="K85" s="1598"/>
      <c r="L85" s="1596" t="str">
        <f>'S2.2.3 Pyro_cred'!L34</f>
        <v>energetic utilization</v>
      </c>
      <c r="M85" s="1596"/>
      <c r="N85" s="1027"/>
      <c r="O85" s="1027"/>
      <c r="P85" s="1380"/>
      <c r="Q85" s="184"/>
    </row>
    <row r="86" spans="1:17" s="360" customFormat="1" ht="28.5" x14ac:dyDescent="0.2">
      <c r="A86" s="1589"/>
      <c r="B86" s="1590">
        <v>0</v>
      </c>
      <c r="C86" s="967" t="s">
        <v>2059</v>
      </c>
      <c r="D86" s="967" t="s">
        <v>2122</v>
      </c>
      <c r="E86" s="1590">
        <f>'S2.2.3 Pyro_cred'!E35</f>
        <v>0</v>
      </c>
      <c r="F86" s="983" t="str">
        <f>'S2.2.3 Pyro_cred'!F35</f>
        <v>molar share</v>
      </c>
      <c r="G86" s="1082" t="str">
        <f>'S2.2.3 Pyro_cred'!G35</f>
        <v>mass share</v>
      </c>
      <c r="H86" s="983" t="str">
        <f>'S2.2.3 Pyro_cred'!H35</f>
        <v>molar share</v>
      </c>
      <c r="I86" s="1082" t="str">
        <f>'S2.2.3 Pyro_cred'!I35</f>
        <v>mass share</v>
      </c>
      <c r="J86" s="1572"/>
      <c r="K86" s="1572"/>
      <c r="L86" s="1572"/>
      <c r="M86" s="1572"/>
      <c r="N86" s="1028"/>
      <c r="O86" s="1028"/>
      <c r="P86" s="1380"/>
      <c r="Q86" s="184"/>
    </row>
    <row r="87" spans="1:17" s="360" customFormat="1" ht="57" x14ac:dyDescent="0.2">
      <c r="A87" s="1589"/>
      <c r="B87" s="985" t="str">
        <f>'S2.2.3 Pyro_cred'!B36</f>
        <v>H2</v>
      </c>
      <c r="C87" s="986">
        <f>'S2.2.3 Pyro_cred'!C36</f>
        <v>1.4469965540146297</v>
      </c>
      <c r="D87" s="986">
        <f>'S2.2.3 Pyro_cred'!D36</f>
        <v>0.28434459511469157</v>
      </c>
      <c r="E87" s="985">
        <f>'S2.2.3 Pyro_cred'!E36</f>
        <v>2</v>
      </c>
      <c r="F87" s="992">
        <f>'S2.2.3 Pyro_cred'!F36</f>
        <v>8.8999999999999968E-2</v>
      </c>
      <c r="G87" s="992">
        <f>'S2.2.3 Pyro_cred'!G36</f>
        <v>5.5214343321545985E-3</v>
      </c>
      <c r="H87" s="992">
        <f>'S2.2.3 Pyro_cred'!H36</f>
        <v>8.3333333333333329E-2</v>
      </c>
      <c r="I87" s="992">
        <f>'S2.2.3 Pyro_cred'!I36</f>
        <v>4.6296296296296302E-3</v>
      </c>
      <c r="J87" s="1570"/>
      <c r="K87" s="1570"/>
      <c r="L87" s="970" t="s">
        <v>1611</v>
      </c>
      <c r="M87" s="1084">
        <f>'S2.2.3 Pyro_cred'!M37</f>
        <v>49.5</v>
      </c>
      <c r="N87" s="1084"/>
      <c r="O87" s="1084"/>
      <c r="P87" s="1380"/>
      <c r="Q87" s="184"/>
    </row>
    <row r="88" spans="1:17" s="360" customFormat="1" ht="80.25" customHeight="1" x14ac:dyDescent="0.2">
      <c r="A88" s="1589"/>
      <c r="B88" s="987" t="str">
        <f>'S2.2.3 Pyro_cred'!B37</f>
        <v>butadiene</v>
      </c>
      <c r="C88" s="990">
        <f>'S2.2.3 Pyro_cred'!C37</f>
        <v>1.1906020225973428</v>
      </c>
      <c r="D88" s="990">
        <f>'S2.2.3 Pyro_cred'!D37</f>
        <v>1.0686407105713802</v>
      </c>
      <c r="E88" s="987">
        <f>'S2.2.3 Pyro_cred'!E37</f>
        <v>54</v>
      </c>
      <c r="F88" s="992">
        <f>'S2.2.3 Pyro_cred'!F37</f>
        <v>0</v>
      </c>
      <c r="G88" s="992">
        <f>'S2.2.3 Pyro_cred'!G37</f>
        <v>0</v>
      </c>
      <c r="H88" s="992">
        <f>'S2.2.3 Pyro_cred'!H37</f>
        <v>8.3333333333333329E-2</v>
      </c>
      <c r="I88" s="992">
        <f>'S2.2.3 Pyro_cred'!I37</f>
        <v>0.12500000000000003</v>
      </c>
      <c r="J88" s="1571"/>
      <c r="K88" s="1571"/>
      <c r="L88" s="970" t="s">
        <v>1612</v>
      </c>
      <c r="M88" s="1084">
        <f>'S2.2.3 Pyro_cred'!M38</f>
        <v>57600</v>
      </c>
      <c r="N88" s="1084"/>
      <c r="O88" s="1084"/>
      <c r="P88" s="1380"/>
      <c r="Q88" s="184"/>
    </row>
    <row r="89" spans="1:17" s="360" customFormat="1" ht="86.25" customHeight="1" x14ac:dyDescent="0.2">
      <c r="A89" s="1589"/>
      <c r="B89" s="987" t="str">
        <f>'S2.2.3 Pyro_cred'!B38</f>
        <v>butene</v>
      </c>
      <c r="C89" s="990">
        <f>'S2.2.3 Pyro_cred'!C38</f>
        <v>1.0037520317335276</v>
      </c>
      <c r="D89" s="990">
        <f>'S2.2.3 Pyro_cred'!D38</f>
        <v>0.31514258670822282</v>
      </c>
      <c r="E89" s="987">
        <f>'S2.2.3 Pyro_cred'!E38</f>
        <v>56</v>
      </c>
      <c r="F89" s="992">
        <f>'S2.2.3 Pyro_cred'!F38</f>
        <v>0.113</v>
      </c>
      <c r="G89" s="992">
        <f>'S2.2.3 Pyro_cred'!G38</f>
        <v>0.19629009243749612</v>
      </c>
      <c r="H89" s="992">
        <f>'S2.2.3 Pyro_cred'!H38</f>
        <v>8.3333333333333329E-2</v>
      </c>
      <c r="I89" s="992">
        <f>'S2.2.3 Pyro_cred'!I38</f>
        <v>0.12962962962962965</v>
      </c>
      <c r="J89" s="1571"/>
      <c r="K89" s="1571"/>
      <c r="L89" s="970" t="s">
        <v>1613</v>
      </c>
      <c r="M89" s="987">
        <f>'S2.7 energy recovery calc'!B26</f>
        <v>48</v>
      </c>
      <c r="N89" s="987"/>
      <c r="O89" s="987"/>
      <c r="P89" s="1380"/>
      <c r="Q89" s="184"/>
    </row>
    <row r="90" spans="1:17" s="360" customFormat="1" ht="124.5" customHeight="1" x14ac:dyDescent="0.2">
      <c r="A90" s="1589"/>
      <c r="B90" s="987" t="str">
        <f>'S2.2.3 Pyro_cred'!B39</f>
        <v>propene</v>
      </c>
      <c r="C90" s="990">
        <f>'S2.2.3 Pyro_cred'!C39</f>
        <v>0.92821739341519727</v>
      </c>
      <c r="D90" s="990">
        <f>'S2.2.3 Pyro_cred'!D39</f>
        <v>0.27714777318862616</v>
      </c>
      <c r="E90" s="987">
        <f>'S2.2.3 Pyro_cred'!E39</f>
        <v>42</v>
      </c>
      <c r="F90" s="992">
        <f>'S2.2.3 Pyro_cred'!F39</f>
        <v>0.24199999999999999</v>
      </c>
      <c r="G90" s="992">
        <f>'S2.2.3 Pyro_cred'!G39</f>
        <v>0.31528010422482783</v>
      </c>
      <c r="H90" s="992">
        <f>'S2.2.3 Pyro_cred'!H39</f>
        <v>8.3333333333333329E-2</v>
      </c>
      <c r="I90" s="992">
        <f>'S2.2.3 Pyro_cred'!I39</f>
        <v>9.7222222222222238E-2</v>
      </c>
      <c r="J90" s="1571"/>
      <c r="K90" s="1571"/>
      <c r="L90" s="970" t="s">
        <v>2138</v>
      </c>
      <c r="M90" s="680">
        <f>'S2.7 energy recovery calc'!C26</f>
        <v>56100</v>
      </c>
      <c r="N90" s="987"/>
      <c r="O90" s="987"/>
      <c r="P90" s="1380"/>
      <c r="Q90" s="184"/>
    </row>
    <row r="91" spans="1:17" s="360" customFormat="1" ht="59.25" customHeight="1" x14ac:dyDescent="0.2">
      <c r="A91" s="1589"/>
      <c r="B91" s="987" t="str">
        <f>'S2.2.3 Pyro_cred'!B40</f>
        <v>ethene</v>
      </c>
      <c r="C91" s="990">
        <f>'S2.2.3 Pyro_cred'!C40</f>
        <v>0.92735699341519728</v>
      </c>
      <c r="D91" s="990">
        <f>'S2.2.3 Pyro_cred'!D40</f>
        <v>0.27714777318862616</v>
      </c>
      <c r="E91" s="987">
        <f>'S2.2.3 Pyro_cred'!E40</f>
        <v>28</v>
      </c>
      <c r="F91" s="992">
        <f>'S2.2.3 Pyro_cred'!F40</f>
        <v>0.55600000000000005</v>
      </c>
      <c r="G91" s="992">
        <f>'S2.2.3 Pyro_cred'!G40</f>
        <v>0.48290836900552148</v>
      </c>
      <c r="H91" s="992">
        <f>'S2.2.3 Pyro_cred'!H40</f>
        <v>8.3333333333333329E-2</v>
      </c>
      <c r="I91" s="992">
        <f>'S2.2.3 Pyro_cred'!I40</f>
        <v>6.4814814814814825E-2</v>
      </c>
      <c r="J91" s="1571"/>
      <c r="K91" s="1571"/>
      <c r="L91" s="970" t="s">
        <v>1615</v>
      </c>
      <c r="M91" s="1085">
        <v>0.15</v>
      </c>
      <c r="N91" s="1085"/>
      <c r="O91" s="1085"/>
      <c r="P91" s="1380"/>
      <c r="Q91" s="184"/>
    </row>
    <row r="92" spans="1:17" s="360" customFormat="1" ht="60.75" customHeight="1" x14ac:dyDescent="0.2">
      <c r="A92" s="1589"/>
      <c r="B92" s="987" t="str">
        <f>'S2.2.3 Pyro_cred'!B41</f>
        <v>butane</v>
      </c>
      <c r="C92" s="1006">
        <f>'S2.2.3 Pyro_cred'!C41</f>
        <v>0.80779675340728374</v>
      </c>
      <c r="D92" s="990">
        <f>'S2.2.3 Pyro_cred'!D41</f>
        <v>0.80323233343024114</v>
      </c>
      <c r="E92" s="987">
        <f>'S2.2.3 Pyro_cred'!E41</f>
        <v>58</v>
      </c>
      <c r="F92" s="992">
        <f>'S2.2.3 Pyro_cred'!F41</f>
        <v>0</v>
      </c>
      <c r="G92" s="992">
        <f>'S2.2.3 Pyro_cred'!G41</f>
        <v>0</v>
      </c>
      <c r="H92" s="992">
        <f>'S2.2.3 Pyro_cred'!H41</f>
        <v>8.3333333333333329E-2</v>
      </c>
      <c r="I92" s="992">
        <f>'S2.2.3 Pyro_cred'!I41</f>
        <v>0.13425925925925927</v>
      </c>
      <c r="J92" s="1571"/>
      <c r="K92" s="1571"/>
      <c r="L92" s="970" t="s">
        <v>1616</v>
      </c>
      <c r="M92" s="1085">
        <v>0.7</v>
      </c>
      <c r="N92" s="1085"/>
      <c r="O92" s="1085"/>
      <c r="P92" s="1380"/>
      <c r="Q92" s="184"/>
    </row>
    <row r="93" spans="1:17" s="360" customFormat="1" ht="14.25" x14ac:dyDescent="0.2">
      <c r="A93" s="1589"/>
      <c r="B93" s="987" t="str">
        <f>'S2.2.3 Pyro_cred'!B42</f>
        <v>propane</v>
      </c>
      <c r="C93" s="1006">
        <f>'S2.2.3 Pyro_cred'!C42</f>
        <v>0.80779675340728374</v>
      </c>
      <c r="D93" s="990">
        <f>'S2.2.3 Pyro_cred'!D42</f>
        <v>0.80323233343024114</v>
      </c>
      <c r="E93" s="987">
        <f>'S2.2.3 Pyro_cred'!E42</f>
        <v>44</v>
      </c>
      <c r="F93" s="992">
        <f>'S2.2.3 Pyro_cred'!F42</f>
        <v>0</v>
      </c>
      <c r="G93" s="992">
        <f>'S2.2.3 Pyro_cred'!G42</f>
        <v>0</v>
      </c>
      <c r="H93" s="992">
        <f>'S2.2.3 Pyro_cred'!H42</f>
        <v>8.3333333333333329E-2</v>
      </c>
      <c r="I93" s="992">
        <f>'S2.2.3 Pyro_cred'!I42</f>
        <v>0.10185185185185187</v>
      </c>
      <c r="J93" s="1571"/>
      <c r="K93" s="1571"/>
      <c r="L93" s="1028"/>
      <c r="M93" s="1028"/>
      <c r="N93" s="1084"/>
      <c r="O93" s="1084"/>
      <c r="P93" s="1380"/>
      <c r="Q93" s="184"/>
    </row>
    <row r="94" spans="1:17" s="360" customFormat="1" ht="14.25" x14ac:dyDescent="0.2">
      <c r="A94" s="1589"/>
      <c r="B94" s="987" t="str">
        <f>'S2.2.3 Pyro_cred'!B43</f>
        <v>ethane</v>
      </c>
      <c r="C94" s="1006">
        <f>'S2.2.3 Pyro_cred'!C43</f>
        <v>0.80779675340728374</v>
      </c>
      <c r="D94" s="990">
        <f>'S2.2.3 Pyro_cred'!D43</f>
        <v>0.80323233343024114</v>
      </c>
      <c r="E94" s="987">
        <f>'S2.2.3 Pyro_cred'!E43</f>
        <v>30</v>
      </c>
      <c r="F94" s="992">
        <f>'S2.2.3 Pyro_cred'!F43</f>
        <v>0</v>
      </c>
      <c r="G94" s="992">
        <f>'S2.2.3 Pyro_cred'!G43</f>
        <v>0</v>
      </c>
      <c r="H94" s="992">
        <f>'S2.2.3 Pyro_cred'!H43</f>
        <v>8.3333333333333329E-2</v>
      </c>
      <c r="I94" s="992">
        <f>'S2.2.3 Pyro_cred'!I43</f>
        <v>6.9444444444444461E-2</v>
      </c>
      <c r="J94" s="1571"/>
      <c r="K94" s="1571"/>
      <c r="L94" s="1031"/>
      <c r="M94" s="1031"/>
      <c r="N94" s="1086"/>
      <c r="O94" s="1086"/>
      <c r="P94" s="1380"/>
      <c r="Q94" s="184"/>
    </row>
    <row r="95" spans="1:17" s="360" customFormat="1" ht="14.25" x14ac:dyDescent="0.2">
      <c r="A95" s="1589"/>
      <c r="B95" s="987" t="str">
        <f>'S2.2.3 Pyro_cred'!B44</f>
        <v>CO</v>
      </c>
      <c r="C95" s="1006">
        <f>'S2.2.3 Pyro_cred'!C44</f>
        <v>0.76150761775984877</v>
      </c>
      <c r="D95" s="990">
        <f>'S2.2.3 Pyro_cred'!D44</f>
        <v>4.3535162588145056E-2</v>
      </c>
      <c r="E95" s="987">
        <f>'S2.2.3 Pyro_cred'!E44</f>
        <v>28</v>
      </c>
      <c r="F95" s="992">
        <f>'S2.2.3 Pyro_cred'!F44</f>
        <v>0</v>
      </c>
      <c r="G95" s="992">
        <f>'S2.2.3 Pyro_cred'!G44</f>
        <v>0</v>
      </c>
      <c r="H95" s="992">
        <f>'S2.2.3 Pyro_cred'!H44</f>
        <v>8.3333333333333329E-2</v>
      </c>
      <c r="I95" s="992">
        <f>'S2.2.3 Pyro_cred'!I44</f>
        <v>6.4814814814814825E-2</v>
      </c>
      <c r="J95" s="1571"/>
      <c r="K95" s="1571"/>
      <c r="L95" s="1031"/>
      <c r="M95" s="1031"/>
      <c r="N95" s="1086"/>
      <c r="O95" s="1086"/>
      <c r="P95" s="1380"/>
      <c r="Q95" s="184"/>
    </row>
    <row r="96" spans="1:17" s="360" customFormat="1" ht="14.25" x14ac:dyDescent="0.2">
      <c r="A96" s="1589"/>
      <c r="B96" s="987" t="str">
        <f>'S2.2.3 Pyro_cred'!B45</f>
        <v>methane</v>
      </c>
      <c r="C96" s="990">
        <f>'S2.2.3 Pyro_cred'!C45</f>
        <v>0.38027994549733679</v>
      </c>
      <c r="D96" s="990">
        <f>'S2.2.3 Pyro_cred'!D45</f>
        <v>0</v>
      </c>
      <c r="E96" s="987">
        <f>'S2.2.3 Pyro_cred'!E45</f>
        <v>16</v>
      </c>
      <c r="F96" s="992">
        <f>'S2.2.3 Pyro_cred'!F45</f>
        <v>0</v>
      </c>
      <c r="G96" s="992">
        <f>'S2.2.3 Pyro_cred'!G45</f>
        <v>0</v>
      </c>
      <c r="H96" s="992">
        <f>'S2.2.3 Pyro_cred'!H45</f>
        <v>8.3333333333333329E-2</v>
      </c>
      <c r="I96" s="992">
        <f>'S2.2.3 Pyro_cred'!I45</f>
        <v>3.7037037037037042E-2</v>
      </c>
      <c r="J96" s="1571"/>
      <c r="K96" s="1571"/>
      <c r="L96" s="1031"/>
      <c r="M96" s="1031"/>
      <c r="N96" s="1087"/>
      <c r="O96" s="1087"/>
      <c r="P96" s="1380"/>
      <c r="Q96" s="184"/>
    </row>
    <row r="97" spans="1:17" s="360" customFormat="1" ht="14.25" x14ac:dyDescent="0.2">
      <c r="A97" s="1589"/>
      <c r="B97" s="987" t="str">
        <f>'S2.2.3 Pyro_cred'!B46</f>
        <v>remaining product</v>
      </c>
      <c r="C97" s="990">
        <f>'S2.2.3 Pyro_cred'!C46</f>
        <v>0.38027994549733679</v>
      </c>
      <c r="D97" s="990">
        <f>'S2.2.3 Pyro_cred'!D46</f>
        <v>0.38027994549733679</v>
      </c>
      <c r="E97" s="987">
        <f>'S2.2.3 Pyro_cred'!E46</f>
        <v>30</v>
      </c>
      <c r="F97" s="992">
        <f>'S2.2.3 Pyro_cred'!F46</f>
        <v>0</v>
      </c>
      <c r="G97" s="992">
        <f>'S2.2.3 Pyro_cred'!G46</f>
        <v>0</v>
      </c>
      <c r="H97" s="992">
        <f>'S2.2.3 Pyro_cred'!H46</f>
        <v>8.3333333333333329E-2</v>
      </c>
      <c r="I97" s="992">
        <f>'S2.2.3 Pyro_cred'!I46</f>
        <v>6.9444444444444461E-2</v>
      </c>
      <c r="J97" s="1571"/>
      <c r="K97" s="1571"/>
      <c r="L97" s="1031"/>
      <c r="M97" s="1031"/>
      <c r="N97" s="990"/>
      <c r="O97" s="990"/>
      <c r="P97" s="1380"/>
      <c r="Q97" s="184"/>
    </row>
    <row r="98" spans="1:17" s="360" customFormat="1" ht="14.25" x14ac:dyDescent="0.2">
      <c r="A98" s="1589"/>
      <c r="B98" s="987" t="str">
        <f>'S2.2.3 Pyro_cred'!B47</f>
        <v>CO2</v>
      </c>
      <c r="C98" s="990">
        <f>'S2.2.3 Pyro_cred'!C47</f>
        <v>-1</v>
      </c>
      <c r="D98" s="990">
        <f>'S2.2.3 Pyro_cred'!D47</f>
        <v>-1</v>
      </c>
      <c r="E98" s="987">
        <f>'S2.2.3 Pyro_cred'!E47</f>
        <v>44</v>
      </c>
      <c r="F98" s="992">
        <f>'S2.2.3 Pyro_cred'!F47</f>
        <v>0</v>
      </c>
      <c r="G98" s="992">
        <f>'S2.2.3 Pyro_cred'!G47</f>
        <v>0</v>
      </c>
      <c r="H98" s="992">
        <f>'S2.2.3 Pyro_cred'!H47</f>
        <v>8.3333333333333329E-2</v>
      </c>
      <c r="I98" s="992">
        <f>'S2.2.3 Pyro_cred'!I47</f>
        <v>0.10185185185185187</v>
      </c>
      <c r="J98" s="1571"/>
      <c r="K98" s="1571"/>
      <c r="L98" s="1031"/>
      <c r="M98" s="1031"/>
      <c r="N98" s="990"/>
      <c r="O98" s="990"/>
      <c r="P98" s="1380"/>
      <c r="Q98" s="184"/>
    </row>
    <row r="99" spans="1:17" s="360" customFormat="1" ht="14.25" x14ac:dyDescent="0.2">
      <c r="A99" s="1589"/>
      <c r="B99" s="994" t="str">
        <f>'S2.2.3 Pyro_cred'!B48</f>
        <v>total</v>
      </c>
      <c r="C99" s="1029">
        <f>'S2.2.3 Pyro_cred'!C48</f>
        <v>0</v>
      </c>
      <c r="D99" s="1029">
        <f>'S2.2.3 Pyro_cred'!D48</f>
        <v>0</v>
      </c>
      <c r="E99" s="994">
        <f>'S2.2.3 Pyro_cred'!E48</f>
        <v>0</v>
      </c>
      <c r="F99" s="1030">
        <f>'S2.2.3 Pyro_cred'!F48</f>
        <v>1</v>
      </c>
      <c r="G99" s="1030">
        <f>'S2.2.3 Pyro_cred'!G48</f>
        <v>1</v>
      </c>
      <c r="H99" s="1030">
        <f>'S2.2.3 Pyro_cred'!H48</f>
        <v>1</v>
      </c>
      <c r="I99" s="1030">
        <f>'S2.2.3 Pyro_cred'!I48</f>
        <v>1.0000000000000002</v>
      </c>
      <c r="J99" s="1572"/>
      <c r="K99" s="1572"/>
      <c r="L99" s="1088"/>
      <c r="M99" s="1088"/>
      <c r="N99" s="1087"/>
      <c r="O99" s="1087"/>
      <c r="P99" s="1380"/>
      <c r="Q99" s="184"/>
    </row>
    <row r="100" spans="1:17" s="360" customFormat="1" ht="127.5" customHeight="1" x14ac:dyDescent="0.2">
      <c r="A100" s="1589"/>
      <c r="B100" s="997" t="s">
        <v>2120</v>
      </c>
      <c r="C100" s="1592"/>
      <c r="D100" s="1592"/>
      <c r="E100" s="1031"/>
      <c r="F100" s="1573">
        <f>'S2.2.3 Pyro_cred'!F49</f>
        <v>0.98244577043851811</v>
      </c>
      <c r="G100" s="1573">
        <f>'S2.2.3 Pyro_cred'!G49</f>
        <v>0</v>
      </c>
      <c r="H100" s="1573">
        <f>'S2.2.3 Pyro_cred'!H49</f>
        <v>0.7035318970126887</v>
      </c>
      <c r="I100" s="1573">
        <f>'S2.2.3 Pyro_cred'!I49</f>
        <v>0</v>
      </c>
      <c r="J100" s="1593">
        <f>'S2.2.3 Pyro_cred'!J49</f>
        <v>0.17014505590542731</v>
      </c>
      <c r="K100" s="1593">
        <f>'S2.2.3 Pyro_cred'!K49</f>
        <v>0</v>
      </c>
      <c r="L100" s="1593">
        <f>'S2.2.3 Pyro_cred'!L49</f>
        <v>0.31791369379412843</v>
      </c>
      <c r="M100" s="1593">
        <f>'S2.2.3 Pyro_cred'!M49</f>
        <v>0</v>
      </c>
      <c r="N100" s="1032"/>
      <c r="O100" s="1032"/>
      <c r="P100" s="1380"/>
      <c r="Q100" s="184"/>
    </row>
    <row r="101" spans="1:17" s="360" customFormat="1" ht="148.5" customHeight="1" thickBot="1" x14ac:dyDescent="0.25">
      <c r="A101" s="1589"/>
      <c r="B101" s="998" t="s">
        <v>2132</v>
      </c>
      <c r="C101" s="1592"/>
      <c r="D101" s="1592"/>
      <c r="E101" s="1031"/>
      <c r="F101" s="1573">
        <f>'S2.2.3 Pyro_cred'!F50</f>
        <v>0.28208170426776041</v>
      </c>
      <c r="G101" s="1573">
        <f>'S2.2.3 Pyro_cred'!G50</f>
        <v>0</v>
      </c>
      <c r="H101" s="1573">
        <f>'S2.2.3 Pyro_cred'!H50</f>
        <v>0.33799462892897925</v>
      </c>
      <c r="I101" s="1573">
        <f>'S2.2.3 Pyro_cred'!I50</f>
        <v>0</v>
      </c>
      <c r="J101" s="1573">
        <f>'S2.2.3 Pyro_cred'!J50</f>
        <v>0.13673826807600575</v>
      </c>
      <c r="K101" s="1573">
        <f>'S2.2.3 Pyro_cred'!K50</f>
        <v>0</v>
      </c>
      <c r="L101" s="1573">
        <f>'S2.2.3 Pyro_cred'!L50</f>
        <v>-2.1205110104735234</v>
      </c>
      <c r="M101" s="1573">
        <f>'S2.2.3 Pyro_cred'!M50</f>
        <v>0</v>
      </c>
      <c r="N101" s="1032"/>
      <c r="O101" s="1032"/>
      <c r="P101" s="1380"/>
      <c r="Q101" s="184"/>
    </row>
    <row r="102" spans="1:17" s="616" customFormat="1" ht="151.9" customHeight="1" x14ac:dyDescent="0.2">
      <c r="A102" s="1555" t="s">
        <v>1607</v>
      </c>
      <c r="B102" s="1033" t="s">
        <v>2133</v>
      </c>
      <c r="C102" s="1034" t="s">
        <v>1223</v>
      </c>
      <c r="D102" s="1035" t="s">
        <v>1670</v>
      </c>
      <c r="E102" s="1036" t="s">
        <v>2134</v>
      </c>
      <c r="F102" s="1037" t="s">
        <v>1672</v>
      </c>
      <c r="G102" s="1038" t="s">
        <v>2134</v>
      </c>
      <c r="H102" s="964"/>
      <c r="I102" s="964"/>
      <c r="J102" s="964"/>
      <c r="K102" s="964"/>
      <c r="L102" s="964"/>
      <c r="M102" s="964"/>
      <c r="N102" s="964"/>
      <c r="O102" s="964"/>
      <c r="P102" s="1558" t="s">
        <v>1915</v>
      </c>
      <c r="Q102" s="799"/>
    </row>
    <row r="103" spans="1:17" s="616" customFormat="1" ht="28.5" x14ac:dyDescent="0.2">
      <c r="A103" s="1556"/>
      <c r="B103" s="1027"/>
      <c r="C103" s="987"/>
      <c r="D103" s="1569" t="s">
        <v>2059</v>
      </c>
      <c r="E103" s="1569"/>
      <c r="F103" s="1569"/>
      <c r="G103" s="1039" t="s">
        <v>2122</v>
      </c>
      <c r="H103" s="971"/>
      <c r="I103" s="971"/>
      <c r="J103" s="971"/>
      <c r="K103" s="971"/>
      <c r="L103" s="971"/>
      <c r="M103" s="971"/>
      <c r="N103" s="971"/>
      <c r="O103" s="971"/>
      <c r="P103" s="1559"/>
      <c r="Q103" s="799"/>
    </row>
    <row r="104" spans="1:17" s="615" customFormat="1" ht="14.25" x14ac:dyDescent="0.2">
      <c r="A104" s="1556"/>
      <c r="B104" s="1089" t="s">
        <v>110</v>
      </c>
      <c r="C104" s="1571"/>
      <c r="D104" s="1040">
        <v>0.4516</v>
      </c>
      <c r="E104" s="1040">
        <v>0.71405481377371749</v>
      </c>
      <c r="F104" s="1040">
        <v>0.93700000000000006</v>
      </c>
      <c r="G104" s="1041">
        <f>E104</f>
        <v>0.71405481377371749</v>
      </c>
      <c r="H104" s="971"/>
      <c r="I104" s="971"/>
      <c r="J104" s="971"/>
      <c r="K104" s="971"/>
      <c r="L104" s="971"/>
      <c r="M104" s="971"/>
      <c r="N104" s="971"/>
      <c r="O104" s="971"/>
      <c r="P104" s="1559"/>
      <c r="Q104" s="987"/>
    </row>
    <row r="105" spans="1:17" s="615" customFormat="1" ht="14.25" x14ac:dyDescent="0.2">
      <c r="A105" s="1556"/>
      <c r="B105" s="1089" t="s">
        <v>111</v>
      </c>
      <c r="C105" s="1571"/>
      <c r="D105" s="1040">
        <v>1.2E-2</v>
      </c>
      <c r="E105" s="1040">
        <v>1.8973998594518621E-2</v>
      </c>
      <c r="F105" s="1040">
        <v>3.5000000000000003E-2</v>
      </c>
      <c r="G105" s="1041">
        <f t="shared" ref="G105:G116" si="0">E105</f>
        <v>1.8973998594518621E-2</v>
      </c>
      <c r="H105" s="971"/>
      <c r="I105" s="971"/>
      <c r="J105" s="971"/>
      <c r="K105" s="971"/>
      <c r="L105" s="971"/>
      <c r="M105" s="971"/>
      <c r="N105" s="971"/>
      <c r="O105" s="971"/>
      <c r="P105" s="1559"/>
      <c r="Q105" s="987"/>
    </row>
    <row r="106" spans="1:17" s="615" customFormat="1" ht="14.25" x14ac:dyDescent="0.2">
      <c r="A106" s="1556"/>
      <c r="B106" s="1089" t="s">
        <v>112</v>
      </c>
      <c r="C106" s="1571"/>
      <c r="D106" s="1040">
        <v>4.2900000000000001E-2</v>
      </c>
      <c r="E106" s="1040">
        <v>6.7832044975404071E-2</v>
      </c>
      <c r="F106" s="1040">
        <v>2.7999999999999914E-2</v>
      </c>
      <c r="G106" s="1041">
        <f t="shared" si="0"/>
        <v>6.7832044975404071E-2</v>
      </c>
      <c r="H106" s="971"/>
      <c r="I106" s="971"/>
      <c r="J106" s="971"/>
      <c r="K106" s="971"/>
      <c r="L106" s="971"/>
      <c r="M106" s="971"/>
      <c r="N106" s="971"/>
      <c r="O106" s="971"/>
      <c r="P106" s="1559"/>
      <c r="Q106" s="987"/>
    </row>
    <row r="107" spans="1:17" s="615" customFormat="1" ht="14.25" x14ac:dyDescent="0.2">
      <c r="A107" s="1556"/>
      <c r="B107" s="1089" t="s">
        <v>113</v>
      </c>
      <c r="C107" s="1571"/>
      <c r="D107" s="1040">
        <v>8.2000000000000007E-3</v>
      </c>
      <c r="E107" s="1040">
        <v>1.2965565706254394E-2</v>
      </c>
      <c r="F107" s="1040">
        <v>0</v>
      </c>
      <c r="G107" s="1041">
        <f t="shared" si="0"/>
        <v>1.2965565706254394E-2</v>
      </c>
      <c r="H107" s="971"/>
      <c r="I107" s="971"/>
      <c r="J107" s="971"/>
      <c r="K107" s="971"/>
      <c r="L107" s="971"/>
      <c r="M107" s="971"/>
      <c r="N107" s="971"/>
      <c r="O107" s="971"/>
      <c r="P107" s="1559"/>
      <c r="Q107" s="987"/>
    </row>
    <row r="108" spans="1:17" s="615" customFormat="1" ht="14.25" x14ac:dyDescent="0.2">
      <c r="A108" s="1556"/>
      <c r="B108" s="1089" t="s">
        <v>114</v>
      </c>
      <c r="C108" s="1571"/>
      <c r="D108" s="1040">
        <v>3.6999999999999998E-2</v>
      </c>
      <c r="E108" s="1040">
        <v>5.8503162333099074E-2</v>
      </c>
      <c r="F108" s="1040">
        <v>0</v>
      </c>
      <c r="G108" s="1041">
        <f t="shared" si="0"/>
        <v>5.8503162333099074E-2</v>
      </c>
      <c r="H108" s="971"/>
      <c r="I108" s="971"/>
      <c r="J108" s="971"/>
      <c r="K108" s="971"/>
      <c r="L108" s="971"/>
      <c r="M108" s="971"/>
      <c r="N108" s="971"/>
      <c r="O108" s="971"/>
      <c r="P108" s="1559"/>
      <c r="Q108" s="987"/>
    </row>
    <row r="109" spans="1:17" s="615" customFormat="1" ht="14.25" x14ac:dyDescent="0.2">
      <c r="A109" s="1556"/>
      <c r="B109" s="1089" t="s">
        <v>115</v>
      </c>
      <c r="C109" s="1571"/>
      <c r="D109" s="1040">
        <v>4.0000000000000002E-4</v>
      </c>
      <c r="E109" s="1040">
        <v>6.3246661981728738E-4</v>
      </c>
      <c r="F109" s="1040">
        <v>0</v>
      </c>
      <c r="G109" s="1041">
        <f t="shared" si="0"/>
        <v>6.3246661981728738E-4</v>
      </c>
      <c r="H109" s="971"/>
      <c r="I109" s="971"/>
      <c r="J109" s="971"/>
      <c r="K109" s="971"/>
      <c r="L109" s="971"/>
      <c r="M109" s="971"/>
      <c r="N109" s="971"/>
      <c r="O109" s="971"/>
      <c r="P109" s="1559"/>
      <c r="Q109" s="987"/>
    </row>
    <row r="110" spans="1:17" s="615" customFormat="1" ht="14.25" x14ac:dyDescent="0.2">
      <c r="A110" s="1556"/>
      <c r="B110" s="1089" t="s">
        <v>116</v>
      </c>
      <c r="C110" s="1571"/>
      <c r="D110" s="1040">
        <v>4.0000000000000002E-4</v>
      </c>
      <c r="E110" s="1040">
        <v>6.3246661981728738E-4</v>
      </c>
      <c r="F110" s="1040">
        <v>0</v>
      </c>
      <c r="G110" s="1041">
        <f t="shared" si="0"/>
        <v>6.3246661981728738E-4</v>
      </c>
      <c r="H110" s="971"/>
      <c r="I110" s="971"/>
      <c r="J110" s="971"/>
      <c r="K110" s="971"/>
      <c r="L110" s="971"/>
      <c r="M110" s="971"/>
      <c r="N110" s="971"/>
      <c r="O110" s="971"/>
      <c r="P110" s="1559"/>
      <c r="Q110" s="987"/>
    </row>
    <row r="111" spans="1:17" s="615" customFormat="1" ht="14.25" x14ac:dyDescent="0.2">
      <c r="A111" s="1556"/>
      <c r="B111" s="1089" t="s">
        <v>117</v>
      </c>
      <c r="C111" s="1571"/>
      <c r="D111" s="1040">
        <v>1.67E-2</v>
      </c>
      <c r="E111" s="1040">
        <v>2.6405481377371746E-2</v>
      </c>
      <c r="F111" s="1040">
        <v>0</v>
      </c>
      <c r="G111" s="1041">
        <f t="shared" si="0"/>
        <v>2.6405481377371746E-2</v>
      </c>
      <c r="H111" s="971"/>
      <c r="I111" s="971"/>
      <c r="J111" s="971"/>
      <c r="K111" s="971"/>
      <c r="L111" s="971"/>
      <c r="M111" s="971"/>
      <c r="N111" s="971"/>
      <c r="O111" s="971"/>
      <c r="P111" s="1559"/>
      <c r="Q111" s="987"/>
    </row>
    <row r="112" spans="1:17" s="615" customFormat="1" ht="14.25" x14ac:dyDescent="0.2">
      <c r="A112" s="1556"/>
      <c r="B112" s="1089" t="s">
        <v>118</v>
      </c>
      <c r="C112" s="1571"/>
      <c r="D112" s="1040">
        <v>0.43079999999999996</v>
      </c>
      <c r="E112" s="1090">
        <v>0.1</v>
      </c>
      <c r="F112" s="1040">
        <v>0</v>
      </c>
      <c r="G112" s="1041">
        <f t="shared" si="0"/>
        <v>0.1</v>
      </c>
      <c r="H112" s="971"/>
      <c r="I112" s="971"/>
      <c r="J112" s="971"/>
      <c r="K112" s="971"/>
      <c r="L112" s="971"/>
      <c r="M112" s="971"/>
      <c r="N112" s="971"/>
      <c r="O112" s="971"/>
      <c r="P112" s="1559"/>
      <c r="Q112" s="987"/>
    </row>
    <row r="113" spans="1:17" s="615" customFormat="1" ht="14.25" x14ac:dyDescent="0.2">
      <c r="A113" s="1556"/>
      <c r="B113" s="1089" t="s">
        <v>603</v>
      </c>
      <c r="C113" s="1571"/>
      <c r="D113" s="1040">
        <v>0</v>
      </c>
      <c r="E113" s="1040">
        <v>0</v>
      </c>
      <c r="F113" s="1040">
        <v>0</v>
      </c>
      <c r="G113" s="1041">
        <f t="shared" si="0"/>
        <v>0</v>
      </c>
      <c r="H113" s="971"/>
      <c r="I113" s="971"/>
      <c r="J113" s="971"/>
      <c r="K113" s="971"/>
      <c r="L113" s="971"/>
      <c r="M113" s="971"/>
      <c r="N113" s="971"/>
      <c r="O113" s="971"/>
      <c r="P113" s="1559"/>
      <c r="Q113" s="987"/>
    </row>
    <row r="114" spans="1:17" s="615" customFormat="1" ht="14.25" x14ac:dyDescent="0.2">
      <c r="A114" s="1556"/>
      <c r="B114" s="1091" t="s">
        <v>45</v>
      </c>
      <c r="C114" s="1571"/>
      <c r="D114" s="1042">
        <f>SUM(D104:D113)</f>
        <v>1</v>
      </c>
      <c r="E114" s="1042">
        <f>SUM(E104:E113)</f>
        <v>1</v>
      </c>
      <c r="F114" s="1042">
        <f>SUM(F104:F113)</f>
        <v>1</v>
      </c>
      <c r="G114" s="1042">
        <f>SUM(G104:G113)</f>
        <v>1</v>
      </c>
      <c r="H114" s="971"/>
      <c r="I114" s="971"/>
      <c r="J114" s="971"/>
      <c r="K114" s="971"/>
      <c r="L114" s="971"/>
      <c r="M114" s="971"/>
      <c r="N114" s="971"/>
      <c r="O114" s="971"/>
      <c r="P114" s="1559"/>
      <c r="Q114" s="987"/>
    </row>
    <row r="115" spans="1:17" s="615" customFormat="1" ht="57" x14ac:dyDescent="0.2">
      <c r="A115" s="1556"/>
      <c r="B115" s="970" t="s">
        <v>1611</v>
      </c>
      <c r="C115" s="1571"/>
      <c r="D115" s="1043">
        <v>13.110259999999998</v>
      </c>
      <c r="E115" s="1043">
        <v>20.729504567814473</v>
      </c>
      <c r="F115" s="1043">
        <v>27.027899999999999</v>
      </c>
      <c r="G115" s="1044">
        <f t="shared" si="0"/>
        <v>20.729504567814473</v>
      </c>
      <c r="H115" s="971"/>
      <c r="I115" s="971"/>
      <c r="J115" s="971"/>
      <c r="K115" s="971"/>
      <c r="L115" s="971"/>
      <c r="M115" s="971"/>
      <c r="N115" s="971"/>
      <c r="O115" s="971"/>
      <c r="P115" s="1559"/>
      <c r="Q115" s="987"/>
    </row>
    <row r="116" spans="1:17" s="615" customFormat="1" ht="72" customHeight="1" x14ac:dyDescent="0.2">
      <c r="A116" s="1556"/>
      <c r="B116" s="970" t="s">
        <v>1612</v>
      </c>
      <c r="C116" s="1571"/>
      <c r="D116" s="1044">
        <v>126303.11425300999</v>
      </c>
      <c r="E116" s="1044">
        <v>126303.11425300999</v>
      </c>
      <c r="F116" s="1044">
        <v>127115.56083405174</v>
      </c>
      <c r="G116" s="1044">
        <f t="shared" si="0"/>
        <v>126303.11425300999</v>
      </c>
      <c r="H116" s="971"/>
      <c r="I116" s="971"/>
      <c r="J116" s="971"/>
      <c r="K116" s="971"/>
      <c r="L116" s="971"/>
      <c r="M116" s="971"/>
      <c r="N116" s="971"/>
      <c r="O116" s="971"/>
      <c r="P116" s="1559"/>
      <c r="Q116" s="987"/>
    </row>
    <row r="117" spans="1:17" s="615" customFormat="1" ht="45.75" customHeight="1" x14ac:dyDescent="0.2">
      <c r="A117" s="1556"/>
      <c r="B117" s="970" t="s">
        <v>1613</v>
      </c>
      <c r="C117" s="1571"/>
      <c r="D117" s="1584">
        <f>'S2.7 energy recovery calc'!B26</f>
        <v>48</v>
      </c>
      <c r="E117" s="1584"/>
      <c r="F117" s="1584"/>
      <c r="G117" s="1044"/>
      <c r="H117" s="971"/>
      <c r="I117" s="971"/>
      <c r="J117" s="971"/>
      <c r="K117" s="971"/>
      <c r="L117" s="971"/>
      <c r="M117" s="971"/>
      <c r="N117" s="971"/>
      <c r="O117" s="971"/>
      <c r="P117" s="1559"/>
      <c r="Q117" s="987"/>
    </row>
    <row r="118" spans="1:17" s="615" customFormat="1" ht="84" customHeight="1" x14ac:dyDescent="0.2">
      <c r="A118" s="1556"/>
      <c r="B118" s="970" t="s">
        <v>1614</v>
      </c>
      <c r="C118" s="1571"/>
      <c r="D118" s="1584">
        <f>'S2.7 energy recovery calc'!C26</f>
        <v>56100</v>
      </c>
      <c r="E118" s="1584"/>
      <c r="F118" s="1584"/>
      <c r="G118" s="1044"/>
      <c r="H118" s="971"/>
      <c r="I118" s="971"/>
      <c r="J118" s="971"/>
      <c r="K118" s="971"/>
      <c r="L118" s="971"/>
      <c r="M118" s="971"/>
      <c r="N118" s="971"/>
      <c r="O118" s="971"/>
      <c r="P118" s="1559"/>
      <c r="Q118" s="987"/>
    </row>
    <row r="119" spans="1:17" s="615" customFormat="1" ht="85.5" x14ac:dyDescent="0.2">
      <c r="A119" s="1556"/>
      <c r="B119" s="970" t="s">
        <v>1615</v>
      </c>
      <c r="C119" s="1571"/>
      <c r="D119" s="1577">
        <v>0.15</v>
      </c>
      <c r="E119" s="1577"/>
      <c r="F119" s="1577"/>
      <c r="G119" s="1577"/>
      <c r="H119" s="971"/>
      <c r="I119" s="971"/>
      <c r="J119" s="971"/>
      <c r="K119" s="971"/>
      <c r="L119" s="971"/>
      <c r="M119" s="971"/>
      <c r="N119" s="971"/>
      <c r="O119" s="971"/>
      <c r="P119" s="1559"/>
      <c r="Q119" s="987"/>
    </row>
    <row r="120" spans="1:17" s="615" customFormat="1" ht="71.25" x14ac:dyDescent="0.2">
      <c r="A120" s="1556"/>
      <c r="B120" s="970" t="s">
        <v>1616</v>
      </c>
      <c r="C120" s="1571"/>
      <c r="D120" s="1577">
        <v>0.7</v>
      </c>
      <c r="E120" s="1577"/>
      <c r="F120" s="1577"/>
      <c r="G120" s="1577"/>
      <c r="H120" s="971"/>
      <c r="I120" s="971"/>
      <c r="J120" s="971"/>
      <c r="K120" s="971"/>
      <c r="L120" s="971"/>
      <c r="M120" s="971"/>
      <c r="N120" s="971"/>
      <c r="O120" s="971"/>
      <c r="P120" s="1559"/>
      <c r="Q120" s="987"/>
    </row>
    <row r="121" spans="1:17" s="615" customFormat="1" ht="73.900000000000006" customHeight="1" thickBot="1" x14ac:dyDescent="0.25">
      <c r="A121" s="1556"/>
      <c r="B121" s="1216" t="s">
        <v>2002</v>
      </c>
      <c r="C121" s="1045">
        <f>'S2.1.4 Gas_cred'!$E$41</f>
        <v>-0.15603872052500001</v>
      </c>
      <c r="D121" s="1045">
        <f>'S2.1.4 Gas_cred'!$H$41</f>
        <v>-0.81651506070300173</v>
      </c>
      <c r="E121" s="1045">
        <f>'S2.1.4 Gas_cred'!$K$41</f>
        <v>-1.2910463011818367</v>
      </c>
      <c r="F121" s="1045">
        <f>'S2.1.4 Gas_cred'!$N$41</f>
        <v>-1.7052729696060949</v>
      </c>
      <c r="G121" s="1045">
        <f>'S2.1.4 Gas_cred'!$Q$41</f>
        <v>-2.3122046051290681</v>
      </c>
      <c r="H121" s="971"/>
      <c r="I121" s="971"/>
      <c r="J121" s="971"/>
      <c r="K121" s="971"/>
      <c r="L121" s="971"/>
      <c r="M121" s="971"/>
      <c r="N121" s="971"/>
      <c r="O121" s="971"/>
      <c r="P121" s="1559"/>
      <c r="Q121" s="987"/>
    </row>
    <row r="122" spans="1:17" s="616" customFormat="1" ht="35.65" customHeight="1" thickBot="1" x14ac:dyDescent="0.25">
      <c r="A122" s="1021" t="s">
        <v>1609</v>
      </c>
      <c r="B122" s="1046">
        <v>1</v>
      </c>
      <c r="C122" s="964" t="s">
        <v>1666</v>
      </c>
      <c r="D122" s="964"/>
      <c r="E122" s="964"/>
      <c r="F122" s="964"/>
      <c r="G122" s="964"/>
      <c r="H122" s="964"/>
      <c r="I122" s="964"/>
      <c r="J122" s="964"/>
      <c r="K122" s="964"/>
      <c r="L122" s="964"/>
      <c r="M122" s="964"/>
      <c r="N122" s="964"/>
      <c r="O122" s="964"/>
      <c r="P122" s="964" t="s">
        <v>418</v>
      </c>
      <c r="Q122" s="799"/>
    </row>
    <row r="123" spans="1:17" s="614" customFormat="1" ht="73.150000000000006" customHeight="1" thickBot="1" x14ac:dyDescent="0.3">
      <c r="A123" s="1554" t="s">
        <v>11</v>
      </c>
      <c r="B123" s="1554"/>
      <c r="C123" s="1554"/>
      <c r="D123" s="1554"/>
      <c r="E123" s="1554"/>
      <c r="F123" s="1554"/>
      <c r="G123" s="1554"/>
      <c r="H123" s="1554"/>
      <c r="I123" s="1554"/>
      <c r="J123" s="1554"/>
      <c r="K123" s="1554"/>
      <c r="L123" s="1554"/>
      <c r="M123" s="1554"/>
      <c r="N123" s="1554"/>
      <c r="O123" s="1554"/>
      <c r="P123" s="1554"/>
      <c r="Q123" s="184"/>
    </row>
    <row r="124" spans="1:17" s="614" customFormat="1" ht="42" customHeight="1" thickBot="1" x14ac:dyDescent="0.25">
      <c r="A124" s="960" t="s">
        <v>1586</v>
      </c>
      <c r="B124" s="961"/>
      <c r="C124" s="962"/>
      <c r="D124" s="962"/>
      <c r="E124" s="962"/>
      <c r="F124" s="962"/>
      <c r="G124" s="962"/>
      <c r="H124" s="962"/>
      <c r="I124" s="962"/>
      <c r="J124" s="962"/>
      <c r="K124" s="962"/>
      <c r="L124" s="962"/>
      <c r="M124" s="962"/>
      <c r="N124" s="962"/>
      <c r="O124" s="962"/>
      <c r="P124" s="961"/>
      <c r="Q124" s="184"/>
    </row>
    <row r="125" spans="1:17" s="360" customFormat="1" ht="39.4" customHeight="1" thickBot="1" x14ac:dyDescent="0.25">
      <c r="A125" s="1047" t="s">
        <v>1587</v>
      </c>
      <c r="B125" s="1613" t="s">
        <v>1588</v>
      </c>
      <c r="C125" s="1613"/>
      <c r="D125" s="1613"/>
      <c r="E125" s="1613"/>
      <c r="F125" s="1047"/>
      <c r="G125" s="1047"/>
      <c r="H125" s="1047"/>
      <c r="I125" s="1047"/>
      <c r="J125" s="1047"/>
      <c r="K125" s="1047"/>
      <c r="L125" s="1047"/>
      <c r="M125" s="1047"/>
      <c r="N125" s="1047"/>
      <c r="O125" s="1047"/>
      <c r="P125" s="1047" t="s">
        <v>1589</v>
      </c>
      <c r="Q125" s="184"/>
    </row>
    <row r="126" spans="1:17" s="614" customFormat="1" ht="86.25" thickBot="1" x14ac:dyDescent="0.25">
      <c r="A126" s="1062" t="s">
        <v>1618</v>
      </c>
      <c r="B126" s="1049" t="s">
        <v>1619</v>
      </c>
      <c r="C126" s="1049" t="s">
        <v>1620</v>
      </c>
      <c r="D126" s="1049" t="s">
        <v>1621</v>
      </c>
      <c r="E126" s="1050"/>
      <c r="F126" s="1051"/>
      <c r="G126" s="1051"/>
      <c r="H126" s="1051"/>
      <c r="I126" s="1051"/>
      <c r="J126" s="1051"/>
      <c r="K126" s="1051"/>
      <c r="L126" s="1051"/>
      <c r="M126" s="1051"/>
      <c r="N126" s="1051"/>
      <c r="O126" s="1051"/>
      <c r="P126" s="1052" t="s">
        <v>2054</v>
      </c>
      <c r="Q126" s="184"/>
    </row>
    <row r="127" spans="1:17" s="614" customFormat="1" ht="14.25" x14ac:dyDescent="0.2">
      <c r="A127" s="1555" t="s">
        <v>1622</v>
      </c>
      <c r="B127" s="1051" t="s">
        <v>20</v>
      </c>
      <c r="C127" s="1053" t="s">
        <v>1659</v>
      </c>
      <c r="D127" s="1053" t="s">
        <v>1623</v>
      </c>
      <c r="E127" s="1053" t="s">
        <v>1657</v>
      </c>
      <c r="F127" s="999"/>
      <c r="G127" s="999"/>
      <c r="H127" s="999"/>
      <c r="I127" s="999"/>
      <c r="J127" s="999"/>
      <c r="K127" s="999"/>
      <c r="L127" s="999"/>
      <c r="M127" s="999"/>
      <c r="N127" s="999"/>
      <c r="O127" s="999"/>
      <c r="P127" s="1550" t="s">
        <v>1680</v>
      </c>
      <c r="Q127" s="184" t="s">
        <v>3</v>
      </c>
    </row>
    <row r="128" spans="1:17" s="614" customFormat="1" ht="14.25" x14ac:dyDescent="0.2">
      <c r="A128" s="1556"/>
      <c r="B128" s="1054" t="s">
        <v>26</v>
      </c>
      <c r="C128" s="1055" t="s">
        <v>1681</v>
      </c>
      <c r="D128" s="1055" t="s">
        <v>1624</v>
      </c>
      <c r="E128" s="1055" t="s">
        <v>1684</v>
      </c>
      <c r="F128" s="987"/>
      <c r="G128" s="987"/>
      <c r="H128" s="987"/>
      <c r="I128" s="987"/>
      <c r="J128" s="987"/>
      <c r="K128" s="987"/>
      <c r="L128" s="987"/>
      <c r="M128" s="987"/>
      <c r="N128" s="987"/>
      <c r="O128" s="987"/>
      <c r="P128" s="1551"/>
      <c r="Q128" s="184"/>
    </row>
    <row r="129" spans="1:17" s="614" customFormat="1" ht="14.25" x14ac:dyDescent="0.2">
      <c r="A129" s="1556"/>
      <c r="B129" s="1054" t="s">
        <v>27</v>
      </c>
      <c r="C129" s="1055" t="s">
        <v>1682</v>
      </c>
      <c r="D129" s="1055" t="s">
        <v>1625</v>
      </c>
      <c r="E129" s="1055" t="s">
        <v>1683</v>
      </c>
      <c r="F129" s="987"/>
      <c r="G129" s="987"/>
      <c r="H129" s="987"/>
      <c r="I129" s="987"/>
      <c r="J129" s="987"/>
      <c r="K129" s="987"/>
      <c r="L129" s="987"/>
      <c r="M129" s="987"/>
      <c r="N129" s="987"/>
      <c r="O129" s="987"/>
      <c r="P129" s="1551"/>
      <c r="Q129" s="184"/>
    </row>
    <row r="130" spans="1:17" s="614" customFormat="1" thickBot="1" x14ac:dyDescent="0.25">
      <c r="A130" s="1557"/>
      <c r="B130" s="1054" t="s">
        <v>28</v>
      </c>
      <c r="C130" s="1055" t="s">
        <v>1626</v>
      </c>
      <c r="D130" s="1055" t="s">
        <v>1623</v>
      </c>
      <c r="E130" s="1055" t="s">
        <v>1658</v>
      </c>
      <c r="F130" s="1054"/>
      <c r="G130" s="1054"/>
      <c r="H130" s="1054"/>
      <c r="I130" s="1054"/>
      <c r="J130" s="1054"/>
      <c r="K130" s="1054"/>
      <c r="L130" s="1054"/>
      <c r="M130" s="1054"/>
      <c r="N130" s="1054"/>
      <c r="O130" s="1054"/>
      <c r="P130" s="1561"/>
      <c r="Q130" s="184"/>
    </row>
    <row r="131" spans="1:17" s="614" customFormat="1" ht="14.25" x14ac:dyDescent="0.2">
      <c r="A131" s="1555" t="s">
        <v>1627</v>
      </c>
      <c r="B131" s="1051" t="s">
        <v>20</v>
      </c>
      <c r="C131" s="1057" t="s">
        <v>1628</v>
      </c>
      <c r="D131" s="1057" t="s">
        <v>1630</v>
      </c>
      <c r="E131" s="1057" t="s">
        <v>1629</v>
      </c>
      <c r="F131" s="999"/>
      <c r="G131" s="999"/>
      <c r="H131" s="999"/>
      <c r="I131" s="999"/>
      <c r="J131" s="999"/>
      <c r="K131" s="999"/>
      <c r="L131" s="999"/>
      <c r="M131" s="999"/>
      <c r="N131" s="999"/>
      <c r="O131" s="999"/>
      <c r="P131" s="1550" t="s">
        <v>1688</v>
      </c>
      <c r="Q131" s="184"/>
    </row>
    <row r="132" spans="1:17" s="614" customFormat="1" ht="14.25" x14ac:dyDescent="0.2">
      <c r="A132" s="1556"/>
      <c r="B132" s="1054" t="s">
        <v>26</v>
      </c>
      <c r="C132" s="1007" t="s">
        <v>1685</v>
      </c>
      <c r="D132" s="1007" t="s">
        <v>1628</v>
      </c>
      <c r="E132" s="1007" t="s">
        <v>1686</v>
      </c>
      <c r="F132" s="987"/>
      <c r="G132" s="987"/>
      <c r="H132" s="987"/>
      <c r="I132" s="987"/>
      <c r="J132" s="987"/>
      <c r="K132" s="987"/>
      <c r="L132" s="987"/>
      <c r="M132" s="987"/>
      <c r="N132" s="987"/>
      <c r="O132" s="987"/>
      <c r="P132" s="1551"/>
      <c r="Q132" s="184"/>
    </row>
    <row r="133" spans="1:17" s="614" customFormat="1" ht="14.25" x14ac:dyDescent="0.2">
      <c r="A133" s="1556"/>
      <c r="B133" s="1054" t="s">
        <v>27</v>
      </c>
      <c r="C133" s="1007" t="s">
        <v>1628</v>
      </c>
      <c r="D133" s="1007" t="s">
        <v>1630</v>
      </c>
      <c r="E133" s="1007" t="s">
        <v>1629</v>
      </c>
      <c r="F133" s="987"/>
      <c r="G133" s="987"/>
      <c r="H133" s="987"/>
      <c r="I133" s="987"/>
      <c r="J133" s="987"/>
      <c r="K133" s="987"/>
      <c r="L133" s="987"/>
      <c r="M133" s="987"/>
      <c r="N133" s="987"/>
      <c r="O133" s="987"/>
      <c r="P133" s="1551"/>
      <c r="Q133" s="184"/>
    </row>
    <row r="134" spans="1:17" s="614" customFormat="1" thickBot="1" x14ac:dyDescent="0.25">
      <c r="A134" s="1557"/>
      <c r="B134" s="1054" t="s">
        <v>28</v>
      </c>
      <c r="C134" s="1007" t="s">
        <v>1628</v>
      </c>
      <c r="D134" s="1007" t="s">
        <v>1629</v>
      </c>
      <c r="E134" s="1007" t="s">
        <v>1631</v>
      </c>
      <c r="F134" s="1054"/>
      <c r="G134" s="1054"/>
      <c r="H134" s="1054"/>
      <c r="I134" s="1054"/>
      <c r="J134" s="1054"/>
      <c r="K134" s="1054"/>
      <c r="L134" s="1054"/>
      <c r="M134" s="1054"/>
      <c r="N134" s="1054"/>
      <c r="O134" s="1054"/>
      <c r="P134" s="1561"/>
      <c r="Q134" s="184"/>
    </row>
    <row r="135" spans="1:17" s="614" customFormat="1" ht="42.75" x14ac:dyDescent="0.2">
      <c r="A135" s="1578" t="s">
        <v>1870</v>
      </c>
      <c r="B135" s="1069" t="s">
        <v>1407</v>
      </c>
      <c r="C135" s="1092">
        <v>50</v>
      </c>
      <c r="D135" s="1092">
        <f>AVERAGE(C135,E135)</f>
        <v>10025</v>
      </c>
      <c r="E135" s="1092">
        <v>20000</v>
      </c>
      <c r="F135" s="999"/>
      <c r="G135" s="999"/>
      <c r="H135" s="999"/>
      <c r="I135" s="999"/>
      <c r="J135" s="999"/>
      <c r="K135" s="999"/>
      <c r="L135" s="999"/>
      <c r="M135" s="999"/>
      <c r="N135" s="999"/>
      <c r="O135" s="999"/>
      <c r="P135" s="1550" t="s">
        <v>1663</v>
      </c>
      <c r="Q135" s="184"/>
    </row>
    <row r="136" spans="1:17" s="614" customFormat="1" ht="42.75" x14ac:dyDescent="0.2">
      <c r="A136" s="1579"/>
      <c r="B136" s="1073" t="s">
        <v>1408</v>
      </c>
      <c r="C136" s="1093">
        <v>2</v>
      </c>
      <c r="D136" s="1093">
        <f>AVERAGE(C136,E136)</f>
        <v>13.5</v>
      </c>
      <c r="E136" s="1093">
        <v>25</v>
      </c>
      <c r="F136" s="987"/>
      <c r="G136" s="987"/>
      <c r="H136" s="987"/>
      <c r="I136" s="987"/>
      <c r="J136" s="987"/>
      <c r="K136" s="987"/>
      <c r="L136" s="987"/>
      <c r="M136" s="987"/>
      <c r="N136" s="987"/>
      <c r="O136" s="987"/>
      <c r="P136" s="1551"/>
      <c r="Q136" s="184"/>
    </row>
    <row r="137" spans="1:17" s="614" customFormat="1" ht="29.25" thickBot="1" x14ac:dyDescent="0.25">
      <c r="A137" s="1580"/>
      <c r="B137" s="1094" t="s">
        <v>1412</v>
      </c>
      <c r="C137" s="1095">
        <v>3.5000000000000003E-2</v>
      </c>
      <c r="D137" s="1095">
        <f>AVERAGE(C137,E137)</f>
        <v>4.2500000000000003E-2</v>
      </c>
      <c r="E137" s="1095">
        <v>0.05</v>
      </c>
      <c r="F137" s="1054"/>
      <c r="G137" s="1054"/>
      <c r="H137" s="1054"/>
      <c r="I137" s="1054"/>
      <c r="J137" s="1054"/>
      <c r="K137" s="1054"/>
      <c r="L137" s="1054"/>
      <c r="M137" s="1054"/>
      <c r="N137" s="1054"/>
      <c r="O137" s="1054"/>
      <c r="P137" s="1561"/>
      <c r="Q137" s="184"/>
    </row>
    <row r="138" spans="1:17" s="614" customFormat="1" ht="45.75" thickBot="1" x14ac:dyDescent="0.25">
      <c r="A138" s="1058" t="s">
        <v>1814</v>
      </c>
      <c r="B138" s="1096" t="s">
        <v>1662</v>
      </c>
      <c r="C138" s="1097"/>
      <c r="D138" s="1097"/>
      <c r="E138" s="1097"/>
      <c r="F138" s="1051"/>
      <c r="G138" s="1051"/>
      <c r="H138" s="1051"/>
      <c r="I138" s="1051"/>
      <c r="J138" s="1051"/>
      <c r="K138" s="1051"/>
      <c r="L138" s="1051"/>
      <c r="M138" s="1051"/>
      <c r="N138" s="1051"/>
      <c r="O138" s="1051"/>
      <c r="P138" s="1059" t="s">
        <v>1411</v>
      </c>
      <c r="Q138" s="184"/>
    </row>
    <row r="139" spans="1:17" s="614" customFormat="1" ht="30.75" thickBot="1" x14ac:dyDescent="0.3">
      <c r="A139" s="1048" t="s">
        <v>1632</v>
      </c>
      <c r="B139" s="1060" t="s">
        <v>1633</v>
      </c>
      <c r="C139" s="1053"/>
      <c r="D139" s="1053"/>
      <c r="E139" s="1053"/>
      <c r="F139" s="1051"/>
      <c r="G139" s="1051"/>
      <c r="H139" s="1051"/>
      <c r="I139" s="1051"/>
      <c r="J139" s="1051"/>
      <c r="K139" s="1051"/>
      <c r="L139" s="1051"/>
      <c r="M139" s="1051"/>
      <c r="N139" s="1051"/>
      <c r="O139" s="1051"/>
      <c r="P139" s="1061" t="s">
        <v>1664</v>
      </c>
      <c r="Q139" s="184"/>
    </row>
    <row r="140" spans="1:17" s="614" customFormat="1" ht="60.75" customHeight="1" thickBot="1" x14ac:dyDescent="0.25">
      <c r="A140" s="1062" t="s">
        <v>1660</v>
      </c>
      <c r="B140" s="1060" t="s">
        <v>1661</v>
      </c>
      <c r="C140" s="1053"/>
      <c r="D140" s="1053"/>
      <c r="E140" s="1053"/>
      <c r="F140" s="1051"/>
      <c r="G140" s="1051"/>
      <c r="H140" s="1051"/>
      <c r="I140" s="1051"/>
      <c r="J140" s="1051"/>
      <c r="K140" s="1051"/>
      <c r="L140" s="1051"/>
      <c r="M140" s="1051"/>
      <c r="N140" s="1051"/>
      <c r="O140" s="1051"/>
      <c r="P140" s="1061" t="s">
        <v>1665</v>
      </c>
      <c r="Q140" s="184"/>
    </row>
    <row r="141" spans="1:17" s="360" customFormat="1" ht="71.25" x14ac:dyDescent="0.2">
      <c r="A141" s="1555" t="s">
        <v>1597</v>
      </c>
      <c r="B141" s="966" t="s">
        <v>1642</v>
      </c>
      <c r="C141" s="964" t="s">
        <v>1634</v>
      </c>
      <c r="D141" s="964"/>
      <c r="E141" s="999"/>
      <c r="F141" s="999"/>
      <c r="G141" s="999"/>
      <c r="H141" s="999"/>
      <c r="I141" s="999"/>
      <c r="J141" s="999"/>
      <c r="K141" s="999"/>
      <c r="L141" s="999"/>
      <c r="M141" s="999"/>
      <c r="N141" s="999"/>
      <c r="O141" s="999"/>
      <c r="P141" s="1550" t="s">
        <v>1871</v>
      </c>
      <c r="Q141" s="184"/>
    </row>
    <row r="142" spans="1:17" s="360" customFormat="1" ht="14.25" x14ac:dyDescent="0.2">
      <c r="A142" s="1556"/>
      <c r="B142" s="967" t="s">
        <v>1643</v>
      </c>
      <c r="C142" s="971" t="str">
        <f>C57</f>
        <v>zeolite</v>
      </c>
      <c r="D142" s="1063"/>
      <c r="E142" s="987"/>
      <c r="F142" s="987"/>
      <c r="G142" s="987"/>
      <c r="H142" s="987"/>
      <c r="I142" s="987"/>
      <c r="J142" s="987"/>
      <c r="K142" s="987"/>
      <c r="L142" s="987"/>
      <c r="M142" s="987"/>
      <c r="N142" s="987"/>
      <c r="O142" s="987"/>
      <c r="P142" s="1551"/>
      <c r="Q142" s="184"/>
    </row>
    <row r="143" spans="1:17" s="360" customFormat="1" ht="29.25" thickBot="1" x14ac:dyDescent="0.25">
      <c r="A143" s="1557"/>
      <c r="B143" s="983" t="s">
        <v>1644</v>
      </c>
      <c r="C143" s="981" t="str">
        <f>C58</f>
        <v>0.03 kg / kg input</v>
      </c>
      <c r="D143" s="1064"/>
      <c r="E143" s="1054"/>
      <c r="F143" s="1054"/>
      <c r="G143" s="1054"/>
      <c r="H143" s="1054"/>
      <c r="I143" s="1054"/>
      <c r="J143" s="1054"/>
      <c r="K143" s="1054"/>
      <c r="L143" s="1054"/>
      <c r="M143" s="1054"/>
      <c r="N143" s="1054"/>
      <c r="O143" s="1054"/>
      <c r="P143" s="1561"/>
      <c r="Q143" s="184"/>
    </row>
    <row r="144" spans="1:17" s="614" customFormat="1" ht="46.5" customHeight="1" thickBot="1" x14ac:dyDescent="0.25">
      <c r="A144" s="960" t="s">
        <v>1370</v>
      </c>
      <c r="B144" s="961"/>
      <c r="C144" s="962"/>
      <c r="D144" s="962"/>
      <c r="E144" s="962"/>
      <c r="F144" s="962"/>
      <c r="G144" s="962"/>
      <c r="H144" s="962"/>
      <c r="I144" s="962"/>
      <c r="J144" s="962"/>
      <c r="K144" s="962"/>
      <c r="L144" s="962"/>
      <c r="M144" s="962"/>
      <c r="N144" s="962"/>
      <c r="O144" s="962"/>
      <c r="P144" s="961"/>
      <c r="Q144" s="184"/>
    </row>
    <row r="145" spans="1:17" s="360" customFormat="1" ht="39.4" customHeight="1" thickBot="1" x14ac:dyDescent="0.25">
      <c r="A145" s="1047" t="s">
        <v>1587</v>
      </c>
      <c r="B145" s="1613" t="s">
        <v>1588</v>
      </c>
      <c r="C145" s="1613"/>
      <c r="D145" s="1613"/>
      <c r="E145" s="1613"/>
      <c r="F145" s="1047"/>
      <c r="G145" s="1047"/>
      <c r="H145" s="1047"/>
      <c r="I145" s="1047"/>
      <c r="J145" s="1047"/>
      <c r="K145" s="1047"/>
      <c r="L145" s="1047"/>
      <c r="M145" s="1047"/>
      <c r="N145" s="1047"/>
      <c r="O145" s="1047"/>
      <c r="P145" s="1047" t="s">
        <v>1589</v>
      </c>
      <c r="Q145" s="184"/>
    </row>
    <row r="146" spans="1:17" s="614" customFormat="1" ht="14.25" customHeight="1" x14ac:dyDescent="0.2">
      <c r="A146" s="1555" t="s">
        <v>1371</v>
      </c>
      <c r="B146" s="1065" t="str">
        <f>'S2.3.3 Depoly_cred'!B6</f>
        <v>PET</v>
      </c>
      <c r="C146" s="1066">
        <f>'S2.3.3 Depoly_cred'!C6</f>
        <v>1.323</v>
      </c>
      <c r="D146" s="1581" t="s">
        <v>1666</v>
      </c>
      <c r="E146" s="999"/>
      <c r="F146" s="999"/>
      <c r="G146" s="999"/>
      <c r="H146" s="999"/>
      <c r="I146" s="999"/>
      <c r="J146" s="999"/>
      <c r="K146" s="999"/>
      <c r="L146" s="999"/>
      <c r="M146" s="999"/>
      <c r="N146" s="999"/>
      <c r="O146" s="999"/>
      <c r="P146" s="1434" t="s">
        <v>1901</v>
      </c>
      <c r="Q146" s="184"/>
    </row>
    <row r="147" spans="1:17" s="614" customFormat="1" ht="14.25" x14ac:dyDescent="0.2">
      <c r="A147" s="1556"/>
      <c r="B147" s="1006" t="str">
        <f>'S2.3.3 Depoly_cred'!B7</f>
        <v>PA</v>
      </c>
      <c r="C147" s="990">
        <f>'S2.3.3 Depoly_cred'!C7</f>
        <v>1</v>
      </c>
      <c r="D147" s="1582"/>
      <c r="E147" s="987"/>
      <c r="F147" s="987"/>
      <c r="G147" s="987"/>
      <c r="H147" s="987"/>
      <c r="I147" s="987"/>
      <c r="J147" s="987"/>
      <c r="K147" s="987"/>
      <c r="L147" s="987"/>
      <c r="M147" s="987"/>
      <c r="N147" s="987"/>
      <c r="O147" s="987"/>
      <c r="P147" s="1562"/>
      <c r="Q147" s="184"/>
    </row>
    <row r="148" spans="1:17" s="614" customFormat="1" ht="14.25" x14ac:dyDescent="0.2">
      <c r="A148" s="1556"/>
      <c r="B148" s="1006" t="str">
        <f>'S2.3.3 Depoly_cred'!B8</f>
        <v>PC</v>
      </c>
      <c r="C148" s="990">
        <f>'S2.3.3 Depoly_cred'!C8</f>
        <v>1.24</v>
      </c>
      <c r="D148" s="1582"/>
      <c r="E148" s="987"/>
      <c r="F148" s="987"/>
      <c r="G148" s="987"/>
      <c r="H148" s="987"/>
      <c r="I148" s="987"/>
      <c r="J148" s="987"/>
      <c r="K148" s="987"/>
      <c r="L148" s="987"/>
      <c r="M148" s="987"/>
      <c r="N148" s="987"/>
      <c r="O148" s="987"/>
      <c r="P148" s="1562"/>
      <c r="Q148" s="184"/>
    </row>
    <row r="149" spans="1:17" s="614" customFormat="1" thickBot="1" x14ac:dyDescent="0.25">
      <c r="A149" s="1557"/>
      <c r="B149" s="1067" t="str">
        <f>'S2.3.3 Depoly_cred'!B9</f>
        <v>PUR</v>
      </c>
      <c r="C149" s="1007">
        <f>'S2.3.3 Depoly_cred'!C9</f>
        <v>1.1987179487179487</v>
      </c>
      <c r="D149" s="1583"/>
      <c r="E149" s="1054"/>
      <c r="F149" s="1054"/>
      <c r="G149" s="1054"/>
      <c r="H149" s="1054"/>
      <c r="I149" s="1054"/>
      <c r="J149" s="1054"/>
      <c r="K149" s="1054"/>
      <c r="L149" s="1054"/>
      <c r="M149" s="1054"/>
      <c r="N149" s="1054"/>
      <c r="O149" s="1054"/>
      <c r="P149" s="1563"/>
      <c r="Q149" s="184"/>
    </row>
    <row r="150" spans="1:17" s="614" customFormat="1" ht="11.65" customHeight="1" x14ac:dyDescent="0.2">
      <c r="A150" s="1555" t="s">
        <v>1601</v>
      </c>
      <c r="B150" s="1574"/>
      <c r="C150" s="1574"/>
      <c r="D150" s="1051" t="str">
        <f>'S2.3.3 Depoly_cred'!D12</f>
        <v>low</v>
      </c>
      <c r="E150" s="1051" t="str">
        <f>'S2.3.3 Depoly_cred'!E12</f>
        <v>intermediate</v>
      </c>
      <c r="F150" s="1051" t="str">
        <f>'S2.3.3 Depoly_cred'!F12</f>
        <v>high</v>
      </c>
      <c r="G150" s="1065"/>
      <c r="H150" s="1065"/>
      <c r="I150" s="1065"/>
      <c r="J150" s="999"/>
      <c r="K150" s="999"/>
      <c r="L150" s="999"/>
      <c r="M150" s="999"/>
      <c r="N150" s="999"/>
      <c r="O150" s="999"/>
      <c r="P150" s="1434" t="s">
        <v>1898</v>
      </c>
      <c r="Q150" s="184"/>
    </row>
    <row r="151" spans="1:17" s="614" customFormat="1" ht="42.75" x14ac:dyDescent="0.2">
      <c r="A151" s="1556"/>
      <c r="B151" s="1575" t="str">
        <f>'S2.3.3 Depoly_cred'!B13</f>
        <v>PET</v>
      </c>
      <c r="C151" s="968" t="str">
        <f>'S2.3.3 Depoly_cred'!C13</f>
        <v>target product yield</v>
      </c>
      <c r="D151" s="992">
        <f>'S2.3.3 Depoly_cred'!D13</f>
        <v>0.79</v>
      </c>
      <c r="E151" s="992">
        <f>'S2.3.3 Depoly_cred'!E13</f>
        <v>0.83450000000000002</v>
      </c>
      <c r="F151" s="992">
        <f>'S2.3.3 Depoly_cred'!F13</f>
        <v>0.91500000000000004</v>
      </c>
      <c r="G151" s="1006"/>
      <c r="H151" s="1006"/>
      <c r="I151" s="1006"/>
      <c r="J151" s="987"/>
      <c r="K151" s="987"/>
      <c r="L151" s="987"/>
      <c r="M151" s="987"/>
      <c r="N151" s="987"/>
      <c r="O151" s="987"/>
      <c r="P151" s="1562"/>
      <c r="Q151" s="184"/>
    </row>
    <row r="152" spans="1:17" s="614" customFormat="1" ht="28.5" x14ac:dyDescent="0.2">
      <c r="A152" s="1556"/>
      <c r="B152" s="1575">
        <f>'S2.3.3 Depoly_cred'!B14</f>
        <v>0</v>
      </c>
      <c r="C152" s="968" t="str">
        <f>'S2.3.3 Depoly_cred'!C14</f>
        <v>liquid residue</v>
      </c>
      <c r="D152" s="992">
        <f>'S2.3.3 Depoly_cred'!D14</f>
        <v>0.18499999999999997</v>
      </c>
      <c r="E152" s="992">
        <f>'S2.3.3 Depoly_cred'!E14</f>
        <v>0.14049999999999999</v>
      </c>
      <c r="F152" s="992">
        <f>'S2.3.3 Depoly_cred'!F14</f>
        <v>5.9999999999999963E-2</v>
      </c>
      <c r="G152" s="1006"/>
      <c r="H152" s="1006"/>
      <c r="I152" s="1006"/>
      <c r="J152" s="987"/>
      <c r="K152" s="987"/>
      <c r="L152" s="987"/>
      <c r="M152" s="987"/>
      <c r="N152" s="987"/>
      <c r="O152" s="987"/>
      <c r="P152" s="1562"/>
      <c r="Q152" s="184"/>
    </row>
    <row r="153" spans="1:17" s="614" customFormat="1" ht="28.5" x14ac:dyDescent="0.2">
      <c r="A153" s="1556"/>
      <c r="B153" s="1576">
        <f>'S2.3.3 Depoly_cred'!B15</f>
        <v>0</v>
      </c>
      <c r="C153" s="1098" t="str">
        <f>'S2.3.3 Depoly_cred'!C15</f>
        <v>solid residue</v>
      </c>
      <c r="D153" s="1099">
        <f>'S2.3.3 Depoly_cred'!D15</f>
        <v>2.5000000000000001E-2</v>
      </c>
      <c r="E153" s="1099">
        <f>'S2.3.3 Depoly_cred'!E15</f>
        <v>2.5000000000000001E-2</v>
      </c>
      <c r="F153" s="1099">
        <f>'S2.3.3 Depoly_cred'!F15</f>
        <v>2.5000000000000001E-2</v>
      </c>
      <c r="G153" s="1006"/>
      <c r="H153" s="1006"/>
      <c r="I153" s="1006"/>
      <c r="J153" s="987"/>
      <c r="K153" s="987"/>
      <c r="L153" s="987"/>
      <c r="M153" s="987"/>
      <c r="N153" s="987"/>
      <c r="O153" s="987"/>
      <c r="P153" s="1562"/>
      <c r="Q153" s="184"/>
    </row>
    <row r="154" spans="1:17" s="614" customFormat="1" ht="42.75" x14ac:dyDescent="0.2">
      <c r="A154" s="1556"/>
      <c r="B154" s="1575" t="str">
        <f>'S2.3.3 Depoly_cred'!B16</f>
        <v>PA</v>
      </c>
      <c r="C154" s="968" t="str">
        <f>'S2.3.3 Depoly_cred'!C16</f>
        <v>target product yield</v>
      </c>
      <c r="D154" s="992">
        <f>'S2.3.3 Depoly_cred'!D16</f>
        <v>0.81414020371479934</v>
      </c>
      <c r="E154" s="992">
        <f>'S2.3.3 Depoly_cred'!E16</f>
        <v>0.86</v>
      </c>
      <c r="F154" s="992">
        <f>'S2.3.3 Depoly_cred'!F16</f>
        <v>0.94295985620131817</v>
      </c>
      <c r="G154" s="1006"/>
      <c r="H154" s="1006"/>
      <c r="I154" s="1006"/>
      <c r="J154" s="987"/>
      <c r="K154" s="987"/>
      <c r="L154" s="987"/>
      <c r="M154" s="987"/>
      <c r="N154" s="987"/>
      <c r="O154" s="987"/>
      <c r="P154" s="1562"/>
      <c r="Q154" s="184"/>
    </row>
    <row r="155" spans="1:17" s="614" customFormat="1" ht="28.5" x14ac:dyDescent="0.2">
      <c r="A155" s="1556"/>
      <c r="B155" s="1575">
        <f>'S2.3.3 Depoly_cred'!B17</f>
        <v>0</v>
      </c>
      <c r="C155" s="968" t="str">
        <f>'S2.3.3 Depoly_cred'!C17</f>
        <v>liquid residue</v>
      </c>
      <c r="D155" s="992">
        <f>'S2.3.3 Depoly_cred'!D17</f>
        <v>0.16085979628520067</v>
      </c>
      <c r="E155" s="992">
        <f>'S2.3.3 Depoly_cred'!E17</f>
        <v>0.11500000000000002</v>
      </c>
      <c r="F155" s="992">
        <f>'S2.3.3 Depoly_cred'!F17</f>
        <v>3.2040143798681829E-2</v>
      </c>
      <c r="G155" s="1006"/>
      <c r="H155" s="1006"/>
      <c r="I155" s="1006"/>
      <c r="J155" s="987"/>
      <c r="K155" s="987"/>
      <c r="L155" s="987"/>
      <c r="M155" s="987"/>
      <c r="N155" s="987"/>
      <c r="O155" s="987"/>
      <c r="P155" s="1562"/>
      <c r="Q155" s="184"/>
    </row>
    <row r="156" spans="1:17" s="614" customFormat="1" ht="28.5" x14ac:dyDescent="0.2">
      <c r="A156" s="1556"/>
      <c r="B156" s="1576">
        <f>'S2.3.3 Depoly_cred'!B18</f>
        <v>0</v>
      </c>
      <c r="C156" s="1098" t="str">
        <f>'S2.3.3 Depoly_cred'!C18</f>
        <v>solid residue</v>
      </c>
      <c r="D156" s="1099">
        <f>'S2.3.3 Depoly_cred'!D18</f>
        <v>2.5000000000000001E-2</v>
      </c>
      <c r="E156" s="1099">
        <f>'S2.3.3 Depoly_cred'!E18</f>
        <v>2.5000000000000001E-2</v>
      </c>
      <c r="F156" s="1099">
        <f>'S2.3.3 Depoly_cred'!F18</f>
        <v>2.5000000000000001E-2</v>
      </c>
      <c r="G156" s="1006"/>
      <c r="H156" s="1006"/>
      <c r="I156" s="1006"/>
      <c r="J156" s="987"/>
      <c r="K156" s="987"/>
      <c r="L156" s="987"/>
      <c r="M156" s="987"/>
      <c r="N156" s="987"/>
      <c r="O156" s="987"/>
      <c r="P156" s="1562"/>
      <c r="Q156" s="184"/>
    </row>
    <row r="157" spans="1:17" s="614" customFormat="1" ht="42.75" x14ac:dyDescent="0.2">
      <c r="A157" s="1556"/>
      <c r="B157" s="1575" t="str">
        <f>'S2.3.3 Depoly_cred'!B19</f>
        <v>PC</v>
      </c>
      <c r="C157" s="968" t="str">
        <f>'S2.3.3 Depoly_cred'!C19</f>
        <v>target product yield</v>
      </c>
      <c r="D157" s="992">
        <f>'S2.3.3 Depoly_cred'!D19</f>
        <v>0.81451887357699215</v>
      </c>
      <c r="E157" s="992">
        <f>'S2.3.3 Depoly_cred'!E19</f>
        <v>0.86039999999999994</v>
      </c>
      <c r="F157" s="992">
        <f>'S2.3.3 Depoly_cred'!F19</f>
        <v>0.94339844218094659</v>
      </c>
      <c r="G157" s="1006"/>
      <c r="H157" s="1006"/>
      <c r="I157" s="1006"/>
      <c r="J157" s="987"/>
      <c r="K157" s="987"/>
      <c r="L157" s="987"/>
      <c r="M157" s="987"/>
      <c r="N157" s="987"/>
      <c r="O157" s="987"/>
      <c r="P157" s="1562"/>
      <c r="Q157" s="184"/>
    </row>
    <row r="158" spans="1:17" s="614" customFormat="1" ht="28.5" x14ac:dyDescent="0.2">
      <c r="A158" s="1556"/>
      <c r="B158" s="1575">
        <f>'S2.3.3 Depoly_cred'!B20</f>
        <v>0</v>
      </c>
      <c r="C158" s="968" t="str">
        <f>'S2.3.3 Depoly_cred'!C20</f>
        <v>liquid residue</v>
      </c>
      <c r="D158" s="992">
        <f>'S2.3.3 Depoly_cred'!D20</f>
        <v>0.16048112642300785</v>
      </c>
      <c r="E158" s="992">
        <f>'S2.3.3 Depoly_cred'!E20</f>
        <v>0.11460000000000006</v>
      </c>
      <c r="F158" s="992">
        <f>'S2.3.3 Depoly_cred'!F20</f>
        <v>3.1601557819053404E-2</v>
      </c>
      <c r="G158" s="1006"/>
      <c r="H158" s="1006"/>
      <c r="I158" s="1006"/>
      <c r="J158" s="987"/>
      <c r="K158" s="987"/>
      <c r="L158" s="987"/>
      <c r="M158" s="987"/>
      <c r="N158" s="987"/>
      <c r="O158" s="987"/>
      <c r="P158" s="1562"/>
      <c r="Q158" s="184"/>
    </row>
    <row r="159" spans="1:17" s="614" customFormat="1" ht="28.5" x14ac:dyDescent="0.2">
      <c r="A159" s="1556"/>
      <c r="B159" s="1576">
        <f>'S2.3.3 Depoly_cred'!B21</f>
        <v>0</v>
      </c>
      <c r="C159" s="1098" t="str">
        <f>'S2.3.3 Depoly_cred'!C21</f>
        <v>solid residue</v>
      </c>
      <c r="D159" s="1099">
        <f>'S2.3.3 Depoly_cred'!D21</f>
        <v>2.5000000000000001E-2</v>
      </c>
      <c r="E159" s="1099">
        <f>'S2.3.3 Depoly_cred'!E21</f>
        <v>2.5000000000000001E-2</v>
      </c>
      <c r="F159" s="1099">
        <f>'S2.3.3 Depoly_cred'!F21</f>
        <v>2.5000000000000001E-2</v>
      </c>
      <c r="G159" s="1006"/>
      <c r="H159" s="1006"/>
      <c r="I159" s="1006"/>
      <c r="J159" s="987"/>
      <c r="K159" s="987"/>
      <c r="L159" s="987"/>
      <c r="M159" s="987"/>
      <c r="N159" s="987"/>
      <c r="O159" s="987"/>
      <c r="P159" s="1562"/>
      <c r="Q159" s="184"/>
    </row>
    <row r="160" spans="1:17" s="614" customFormat="1" ht="42.75" x14ac:dyDescent="0.2">
      <c r="A160" s="1556"/>
      <c r="B160" s="1575" t="str">
        <f>'S2.3.3 Depoly_cred'!B22</f>
        <v>PUR</v>
      </c>
      <c r="C160" s="968" t="str">
        <f>'S2.3.3 Depoly_cred'!C22</f>
        <v>target product yield</v>
      </c>
      <c r="D160" s="992">
        <f>'S2.3.3 Depoly_cred'!D22</f>
        <v>0.68925000000000014</v>
      </c>
      <c r="E160" s="992">
        <f>'S2.3.3 Depoly_cred'!E22</f>
        <v>0.79400000000000004</v>
      </c>
      <c r="F160" s="992">
        <f>'S2.3.3 Depoly_cred'!F22</f>
        <v>0.82374999999999998</v>
      </c>
      <c r="G160" s="1006"/>
      <c r="H160" s="1006"/>
      <c r="I160" s="1006"/>
      <c r="J160" s="987"/>
      <c r="K160" s="987"/>
      <c r="L160" s="987"/>
      <c r="M160" s="987"/>
      <c r="N160" s="987"/>
      <c r="O160" s="987"/>
      <c r="P160" s="1562"/>
      <c r="Q160" s="184"/>
    </row>
    <row r="161" spans="1:17" s="614" customFormat="1" ht="28.5" x14ac:dyDescent="0.2">
      <c r="A161" s="1556"/>
      <c r="B161" s="1575">
        <f>'S2.3.3 Depoly_cred'!B23</f>
        <v>0</v>
      </c>
      <c r="C161" s="968" t="str">
        <f>'S2.3.3 Depoly_cred'!C23</f>
        <v>liquid residue</v>
      </c>
      <c r="D161" s="992">
        <f>'S2.3.3 Depoly_cred'!D23</f>
        <v>0.28574999999999984</v>
      </c>
      <c r="E161" s="992">
        <f>'S2.3.3 Depoly_cred'!E23</f>
        <v>0.18099999999999997</v>
      </c>
      <c r="F161" s="992">
        <f>'S2.3.3 Depoly_cred'!F23</f>
        <v>0.15125000000000002</v>
      </c>
      <c r="G161" s="1006"/>
      <c r="H161" s="1006"/>
      <c r="I161" s="1006"/>
      <c r="J161" s="987"/>
      <c r="K161" s="987"/>
      <c r="L161" s="987"/>
      <c r="M161" s="987"/>
      <c r="N161" s="987"/>
      <c r="O161" s="987"/>
      <c r="P161" s="1562"/>
      <c r="Q161" s="184"/>
    </row>
    <row r="162" spans="1:17" s="614" customFormat="1" ht="29.25" thickBot="1" x14ac:dyDescent="0.25">
      <c r="A162" s="1556"/>
      <c r="B162" s="1575">
        <f>'S2.3.3 Depoly_cred'!B24</f>
        <v>0</v>
      </c>
      <c r="C162" s="968" t="str">
        <f>'S2.3.3 Depoly_cred'!C24</f>
        <v>solid residue</v>
      </c>
      <c r="D162" s="1100">
        <f>'S2.3.3 Depoly_cred'!D24</f>
        <v>2.5000000000000001E-2</v>
      </c>
      <c r="E162" s="1100">
        <f>'S2.3.3 Depoly_cred'!E24</f>
        <v>2.5000000000000001E-2</v>
      </c>
      <c r="F162" s="1100">
        <f>'S2.3.3 Depoly_cred'!F24</f>
        <v>2.5000000000000001E-2</v>
      </c>
      <c r="G162" s="1006"/>
      <c r="H162" s="1006"/>
      <c r="I162" s="1006"/>
      <c r="J162" s="987"/>
      <c r="K162" s="987"/>
      <c r="L162" s="987"/>
      <c r="M162" s="987"/>
      <c r="N162" s="987"/>
      <c r="O162" s="987"/>
      <c r="P162" s="1562"/>
      <c r="Q162" s="184"/>
    </row>
    <row r="163" spans="1:17" s="614" customFormat="1" x14ac:dyDescent="0.25">
      <c r="A163" s="1555" t="s">
        <v>1635</v>
      </c>
      <c r="B163" s="1101"/>
      <c r="C163" s="1102"/>
      <c r="D163" s="1103" t="s">
        <v>1147</v>
      </c>
      <c r="E163" s="1103" t="s">
        <v>1148</v>
      </c>
      <c r="F163" s="1104"/>
      <c r="G163" s="1065"/>
      <c r="H163" s="1065"/>
      <c r="I163" s="1065"/>
      <c r="J163" s="999"/>
      <c r="K163" s="999"/>
      <c r="L163" s="999"/>
      <c r="M163" s="999"/>
      <c r="N163" s="999"/>
      <c r="O163" s="999"/>
      <c r="P163" s="1550" t="s">
        <v>1668</v>
      </c>
      <c r="Q163" s="184"/>
    </row>
    <row r="164" spans="1:17" s="614" customFormat="1" x14ac:dyDescent="0.25">
      <c r="A164" s="1556"/>
      <c r="B164" s="996" t="s">
        <v>20</v>
      </c>
      <c r="C164" s="1105" t="s">
        <v>948</v>
      </c>
      <c r="D164" s="1106">
        <f>'S2.3.3 Depoly_cred'!D28</f>
        <v>2.1965609148929963</v>
      </c>
      <c r="E164" s="1106">
        <f>'S2.3.3 Depoly_cred'!E28</f>
        <v>1.313715773120038</v>
      </c>
      <c r="F164" s="1107"/>
      <c r="G164" s="1006"/>
      <c r="H164" s="1006"/>
      <c r="I164" s="1006"/>
      <c r="J164" s="987"/>
      <c r="K164" s="987"/>
      <c r="L164" s="987"/>
      <c r="M164" s="987"/>
      <c r="N164" s="987"/>
      <c r="O164" s="987"/>
      <c r="P164" s="1551"/>
      <c r="Q164" s="184"/>
    </row>
    <row r="165" spans="1:17" s="614" customFormat="1" x14ac:dyDescent="0.25">
      <c r="A165" s="1556"/>
      <c r="B165" s="996" t="s">
        <v>26</v>
      </c>
      <c r="C165" s="1105" t="s">
        <v>1365</v>
      </c>
      <c r="D165" s="1106">
        <f>'S2.3.3 Depoly_cred'!D34</f>
        <v>2.1835079739697818</v>
      </c>
      <c r="E165" s="1106">
        <f>'S2.3.3 Depoly_cred'!E34</f>
        <v>1.4051257568895341</v>
      </c>
      <c r="F165" s="1107"/>
      <c r="G165" s="1006"/>
      <c r="H165" s="1006"/>
      <c r="I165" s="1006"/>
      <c r="J165" s="987"/>
      <c r="K165" s="987"/>
      <c r="L165" s="987"/>
      <c r="M165" s="987"/>
      <c r="N165" s="987"/>
      <c r="O165" s="987"/>
      <c r="P165" s="1551"/>
      <c r="Q165" s="184"/>
    </row>
    <row r="166" spans="1:17" s="614" customFormat="1" x14ac:dyDescent="0.25">
      <c r="A166" s="1556"/>
      <c r="B166" s="996" t="s">
        <v>27</v>
      </c>
      <c r="C166" s="1105" t="s">
        <v>1378</v>
      </c>
      <c r="D166" s="1106">
        <f>'S2.3.3 Depoly_cred'!D35</f>
        <v>1.8234331603469927</v>
      </c>
      <c r="E166" s="1106">
        <f>'S2.3.3 Depoly_cred'!E35</f>
        <v>1.4920513014150596</v>
      </c>
      <c r="F166" s="1107"/>
      <c r="G166" s="1006"/>
      <c r="H166" s="1006"/>
      <c r="I166" s="1006"/>
      <c r="J166" s="987"/>
      <c r="K166" s="987"/>
      <c r="L166" s="987"/>
      <c r="M166" s="987"/>
      <c r="N166" s="987"/>
      <c r="O166" s="987"/>
      <c r="P166" s="1551"/>
      <c r="Q166" s="184"/>
    </row>
    <row r="167" spans="1:17" s="614" customFormat="1" ht="15.75" thickBot="1" x14ac:dyDescent="0.3">
      <c r="A167" s="1556"/>
      <c r="B167" s="993" t="s">
        <v>28</v>
      </c>
      <c r="C167" s="1087" t="s">
        <v>1667</v>
      </c>
      <c r="D167" s="1108">
        <f>'S2.3.3 Depoly_cred'!D36</f>
        <v>3.8417876166990474</v>
      </c>
      <c r="E167" s="1108">
        <f>'S2.3.3 Depoly_cred'!E36</f>
        <v>2.4678294022961467</v>
      </c>
      <c r="F167" s="1107"/>
      <c r="G167" s="1006"/>
      <c r="H167" s="1006"/>
      <c r="I167" s="1006"/>
      <c r="J167" s="987"/>
      <c r="K167" s="987"/>
      <c r="L167" s="987"/>
      <c r="M167" s="987"/>
      <c r="N167" s="987"/>
      <c r="O167" s="987"/>
      <c r="P167" s="1551"/>
      <c r="Q167" s="184"/>
    </row>
    <row r="168" spans="1:17" s="614" customFormat="1" ht="14.25" customHeight="1" x14ac:dyDescent="0.25">
      <c r="A168" s="1555" t="s">
        <v>1636</v>
      </c>
      <c r="B168" s="1011"/>
      <c r="C168" s="1109" t="s">
        <v>1147</v>
      </c>
      <c r="D168" s="1109" t="s">
        <v>1148</v>
      </c>
      <c r="E168" s="1110"/>
      <c r="F168" s="1104"/>
      <c r="G168" s="1065"/>
      <c r="H168" s="1065"/>
      <c r="I168" s="1065"/>
      <c r="J168" s="999"/>
      <c r="K168" s="999"/>
      <c r="L168" s="999"/>
      <c r="M168" s="999"/>
      <c r="N168" s="999"/>
      <c r="O168" s="999"/>
      <c r="P168" s="1550" t="s">
        <v>2058</v>
      </c>
      <c r="Q168" s="184"/>
    </row>
    <row r="169" spans="1:17" s="614" customFormat="1" ht="57.75" thickBot="1" x14ac:dyDescent="0.3">
      <c r="A169" s="1556"/>
      <c r="B169" s="1079" t="s">
        <v>1576</v>
      </c>
      <c r="C169" s="1111">
        <f>'S2.3.3 Depoly_cred'!$D$39</f>
        <v>0.46142804650279923</v>
      </c>
      <c r="D169" s="1112">
        <f>'S2.3.3 Depoly_cred'!$D$40</f>
        <v>-2.4761830453137383</v>
      </c>
      <c r="E169" s="1107"/>
      <c r="F169" s="1107"/>
      <c r="G169" s="1006"/>
      <c r="H169" s="1006"/>
      <c r="I169" s="1006"/>
      <c r="J169" s="987"/>
      <c r="K169" s="987"/>
      <c r="L169" s="987"/>
      <c r="M169" s="987"/>
      <c r="N169" s="987"/>
      <c r="O169" s="987"/>
      <c r="P169" s="1551"/>
      <c r="Q169" s="184"/>
    </row>
    <row r="170" spans="1:17" s="614" customFormat="1" ht="14.25" customHeight="1" x14ac:dyDescent="0.25">
      <c r="A170" s="1555" t="s">
        <v>1637</v>
      </c>
      <c r="B170" s="1011"/>
      <c r="C170" s="1109" t="s">
        <v>1147</v>
      </c>
      <c r="D170" s="1109" t="s">
        <v>1148</v>
      </c>
      <c r="E170" s="1104"/>
      <c r="F170" s="1104"/>
      <c r="G170" s="1065"/>
      <c r="H170" s="1065"/>
      <c r="I170" s="1065"/>
      <c r="J170" s="999"/>
      <c r="K170" s="999"/>
      <c r="L170" s="999"/>
      <c r="M170" s="999"/>
      <c r="N170" s="999"/>
      <c r="O170" s="999"/>
      <c r="P170" s="1550" t="s">
        <v>1669</v>
      </c>
      <c r="Q170" s="184"/>
    </row>
    <row r="171" spans="1:17" s="614" customFormat="1" ht="57.75" thickBot="1" x14ac:dyDescent="0.3">
      <c r="A171" s="1557"/>
      <c r="B171" s="1056" t="s">
        <v>1576</v>
      </c>
      <c r="C171" s="1113">
        <f>'S2.3.3 Depoly_cred'!$D$41</f>
        <v>-1.2910463011818367</v>
      </c>
      <c r="D171" s="1114">
        <f>'S2.3.3 Depoly_cred'!$D$42</f>
        <v>-2.3122046051290681</v>
      </c>
      <c r="E171" s="1115"/>
      <c r="F171" s="1115"/>
      <c r="G171" s="1067"/>
      <c r="H171" s="1067"/>
      <c r="I171" s="1067"/>
      <c r="J171" s="1054"/>
      <c r="K171" s="1054"/>
      <c r="L171" s="1054"/>
      <c r="M171" s="1054"/>
      <c r="N171" s="1054"/>
      <c r="O171" s="1054"/>
      <c r="P171" s="1561"/>
      <c r="Q171" s="184"/>
    </row>
    <row r="172" spans="1:17" s="614" customFormat="1" ht="72.400000000000006" customHeight="1" thickBot="1" x14ac:dyDescent="0.3">
      <c r="A172" s="1554" t="s">
        <v>12</v>
      </c>
      <c r="B172" s="1554"/>
      <c r="C172" s="1554"/>
      <c r="D172" s="1554"/>
      <c r="E172" s="1554"/>
      <c r="F172" s="1554"/>
      <c r="G172" s="1554"/>
      <c r="H172" s="1554"/>
      <c r="I172" s="1554"/>
      <c r="J172" s="1554"/>
      <c r="K172" s="1554"/>
      <c r="L172" s="1554"/>
      <c r="M172" s="1554"/>
      <c r="N172" s="1554"/>
      <c r="O172" s="1554"/>
      <c r="P172" s="1554"/>
      <c r="Q172" s="184"/>
    </row>
    <row r="173" spans="1:17" s="958" customFormat="1" ht="37.5" customHeight="1" thickBot="1" x14ac:dyDescent="0.25">
      <c r="A173" s="1068" t="s">
        <v>1586</v>
      </c>
      <c r="B173" s="1068"/>
      <c r="C173" s="1069"/>
      <c r="D173" s="1069"/>
      <c r="E173" s="1069"/>
      <c r="F173" s="1069"/>
      <c r="G173" s="1069"/>
      <c r="H173" s="1069"/>
      <c r="I173" s="1069"/>
      <c r="J173" s="1069"/>
      <c r="K173" s="1069"/>
      <c r="L173" s="1069"/>
      <c r="M173" s="1069"/>
      <c r="N173" s="1069"/>
      <c r="O173" s="1069"/>
      <c r="P173" s="1068"/>
      <c r="Q173" s="495"/>
    </row>
    <row r="174" spans="1:17" s="360" customFormat="1" ht="39.4" customHeight="1" thickBot="1" x14ac:dyDescent="0.25">
      <c r="A174" s="1047" t="s">
        <v>1587</v>
      </c>
      <c r="B174" s="1613" t="s">
        <v>1588</v>
      </c>
      <c r="C174" s="1613"/>
      <c r="D174" s="1613"/>
      <c r="E174" s="1613"/>
      <c r="F174" s="1047"/>
      <c r="G174" s="1047"/>
      <c r="H174" s="1047"/>
      <c r="I174" s="1047"/>
      <c r="J174" s="1047"/>
      <c r="K174" s="1047"/>
      <c r="L174" s="1047"/>
      <c r="M174" s="1047"/>
      <c r="N174" s="1047"/>
      <c r="O174" s="1047"/>
      <c r="P174" s="1047" t="s">
        <v>1589</v>
      </c>
      <c r="Q174" s="184"/>
    </row>
    <row r="175" spans="1:17" s="360" customFormat="1" ht="14.25" x14ac:dyDescent="0.2">
      <c r="A175" s="1555" t="s">
        <v>1610</v>
      </c>
      <c r="B175" s="1051"/>
      <c r="C175" s="1051" t="s">
        <v>423</v>
      </c>
      <c r="D175" s="1051" t="s">
        <v>422</v>
      </c>
      <c r="E175" s="1051" t="s">
        <v>421</v>
      </c>
      <c r="F175" s="999"/>
      <c r="G175" s="999"/>
      <c r="H175" s="999"/>
      <c r="I175" s="999"/>
      <c r="J175" s="999"/>
      <c r="K175" s="999"/>
      <c r="L175" s="999"/>
      <c r="M175" s="999"/>
      <c r="N175" s="999"/>
      <c r="O175" s="999"/>
      <c r="P175" s="1558" t="s">
        <v>1787</v>
      </c>
      <c r="Q175" s="184"/>
    </row>
    <row r="176" spans="1:17" s="360" customFormat="1" ht="57" x14ac:dyDescent="0.2">
      <c r="A176" s="1556"/>
      <c r="B176" s="1081" t="s">
        <v>1777</v>
      </c>
      <c r="C176" s="1116">
        <f>'S2.4.1 Dissol_imp'!C6</f>
        <v>0.20999696249345923</v>
      </c>
      <c r="D176" s="1117">
        <f>'S2.4.1 Dissol_imp'!C20</f>
        <v>4.0424999999999995</v>
      </c>
      <c r="E176" s="1117">
        <f>'S2.4.1 Dissol_imp'!C20</f>
        <v>4.0424999999999995</v>
      </c>
      <c r="F176" s="987"/>
      <c r="G176" s="987"/>
      <c r="H176" s="987"/>
      <c r="I176" s="987"/>
      <c r="J176" s="987"/>
      <c r="K176" s="987"/>
      <c r="L176" s="987"/>
      <c r="M176" s="987"/>
      <c r="N176" s="987"/>
      <c r="O176" s="987"/>
      <c r="P176" s="1559"/>
      <c r="Q176" s="184"/>
    </row>
    <row r="177" spans="1:17" s="360" customFormat="1" ht="57.75" thickBot="1" x14ac:dyDescent="0.25">
      <c r="A177" s="1557"/>
      <c r="B177" s="1082" t="s">
        <v>1778</v>
      </c>
      <c r="C177" s="1054">
        <v>0</v>
      </c>
      <c r="D177" s="1054">
        <f>'S2.4.1 Dissol_imp'!C11</f>
        <v>0.46400000000000002</v>
      </c>
      <c r="E177" s="1054">
        <f>'S2.4.1 Dissol_imp'!C19</f>
        <v>0.81599999999999995</v>
      </c>
      <c r="F177" s="1054"/>
      <c r="G177" s="1054"/>
      <c r="H177" s="1054"/>
      <c r="I177" s="1054"/>
      <c r="J177" s="1054"/>
      <c r="K177" s="1054"/>
      <c r="L177" s="1054"/>
      <c r="M177" s="1054"/>
      <c r="N177" s="1054"/>
      <c r="O177" s="1054"/>
      <c r="P177" s="1560"/>
      <c r="Q177" s="184"/>
    </row>
    <row r="178" spans="1:17" s="360" customFormat="1" ht="28.5" x14ac:dyDescent="0.2">
      <c r="A178" s="1555" t="s">
        <v>1638</v>
      </c>
      <c r="B178" s="1213" t="s">
        <v>2135</v>
      </c>
      <c r="C178" s="1213" t="s">
        <v>2119</v>
      </c>
      <c r="D178" s="1118"/>
      <c r="E178" s="999"/>
      <c r="F178" s="999"/>
      <c r="G178" s="999"/>
      <c r="H178" s="999"/>
      <c r="I178" s="999"/>
      <c r="J178" s="999"/>
      <c r="K178" s="999"/>
      <c r="L178" s="999"/>
      <c r="M178" s="999"/>
      <c r="N178" s="999"/>
      <c r="O178" s="999"/>
      <c r="P178" s="1550" t="s">
        <v>2137</v>
      </c>
      <c r="Q178" s="184"/>
    </row>
    <row r="179" spans="1:17" s="360" customFormat="1" ht="45" customHeight="1" thickBot="1" x14ac:dyDescent="0.25">
      <c r="A179" s="1557"/>
      <c r="B179" s="1214" t="s">
        <v>2136</v>
      </c>
      <c r="C179" s="1214" t="s">
        <v>1786</v>
      </c>
      <c r="D179" s="1119"/>
      <c r="E179" s="1054"/>
      <c r="F179" s="1054"/>
      <c r="G179" s="1054"/>
      <c r="H179" s="1054"/>
      <c r="I179" s="1054"/>
      <c r="J179" s="1054"/>
      <c r="K179" s="1054"/>
      <c r="L179" s="1054"/>
      <c r="M179" s="1054"/>
      <c r="N179" s="1054"/>
      <c r="O179" s="1054"/>
      <c r="P179" s="1561"/>
      <c r="Q179" s="184"/>
    </row>
    <row r="180" spans="1:17" s="360" customFormat="1" ht="26.65" customHeight="1" thickBot="1" x14ac:dyDescent="0.25">
      <c r="A180" s="1058" t="s">
        <v>1639</v>
      </c>
      <c r="B180" s="962" t="s">
        <v>1789</v>
      </c>
      <c r="C180" s="962"/>
      <c r="D180" s="1051"/>
      <c r="E180" s="1051"/>
      <c r="F180" s="1051"/>
      <c r="G180" s="1051"/>
      <c r="H180" s="1051"/>
      <c r="I180" s="1051"/>
      <c r="J180" s="1051"/>
      <c r="K180" s="1051"/>
      <c r="L180" s="1051"/>
      <c r="M180" s="1051"/>
      <c r="N180" s="1051"/>
      <c r="O180" s="1051"/>
      <c r="P180" s="1120" t="s">
        <v>1788</v>
      </c>
      <c r="Q180" s="184"/>
    </row>
    <row r="181" spans="1:17" s="958" customFormat="1" ht="37.5" customHeight="1" thickBot="1" x14ac:dyDescent="0.25">
      <c r="A181" s="1068" t="s">
        <v>1370</v>
      </c>
      <c r="B181" s="1068"/>
      <c r="C181" s="1069"/>
      <c r="D181" s="1069"/>
      <c r="E181" s="1069"/>
      <c r="F181" s="1069"/>
      <c r="G181" s="1069"/>
      <c r="H181" s="1069"/>
      <c r="I181" s="1069"/>
      <c r="J181" s="1069"/>
      <c r="K181" s="1069"/>
      <c r="L181" s="1069"/>
      <c r="M181" s="1069"/>
      <c r="N181" s="1069"/>
      <c r="O181" s="1069"/>
      <c r="P181" s="1068"/>
      <c r="Q181" s="495"/>
    </row>
    <row r="182" spans="1:17" s="360" customFormat="1" ht="39.4" customHeight="1" thickBot="1" x14ac:dyDescent="0.25">
      <c r="A182" s="1047" t="s">
        <v>1587</v>
      </c>
      <c r="B182" s="1613" t="s">
        <v>1588</v>
      </c>
      <c r="C182" s="1613"/>
      <c r="D182" s="1613"/>
      <c r="E182" s="1613"/>
      <c r="F182" s="1047"/>
      <c r="G182" s="1047"/>
      <c r="H182" s="1047"/>
      <c r="I182" s="1047"/>
      <c r="J182" s="1047"/>
      <c r="K182" s="1047"/>
      <c r="L182" s="1047"/>
      <c r="M182" s="1047"/>
      <c r="N182" s="1047"/>
      <c r="O182" s="1047"/>
      <c r="P182" s="1047" t="s">
        <v>1589</v>
      </c>
      <c r="Q182" s="184"/>
    </row>
    <row r="183" spans="1:17" s="614" customFormat="1" ht="123" customHeight="1" thickBot="1" x14ac:dyDescent="0.25">
      <c r="A183" s="1058" t="s">
        <v>1371</v>
      </c>
      <c r="B183" s="1070">
        <f>'S2.4.2 Dissol_cred'!B6</f>
        <v>1.0149999999999999</v>
      </c>
      <c r="C183" s="1070" t="s">
        <v>1666</v>
      </c>
      <c r="D183" s="1051"/>
      <c r="E183" s="1051"/>
      <c r="F183" s="1051"/>
      <c r="G183" s="1051"/>
      <c r="H183" s="1051"/>
      <c r="I183" s="1051"/>
      <c r="J183" s="1051"/>
      <c r="K183" s="1051"/>
      <c r="L183" s="1051"/>
      <c r="M183" s="1051"/>
      <c r="N183" s="1051"/>
      <c r="O183" s="1051"/>
      <c r="P183" s="1061" t="s">
        <v>1790</v>
      </c>
      <c r="Q183" s="184" t="s">
        <v>3</v>
      </c>
    </row>
    <row r="184" spans="1:17" s="614" customFormat="1" ht="25.5" customHeight="1" x14ac:dyDescent="0.2">
      <c r="A184" s="1555" t="s">
        <v>1601</v>
      </c>
      <c r="B184" s="1071"/>
      <c r="C184" s="1072" t="s">
        <v>423</v>
      </c>
      <c r="D184" s="1215" t="s">
        <v>2119</v>
      </c>
      <c r="E184" s="1072" t="str">
        <f>'S2.4.2 Dissol_cred'!E9</f>
        <v>high</v>
      </c>
      <c r="F184" s="999"/>
      <c r="G184" s="999"/>
      <c r="H184" s="999"/>
      <c r="I184" s="999"/>
      <c r="J184" s="999"/>
      <c r="K184" s="999"/>
      <c r="L184" s="999"/>
      <c r="M184" s="999"/>
      <c r="N184" s="999"/>
      <c r="O184" s="999"/>
      <c r="P184" s="1550" t="s">
        <v>1794</v>
      </c>
      <c r="Q184" s="184"/>
    </row>
    <row r="185" spans="1:17" s="614" customFormat="1" ht="26.45" customHeight="1" x14ac:dyDescent="0.2">
      <c r="A185" s="1556"/>
      <c r="B185" s="1073" t="str">
        <f>'S2.4.2 Dissol_cred'!B10</f>
        <v>target product yield</v>
      </c>
      <c r="C185" s="1074">
        <f>'S2.4.2 Dissol_cred'!C10</f>
        <v>0.83000000000000007</v>
      </c>
      <c r="D185" s="1074">
        <f>'S2.4.2 Dissol_cred'!D10</f>
        <v>0.9</v>
      </c>
      <c r="E185" s="1074">
        <f>'S2.4.2 Dissol_cred'!E10</f>
        <v>0.97</v>
      </c>
      <c r="F185" s="987"/>
      <c r="G185" s="987"/>
      <c r="H185" s="987"/>
      <c r="I185" s="987"/>
      <c r="J185" s="987"/>
      <c r="K185" s="987"/>
      <c r="L185" s="987"/>
      <c r="M185" s="987"/>
      <c r="N185" s="987"/>
      <c r="O185" s="987"/>
      <c r="P185" s="1551"/>
      <c r="Q185" s="184"/>
    </row>
    <row r="186" spans="1:17" s="614" customFormat="1" ht="26.45" customHeight="1" x14ac:dyDescent="0.2">
      <c r="A186" s="1556"/>
      <c r="B186" s="1073" t="str">
        <f>'S2.4.2 Dissol_cred'!B11</f>
        <v>liquid residue</v>
      </c>
      <c r="C186" s="1074">
        <f>'S2.4.2 Dissol_cred'!C11</f>
        <v>0.14499999999999993</v>
      </c>
      <c r="D186" s="1074">
        <f>'S2.4.2 Dissol_cred'!D11</f>
        <v>7.4999999999999983E-2</v>
      </c>
      <c r="E186" s="1074">
        <f>'S2.4.2 Dissol_cred'!E11</f>
        <v>5.0000000000000253E-3</v>
      </c>
      <c r="F186" s="987"/>
      <c r="G186" s="987"/>
      <c r="H186" s="987"/>
      <c r="I186" s="987"/>
      <c r="J186" s="987"/>
      <c r="K186" s="987"/>
      <c r="L186" s="987"/>
      <c r="M186" s="987"/>
      <c r="N186" s="987"/>
      <c r="O186" s="987"/>
      <c r="P186" s="1551"/>
      <c r="Q186" s="184"/>
    </row>
    <row r="187" spans="1:17" s="614" customFormat="1" ht="26.45" customHeight="1" thickBot="1" x14ac:dyDescent="0.25">
      <c r="A187" s="1556"/>
      <c r="B187" s="1073" t="str">
        <f>'S2.4.2 Dissol_cred'!B12</f>
        <v>solid residue</v>
      </c>
      <c r="C187" s="1075">
        <f>'S2.4.2 Dissol_cred'!C12</f>
        <v>2.5000000000000001E-2</v>
      </c>
      <c r="D187" s="1075">
        <f>'S2.4.2 Dissol_cred'!D12</f>
        <v>2.5000000000000001E-2</v>
      </c>
      <c r="E187" s="1075">
        <f>'S2.4.2 Dissol_cred'!E12</f>
        <v>2.5000000000000001E-2</v>
      </c>
      <c r="F187" s="987"/>
      <c r="G187" s="987"/>
      <c r="H187" s="987"/>
      <c r="I187" s="987"/>
      <c r="J187" s="987"/>
      <c r="K187" s="987"/>
      <c r="L187" s="987"/>
      <c r="M187" s="987"/>
      <c r="N187" s="987"/>
      <c r="O187" s="987"/>
      <c r="P187" s="1551"/>
      <c r="Q187" s="184"/>
    </row>
    <row r="188" spans="1:17" s="614" customFormat="1" ht="14.25" customHeight="1" x14ac:dyDescent="0.2">
      <c r="A188" s="1555" t="s">
        <v>1635</v>
      </c>
      <c r="B188" s="999"/>
      <c r="C188" s="1076" t="str">
        <f>'S2.4.2 Dissol_cred'!C15</f>
        <v>fossil</v>
      </c>
      <c r="D188" s="1076" t="str">
        <f>'S2.4.2 Dissol_cred'!D15</f>
        <v>renewable</v>
      </c>
      <c r="E188" s="999"/>
      <c r="F188" s="999"/>
      <c r="G188" s="999"/>
      <c r="H188" s="999"/>
      <c r="I188" s="999"/>
      <c r="J188" s="999"/>
      <c r="K188" s="999"/>
      <c r="L188" s="999"/>
      <c r="M188" s="999"/>
      <c r="N188" s="999"/>
      <c r="O188" s="999"/>
      <c r="P188" s="1550" t="s">
        <v>1791</v>
      </c>
      <c r="Q188" s="184"/>
    </row>
    <row r="189" spans="1:17" s="614" customFormat="1" ht="14.25" customHeight="1" x14ac:dyDescent="0.2">
      <c r="A189" s="1556"/>
      <c r="B189" s="987" t="str">
        <f>'S2.4.2 Dissol_cred'!B16</f>
        <v>HDPE</v>
      </c>
      <c r="C189" s="1077">
        <f>'S2.4.2 Dissol_cred'!C16</f>
        <v>1.5180813442164154</v>
      </c>
      <c r="D189" s="1077">
        <f>'S2.4.2 Dissol_cred'!D16</f>
        <v>1.0386738482069082</v>
      </c>
      <c r="E189" s="987"/>
      <c r="F189" s="987"/>
      <c r="G189" s="987"/>
      <c r="H189" s="987"/>
      <c r="I189" s="987"/>
      <c r="J189" s="987"/>
      <c r="K189" s="987"/>
      <c r="L189" s="987"/>
      <c r="M189" s="987"/>
      <c r="N189" s="987"/>
      <c r="O189" s="987"/>
      <c r="P189" s="1551"/>
      <c r="Q189" s="184"/>
    </row>
    <row r="190" spans="1:17" s="614" customFormat="1" ht="14.25" customHeight="1" x14ac:dyDescent="0.2">
      <c r="A190" s="1556"/>
      <c r="B190" s="987" t="str">
        <f>'S2.4.2 Dissol_cred'!B17</f>
        <v>LDPE</v>
      </c>
      <c r="C190" s="1077">
        <f>'S2.4.2 Dissol_cred'!C17</f>
        <v>1.5066210471281472</v>
      </c>
      <c r="D190" s="1077">
        <f>'S2.4.2 Dissol_cred'!D17</f>
        <v>1.0537694402619637</v>
      </c>
      <c r="E190" s="987"/>
      <c r="F190" s="987"/>
      <c r="G190" s="987"/>
      <c r="H190" s="987"/>
      <c r="I190" s="987"/>
      <c r="J190" s="987"/>
      <c r="K190" s="987"/>
      <c r="L190" s="987"/>
      <c r="M190" s="987"/>
      <c r="N190" s="987"/>
      <c r="O190" s="987"/>
      <c r="P190" s="1551"/>
      <c r="Q190" s="184"/>
    </row>
    <row r="191" spans="1:17" s="614" customFormat="1" ht="14.25" customHeight="1" x14ac:dyDescent="0.2">
      <c r="A191" s="1556"/>
      <c r="B191" s="987" t="str">
        <f>'S2.4.2 Dissol_cred'!B18</f>
        <v>PET</v>
      </c>
      <c r="C191" s="1077">
        <f>'S2.4.2 Dissol_cred'!C18</f>
        <v>2.6441252251817176</v>
      </c>
      <c r="D191" s="1077">
        <f>'S2.4.2 Dissol_cred'!D18</f>
        <v>1.493775913418053</v>
      </c>
      <c r="E191" s="987"/>
      <c r="F191" s="987"/>
      <c r="G191" s="987"/>
      <c r="H191" s="987"/>
      <c r="I191" s="987"/>
      <c r="J191" s="987"/>
      <c r="K191" s="987"/>
      <c r="L191" s="987"/>
      <c r="M191" s="987"/>
      <c r="N191" s="987"/>
      <c r="O191" s="987"/>
      <c r="P191" s="1551"/>
      <c r="Q191" s="184"/>
    </row>
    <row r="192" spans="1:17" s="614" customFormat="1" ht="14.25" customHeight="1" x14ac:dyDescent="0.2">
      <c r="A192" s="1556"/>
      <c r="B192" s="987" t="str">
        <f>'S2.4.2 Dissol_cred'!B19</f>
        <v>PP</v>
      </c>
      <c r="C192" s="1077">
        <f>'S2.4.2 Dissol_cred'!C19</f>
        <v>1.4207056095177069</v>
      </c>
      <c r="D192" s="1077">
        <f>'S2.4.2 Dissol_cred'!D19</f>
        <v>1.0426819379805783</v>
      </c>
      <c r="E192" s="987"/>
      <c r="F192" s="987"/>
      <c r="G192" s="987"/>
      <c r="H192" s="987"/>
      <c r="I192" s="987"/>
      <c r="J192" s="987"/>
      <c r="K192" s="987"/>
      <c r="L192" s="987"/>
      <c r="M192" s="987"/>
      <c r="N192" s="987"/>
      <c r="O192" s="987"/>
      <c r="P192" s="1551"/>
      <c r="Q192" s="184"/>
    </row>
    <row r="193" spans="1:17" ht="14.25" customHeight="1" x14ac:dyDescent="0.25">
      <c r="A193" s="1556"/>
      <c r="B193" s="987" t="str">
        <f>'S2.4.2 Dissol_cred'!B20</f>
        <v>PS</v>
      </c>
      <c r="C193" s="1077">
        <f>'S2.4.2 Dissol_cred'!C20</f>
        <v>1.746038136054207</v>
      </c>
      <c r="D193" s="1077">
        <f>'S2.4.2 Dissol_cred'!D20</f>
        <v>1.4304745638744865</v>
      </c>
      <c r="E193" s="987"/>
      <c r="F193" s="987"/>
      <c r="G193" s="987"/>
      <c r="H193" s="987"/>
      <c r="I193" s="987"/>
      <c r="J193" s="987"/>
      <c r="K193" s="987"/>
      <c r="L193" s="987"/>
      <c r="M193" s="987"/>
      <c r="N193" s="987"/>
      <c r="O193" s="987"/>
      <c r="P193" s="1551"/>
      <c r="Q193" s="184"/>
    </row>
    <row r="194" spans="1:17" ht="14.25" customHeight="1" x14ac:dyDescent="0.25">
      <c r="A194" s="1556"/>
      <c r="B194" s="987" t="str">
        <f>'S2.4.2 Dissol_cred'!B21</f>
        <v>PVC</v>
      </c>
      <c r="C194" s="1077">
        <f>'S2.4.2 Dissol_cred'!C21</f>
        <v>2.8491978238145839</v>
      </c>
      <c r="D194" s="1077">
        <f>'S2.4.2 Dissol_cred'!D21</f>
        <v>1.3867102258161399</v>
      </c>
      <c r="E194" s="987"/>
      <c r="F194" s="987"/>
      <c r="G194" s="987"/>
      <c r="H194" s="987"/>
      <c r="I194" s="987"/>
      <c r="J194" s="987"/>
      <c r="K194" s="987"/>
      <c r="L194" s="987"/>
      <c r="M194" s="987"/>
      <c r="N194" s="987"/>
      <c r="O194" s="987"/>
      <c r="P194" s="1551"/>
      <c r="Q194" s="184"/>
    </row>
    <row r="195" spans="1:17" ht="14.25" customHeight="1" x14ac:dyDescent="0.25">
      <c r="A195" s="1556"/>
      <c r="B195" s="987" t="str">
        <f>'S2.4.2 Dissol_cred'!B22</f>
        <v>ABS</v>
      </c>
      <c r="C195" s="1077">
        <f>'S2.4.2 Dissol_cred'!C22</f>
        <v>2.3114772077306829</v>
      </c>
      <c r="D195" s="1077">
        <f>'S2.4.2 Dissol_cred'!D22</f>
        <v>1.7475855533552012</v>
      </c>
      <c r="E195" s="987"/>
      <c r="F195" s="987"/>
      <c r="G195" s="987"/>
      <c r="H195" s="987"/>
      <c r="I195" s="987"/>
      <c r="J195" s="987"/>
      <c r="K195" s="987"/>
      <c r="L195" s="987"/>
      <c r="M195" s="987"/>
      <c r="N195" s="987"/>
      <c r="O195" s="987"/>
      <c r="P195" s="1551"/>
      <c r="Q195" s="184"/>
    </row>
    <row r="196" spans="1:17" ht="14.25" customHeight="1" x14ac:dyDescent="0.25">
      <c r="A196" s="1556"/>
      <c r="B196" s="987" t="str">
        <f>'S2.4.2 Dissol_cred'!B23</f>
        <v>HIPS</v>
      </c>
      <c r="C196" s="1077">
        <f>'S2.4.2 Dissol_cred'!C23</f>
        <v>1.8297344696930697</v>
      </c>
      <c r="D196" s="1077">
        <f>'S2.4.2 Dissol_cred'!D23</f>
        <v>1.5189243577218998</v>
      </c>
      <c r="E196" s="987"/>
      <c r="F196" s="987"/>
      <c r="G196" s="987"/>
      <c r="H196" s="987"/>
      <c r="I196" s="987"/>
      <c r="J196" s="987"/>
      <c r="K196" s="987"/>
      <c r="L196" s="987"/>
      <c r="M196" s="987"/>
      <c r="N196" s="987"/>
      <c r="O196" s="987"/>
      <c r="P196" s="1551"/>
      <c r="Q196" s="184"/>
    </row>
    <row r="197" spans="1:17" ht="14.25" customHeight="1" x14ac:dyDescent="0.25">
      <c r="A197" s="1556"/>
      <c r="B197" s="987" t="str">
        <f>'S2.4.2 Dissol_cred'!B24</f>
        <v>PA</v>
      </c>
      <c r="C197" s="1077">
        <f>'S2.4.2 Dissol_cred'!C24</f>
        <v>6.3310607293844203</v>
      </c>
      <c r="D197" s="1077">
        <f>'S2.4.2 Dissol_cred'!D24</f>
        <v>4.4399163701389446</v>
      </c>
      <c r="E197" s="987"/>
      <c r="F197" s="987"/>
      <c r="G197" s="987"/>
      <c r="H197" s="987"/>
      <c r="I197" s="987"/>
      <c r="J197" s="987"/>
      <c r="K197" s="987"/>
      <c r="L197" s="987"/>
      <c r="M197" s="987"/>
      <c r="N197" s="987"/>
      <c r="O197" s="987"/>
      <c r="P197" s="1551"/>
      <c r="Q197" s="184"/>
    </row>
    <row r="198" spans="1:17" ht="14.25" customHeight="1" thickBot="1" x14ac:dyDescent="0.3">
      <c r="A198" s="1556"/>
      <c r="B198" s="987" t="str">
        <f>'S2.4.2 Dissol_cred'!B25</f>
        <v>PC</v>
      </c>
      <c r="C198" s="1077">
        <f>'S2.4.2 Dissol_cred'!C25</f>
        <v>6.4148564488748638</v>
      </c>
      <c r="D198" s="1077">
        <f>'S2.4.2 Dissol_cred'!D25</f>
        <v>3.3766323748921176</v>
      </c>
      <c r="E198" s="987"/>
      <c r="F198" s="987"/>
      <c r="G198" s="987"/>
      <c r="H198" s="987"/>
      <c r="I198" s="987"/>
      <c r="J198" s="987"/>
      <c r="K198" s="987"/>
      <c r="L198" s="987"/>
      <c r="M198" s="987"/>
      <c r="N198" s="987"/>
      <c r="O198" s="987"/>
      <c r="P198" s="1551"/>
      <c r="Q198" s="184"/>
    </row>
    <row r="199" spans="1:17" s="614" customFormat="1" ht="14.25" customHeight="1" x14ac:dyDescent="0.25">
      <c r="A199" s="1555" t="str">
        <f>A168</f>
        <v>Liquid residue utilization</v>
      </c>
      <c r="B199" s="1011"/>
      <c r="C199" s="1109" t="str">
        <f>C168</f>
        <v>fossil</v>
      </c>
      <c r="D199" s="1109" t="str">
        <f>D168</f>
        <v>renewable</v>
      </c>
      <c r="E199" s="1110"/>
      <c r="F199" s="1104"/>
      <c r="G199" s="1065"/>
      <c r="H199" s="1065"/>
      <c r="I199" s="1065"/>
      <c r="J199" s="999"/>
      <c r="K199" s="999"/>
      <c r="L199" s="999"/>
      <c r="M199" s="999"/>
      <c r="N199" s="999"/>
      <c r="O199" s="999"/>
      <c r="P199" s="1550" t="s">
        <v>1792</v>
      </c>
      <c r="Q199" s="184"/>
    </row>
    <row r="200" spans="1:17" s="614" customFormat="1" ht="57.75" thickBot="1" x14ac:dyDescent="0.3">
      <c r="A200" s="1557">
        <f t="shared" ref="A200:D202" si="1">A169</f>
        <v>0</v>
      </c>
      <c r="B200" s="1056" t="str">
        <f t="shared" si="1"/>
        <v>energetic utilization</v>
      </c>
      <c r="C200" s="1113">
        <f t="shared" si="1"/>
        <v>0.46142804650279923</v>
      </c>
      <c r="D200" s="1114">
        <f t="shared" si="1"/>
        <v>-2.4761830453137383</v>
      </c>
      <c r="E200" s="1115"/>
      <c r="F200" s="1115"/>
      <c r="G200" s="1067"/>
      <c r="H200" s="1067"/>
      <c r="I200" s="1067"/>
      <c r="J200" s="1054"/>
      <c r="K200" s="1054"/>
      <c r="L200" s="1054"/>
      <c r="M200" s="1054"/>
      <c r="N200" s="1054"/>
      <c r="O200" s="1054"/>
      <c r="P200" s="1561"/>
      <c r="Q200" s="184"/>
    </row>
    <row r="201" spans="1:17" s="614" customFormat="1" ht="14.25" customHeight="1" x14ac:dyDescent="0.25">
      <c r="A201" s="1555" t="str">
        <f t="shared" si="1"/>
        <v>Solid residue utilization</v>
      </c>
      <c r="B201" s="1012"/>
      <c r="C201" s="1109" t="str">
        <f t="shared" si="1"/>
        <v>fossil</v>
      </c>
      <c r="D201" s="1109" t="str">
        <f t="shared" si="1"/>
        <v>renewable</v>
      </c>
      <c r="E201" s="1104"/>
      <c r="F201" s="1104"/>
      <c r="G201" s="1065"/>
      <c r="H201" s="1065"/>
      <c r="I201" s="1065"/>
      <c r="J201" s="999"/>
      <c r="K201" s="999"/>
      <c r="L201" s="999"/>
      <c r="M201" s="999"/>
      <c r="N201" s="999"/>
      <c r="O201" s="999"/>
      <c r="P201" s="1550" t="s">
        <v>1669</v>
      </c>
      <c r="Q201" s="184"/>
    </row>
    <row r="202" spans="1:17" s="614" customFormat="1" ht="57.75" thickBot="1" x14ac:dyDescent="0.3">
      <c r="A202" s="1556">
        <f t="shared" si="1"/>
        <v>0</v>
      </c>
      <c r="B202" s="970" t="str">
        <f t="shared" si="1"/>
        <v>energetic utilization</v>
      </c>
      <c r="C202" s="1111">
        <f t="shared" si="1"/>
        <v>-1.2910463011818367</v>
      </c>
      <c r="D202" s="1112">
        <f t="shared" si="1"/>
        <v>-2.3122046051290681</v>
      </c>
      <c r="E202" s="1107"/>
      <c r="F202" s="1107"/>
      <c r="G202" s="1006"/>
      <c r="H202" s="1006"/>
      <c r="I202" s="1006"/>
      <c r="J202" s="987"/>
      <c r="K202" s="987"/>
      <c r="L202" s="987"/>
      <c r="M202" s="987"/>
      <c r="N202" s="987"/>
      <c r="O202" s="987"/>
      <c r="P202" s="1551"/>
      <c r="Q202" s="184"/>
    </row>
    <row r="203" spans="1:17" ht="8.25" customHeight="1" x14ac:dyDescent="0.25">
      <c r="A203" s="1477"/>
      <c r="B203" s="1477"/>
      <c r="C203" s="1477"/>
      <c r="D203" s="1477"/>
      <c r="E203" s="1477"/>
      <c r="F203" s="1477"/>
      <c r="G203" s="1477"/>
      <c r="H203" s="1477"/>
      <c r="I203" s="1477"/>
      <c r="J203" s="1477"/>
      <c r="K203" s="1477"/>
      <c r="L203" s="1477"/>
      <c r="M203" s="1477"/>
      <c r="N203" s="1477"/>
      <c r="O203" s="1477"/>
      <c r="P203" s="1477"/>
    </row>
  </sheetData>
  <mergeCells count="141">
    <mergeCell ref="A1:P1"/>
    <mergeCell ref="A8:A9"/>
    <mergeCell ref="P8:P9"/>
    <mergeCell ref="A2:P2"/>
    <mergeCell ref="B125:E125"/>
    <mergeCell ref="B145:E145"/>
    <mergeCell ref="B174:E174"/>
    <mergeCell ref="B182:E182"/>
    <mergeCell ref="J25:K25"/>
    <mergeCell ref="L25:M25"/>
    <mergeCell ref="C34:D35"/>
    <mergeCell ref="E34:E35"/>
    <mergeCell ref="F34:G34"/>
    <mergeCell ref="H34:I34"/>
    <mergeCell ref="J34:K34"/>
    <mergeCell ref="L34:M34"/>
    <mergeCell ref="B48:O48"/>
    <mergeCell ref="N25:O25"/>
    <mergeCell ref="L26:M26"/>
    <mergeCell ref="L27:M33"/>
    <mergeCell ref="A3:P3"/>
    <mergeCell ref="B5:E5"/>
    <mergeCell ref="A12:A14"/>
    <mergeCell ref="A15:A16"/>
    <mergeCell ref="B19:E19"/>
    <mergeCell ref="A20:A23"/>
    <mergeCell ref="P20:P23"/>
    <mergeCell ref="A36:A47"/>
    <mergeCell ref="B36:B37"/>
    <mergeCell ref="C36:D36"/>
    <mergeCell ref="P36:P47"/>
    <mergeCell ref="E36:H36"/>
    <mergeCell ref="A57:A58"/>
    <mergeCell ref="P57:P58"/>
    <mergeCell ref="N27:O33"/>
    <mergeCell ref="C33:D33"/>
    <mergeCell ref="A24:A35"/>
    <mergeCell ref="B24:B26"/>
    <mergeCell ref="E24:E26"/>
    <mergeCell ref="F24:O24"/>
    <mergeCell ref="N34:O34"/>
    <mergeCell ref="F35:G35"/>
    <mergeCell ref="H35:I35"/>
    <mergeCell ref="J35:K35"/>
    <mergeCell ref="L35:M35"/>
    <mergeCell ref="N35:O35"/>
    <mergeCell ref="P24:P35"/>
    <mergeCell ref="F25:G25"/>
    <mergeCell ref="H101:I101"/>
    <mergeCell ref="J101:K101"/>
    <mergeCell ref="P61:P64"/>
    <mergeCell ref="L101:M101"/>
    <mergeCell ref="D119:G119"/>
    <mergeCell ref="A65:A83"/>
    <mergeCell ref="B65:B66"/>
    <mergeCell ref="C65:D65"/>
    <mergeCell ref="P65:P83"/>
    <mergeCell ref="G67:G81"/>
    <mergeCell ref="C81:D81"/>
    <mergeCell ref="C82:D83"/>
    <mergeCell ref="L85:M85"/>
    <mergeCell ref="J86:K86"/>
    <mergeCell ref="L86:M86"/>
    <mergeCell ref="P84:P101"/>
    <mergeCell ref="F85:G85"/>
    <mergeCell ref="H85:I85"/>
    <mergeCell ref="J85:K85"/>
    <mergeCell ref="E65:H65"/>
    <mergeCell ref="A61:A64"/>
    <mergeCell ref="P131:P134"/>
    <mergeCell ref="P135:P137"/>
    <mergeCell ref="P141:P143"/>
    <mergeCell ref="D146:D149"/>
    <mergeCell ref="D117:F117"/>
    <mergeCell ref="D118:F118"/>
    <mergeCell ref="H25:I25"/>
    <mergeCell ref="C46:D47"/>
    <mergeCell ref="B60:E60"/>
    <mergeCell ref="P53:P55"/>
    <mergeCell ref="P102:P121"/>
    <mergeCell ref="D103:F103"/>
    <mergeCell ref="C104:C120"/>
    <mergeCell ref="A50:P50"/>
    <mergeCell ref="B52:E52"/>
    <mergeCell ref="A53:A55"/>
    <mergeCell ref="A84:A101"/>
    <mergeCell ref="B84:B86"/>
    <mergeCell ref="E84:E86"/>
    <mergeCell ref="F84:M84"/>
    <mergeCell ref="C100:D101"/>
    <mergeCell ref="J100:K100"/>
    <mergeCell ref="L100:M100"/>
    <mergeCell ref="F101:G101"/>
    <mergeCell ref="B10:E10"/>
    <mergeCell ref="P10:P11"/>
    <mergeCell ref="A10:A11"/>
    <mergeCell ref="B49:C49"/>
    <mergeCell ref="C84:D85"/>
    <mergeCell ref="C24:D25"/>
    <mergeCell ref="A201:A202"/>
    <mergeCell ref="P201:P202"/>
    <mergeCell ref="J87:K99"/>
    <mergeCell ref="F100:G100"/>
    <mergeCell ref="H100:I100"/>
    <mergeCell ref="B150:C150"/>
    <mergeCell ref="P150:P162"/>
    <mergeCell ref="B151:B153"/>
    <mergeCell ref="B154:B156"/>
    <mergeCell ref="B157:B159"/>
    <mergeCell ref="B160:B162"/>
    <mergeCell ref="D120:G120"/>
    <mergeCell ref="A123:P123"/>
    <mergeCell ref="A127:A130"/>
    <mergeCell ref="A131:A134"/>
    <mergeCell ref="A135:A137"/>
    <mergeCell ref="A141:A143"/>
    <mergeCell ref="P127:P130"/>
    <mergeCell ref="A203:P203"/>
    <mergeCell ref="P12:P14"/>
    <mergeCell ref="P15:P16"/>
    <mergeCell ref="A172:P172"/>
    <mergeCell ref="A175:A177"/>
    <mergeCell ref="P175:P177"/>
    <mergeCell ref="A184:A187"/>
    <mergeCell ref="P184:P187"/>
    <mergeCell ref="A188:A198"/>
    <mergeCell ref="A163:A167"/>
    <mergeCell ref="P163:P167"/>
    <mergeCell ref="A168:A169"/>
    <mergeCell ref="P168:P169"/>
    <mergeCell ref="A170:A171"/>
    <mergeCell ref="P170:P171"/>
    <mergeCell ref="A146:A149"/>
    <mergeCell ref="P146:P149"/>
    <mergeCell ref="A150:A162"/>
    <mergeCell ref="A178:A179"/>
    <mergeCell ref="P178:P179"/>
    <mergeCell ref="P188:P198"/>
    <mergeCell ref="A102:A121"/>
    <mergeCell ref="A199:A200"/>
    <mergeCell ref="P199:P200"/>
  </mergeCells>
  <pageMargins left="0.25" right="0.25" top="0.75" bottom="0.75" header="0.3" footer="0.3"/>
  <pageSetup paperSize="9" scale="67" fitToHeight="0" orientation="landscape" r:id="rId1"/>
  <rowBreaks count="10" manualBreakCount="10">
    <brk id="17" max="15" man="1"/>
    <brk id="35" max="15" man="1"/>
    <brk id="49" max="15" man="1"/>
    <brk id="64" max="15" man="1"/>
    <brk id="83" max="15" man="1"/>
    <brk id="99" max="15" man="1"/>
    <brk id="114" max="15" man="1"/>
    <brk id="126" max="15" man="1"/>
    <brk id="149" max="15" man="1"/>
    <brk id="179" max="15" man="1"/>
  </rowBreaks>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546CD-CF3E-4609-8E9D-0C8277481D53}">
  <sheetPr>
    <tabColor rgb="FFFF66FF"/>
  </sheetPr>
  <dimension ref="B2:Q43"/>
  <sheetViews>
    <sheetView zoomScale="70" zoomScaleNormal="70" workbookViewId="0">
      <selection activeCell="B44" sqref="B44"/>
    </sheetView>
  </sheetViews>
  <sheetFormatPr defaultRowHeight="15" x14ac:dyDescent="0.25"/>
  <cols>
    <col min="16" max="16" width="3.85546875" customWidth="1"/>
  </cols>
  <sheetData>
    <row r="2" spans="2:17" x14ac:dyDescent="0.25">
      <c r="C2" s="1478" t="s">
        <v>1937</v>
      </c>
      <c r="D2" s="1478"/>
      <c r="E2" s="1478"/>
      <c r="F2" s="1478"/>
    </row>
    <row r="3" spans="2:17" x14ac:dyDescent="0.25">
      <c r="C3" s="1478" t="s">
        <v>1700</v>
      </c>
      <c r="D3" s="1478"/>
      <c r="E3" s="1478"/>
      <c r="F3" s="1478"/>
      <c r="P3" s="740"/>
      <c r="Q3" s="799" t="s">
        <v>1689</v>
      </c>
    </row>
    <row r="4" spans="2:17" x14ac:dyDescent="0.25">
      <c r="C4" s="134"/>
      <c r="D4" s="134" t="s">
        <v>1689</v>
      </c>
      <c r="E4" s="624" t="s">
        <v>1690</v>
      </c>
      <c r="F4" s="624" t="s">
        <v>1473</v>
      </c>
      <c r="P4" s="457"/>
      <c r="Q4" s="799" t="s">
        <v>1080</v>
      </c>
    </row>
    <row r="5" spans="2:17" x14ac:dyDescent="0.25">
      <c r="B5" s="1618" t="s">
        <v>500</v>
      </c>
      <c r="C5" s="353" t="s">
        <v>416</v>
      </c>
      <c r="D5" s="731">
        <f>'S2.1.5 Gas_res'!E34</f>
        <v>2.2604126143624419</v>
      </c>
      <c r="E5" s="732">
        <f>-'S2.1.5 Gas_res'!N10</f>
        <v>6.9679558647103707E-2</v>
      </c>
      <c r="F5" s="733">
        <f>'S2.1.5 Gas_res'!D41</f>
        <v>1.7121908221993518</v>
      </c>
      <c r="G5" s="461"/>
      <c r="P5" s="455"/>
      <c r="Q5" s="799" t="s">
        <v>1473</v>
      </c>
    </row>
    <row r="6" spans="2:17" x14ac:dyDescent="0.25">
      <c r="B6" s="1619"/>
      <c r="C6" s="19" t="s">
        <v>422</v>
      </c>
      <c r="D6" s="277">
        <f>'S2.1.5 Gas_res'!D34</f>
        <v>2.0525515146090227</v>
      </c>
      <c r="E6" s="21">
        <f>-'S2.1.5 Gas_res'!C10</f>
        <v>-1.2927707310922745</v>
      </c>
      <c r="F6" s="734">
        <f>'S2.1.5 Gas_res'!E41</f>
        <v>0.75978078351674827</v>
      </c>
      <c r="G6" s="461"/>
    </row>
    <row r="7" spans="2:17" x14ac:dyDescent="0.25">
      <c r="B7" s="1619"/>
      <c r="C7" s="19" t="s">
        <v>412</v>
      </c>
      <c r="D7" s="277">
        <f>'S2.1.5 Gas_res'!C32</f>
        <v>0.6261512854941369</v>
      </c>
      <c r="E7" s="21">
        <f>-'S2.1.5 Gas_res'!P10</f>
        <v>-1.8129065910855091</v>
      </c>
      <c r="F7" s="734">
        <f>'S2.1.5 Gas_res'!F41</f>
        <v>-0.44086346298306278</v>
      </c>
      <c r="G7" s="461"/>
    </row>
    <row r="8" spans="2:17" x14ac:dyDescent="0.25">
      <c r="B8" s="1618" t="s">
        <v>121</v>
      </c>
      <c r="C8" s="353" t="s">
        <v>416</v>
      </c>
      <c r="D8" s="732">
        <f>'S2.2.2 Pyro_imp'!O85</f>
        <v>1.3458634402082004</v>
      </c>
      <c r="E8" s="732">
        <f>-'S2.2.4 Pyro_res'!O10</f>
        <v>0.3189818756264402</v>
      </c>
      <c r="F8" s="737">
        <f>'S2.2.4 Pyro_res'!B27</f>
        <v>1.5125280098836371</v>
      </c>
      <c r="G8" s="461"/>
    </row>
    <row r="9" spans="2:17" x14ac:dyDescent="0.25">
      <c r="B9" s="1619"/>
      <c r="C9" s="19" t="s">
        <v>422</v>
      </c>
      <c r="D9" s="277">
        <f>'S2.2.2 Pyro_imp'!N85</f>
        <v>0.69286348327542924</v>
      </c>
      <c r="E9" s="21">
        <f>-'S2.2.4 Pyro_res'!C10</f>
        <v>-0.50319677031516563</v>
      </c>
      <c r="F9" s="734">
        <f>'S2.2.4 Pyro_res'!C27</f>
        <v>0.18966671296026361</v>
      </c>
      <c r="G9" s="461"/>
    </row>
    <row r="10" spans="2:17" x14ac:dyDescent="0.25">
      <c r="B10" s="1620"/>
      <c r="C10" s="37" t="s">
        <v>412</v>
      </c>
      <c r="D10" s="40">
        <f>'S2.2.2 Pyro_imp'!M75</f>
        <v>0.26462761597950046</v>
      </c>
      <c r="E10" s="40">
        <f>-'S2.2.4 Pyro_res'!P10</f>
        <v>-1.1742401604946995</v>
      </c>
      <c r="F10" s="738">
        <f>'S2.2.4 Pyro_res'!D27</f>
        <v>-0.80421178109385838</v>
      </c>
      <c r="G10" s="461"/>
    </row>
    <row r="11" spans="2:17" x14ac:dyDescent="0.25">
      <c r="B11" s="1618" t="s">
        <v>11</v>
      </c>
      <c r="C11" s="353" t="s">
        <v>416</v>
      </c>
      <c r="D11" s="731">
        <f>'S2.3.4 Depoly_res'!D28</f>
        <v>0.84378947207572219</v>
      </c>
      <c r="E11" s="732">
        <f>-'S2.3.4 Depoly_res'!F8</f>
        <v>-1.8196306907718196</v>
      </c>
      <c r="F11" s="733">
        <f>'S2.3.4 Depoly_res'!D39</f>
        <v>-1.1553337286404854</v>
      </c>
      <c r="G11" s="461"/>
    </row>
    <row r="12" spans="2:17" x14ac:dyDescent="0.25">
      <c r="B12" s="1619"/>
      <c r="C12" s="19" t="s">
        <v>422</v>
      </c>
      <c r="D12" s="277">
        <f>AVERAGE('S2.3.4 Depoly_res'!C28:C31)</f>
        <v>0.58782951332885647</v>
      </c>
      <c r="E12" s="21">
        <f>-AVERAGE('S2.3.4 Depoly_res'!B8,'S2.3.4 Depoly_res'!E8,'S2.3.4 Depoly_res'!H8,'S2.3.4 Depoly_res'!K8)</f>
        <v>-2.5139261933774169</v>
      </c>
      <c r="F12" s="734">
        <f>AVERAGE('S2.3.4 Depoly_res'!C37:C40)</f>
        <v>-1.9260966800485604</v>
      </c>
      <c r="G12" s="461"/>
    </row>
    <row r="13" spans="2:17" x14ac:dyDescent="0.25">
      <c r="B13" s="1620"/>
      <c r="C13" s="37" t="s">
        <v>412</v>
      </c>
      <c r="D13" s="735">
        <f>'S2.3.4 Depoly_res'!B29</f>
        <v>0.27103810322385707</v>
      </c>
      <c r="E13" s="40">
        <f>-'S2.3.4 Depoly_res'!M8</f>
        <v>-3.8385194920710934</v>
      </c>
      <c r="F13" s="736">
        <f>'S2.3.4 Depoly_res'!B40</f>
        <v>-3.2904113883301251</v>
      </c>
      <c r="G13" s="461"/>
    </row>
    <row r="14" spans="2:17" x14ac:dyDescent="0.25">
      <c r="B14" s="1618" t="s">
        <v>12</v>
      </c>
      <c r="C14" s="353" t="s">
        <v>416</v>
      </c>
      <c r="D14" s="732">
        <f>'S2.4.1 Dissol_imp'!C48</f>
        <v>0.52519517315999997</v>
      </c>
      <c r="E14" s="732">
        <f>-'S2.4.3 Dissol_res'!L8</f>
        <v>-1.2320238135897525</v>
      </c>
      <c r="F14" s="737">
        <f>MAX('S2.4.3 Dissol_res'!B32:D41)</f>
        <v>-0.70682864042975257</v>
      </c>
      <c r="G14" s="461"/>
    </row>
    <row r="15" spans="2:17" x14ac:dyDescent="0.25">
      <c r="B15" s="1619"/>
      <c r="C15" s="19" t="s">
        <v>422</v>
      </c>
      <c r="D15" s="21">
        <f>'S2.4.1 Dissol_imp'!C47</f>
        <v>0.32646673088400002</v>
      </c>
      <c r="E15" s="21">
        <f>-AVERAGE('S2.4.3 Dissol_res'!B8,'S2.4.3 Dissol_res'!E8,'S2.4.3 Dissol_res'!H8,'S2.4.3 Dissol_res'!K8,'S2.4.3 Dissol_res'!N8,'S2.4.3 Dissol_res'!Q8,'S2.4.3 Dissol_res'!T8,'S2.4.3 Dissol_res'!W8,'S2.4.3 Dissol_res'!Z8,'S2.4.3 Dissol_res'!AC8)</f>
        <v>-2.6124087962473141</v>
      </c>
      <c r="F15" s="739">
        <f>AVERAGE('S2.4.3 Dissol_res'!C32:C41)</f>
        <v>-2.2859420653633138</v>
      </c>
      <c r="G15" s="461"/>
    </row>
    <row r="16" spans="2:17" x14ac:dyDescent="0.25">
      <c r="B16" s="1620"/>
      <c r="C16" s="37" t="s">
        <v>412</v>
      </c>
      <c r="D16" s="40">
        <f>'S2.4.1 Dissol_imp'!C46</f>
        <v>6.392057675447832E-2</v>
      </c>
      <c r="E16" s="40">
        <f>-'S2.4.3 Dissol_res'!AE8</f>
        <v>-6.2853283641832576</v>
      </c>
      <c r="F16" s="738">
        <f>MIN('S2.4.3 Dissol_res'!B32:D41)</f>
        <v>-6.2214077874287792</v>
      </c>
      <c r="G16" s="461"/>
    </row>
    <row r="17" spans="2:7" x14ac:dyDescent="0.25">
      <c r="B17" s="1618" t="s">
        <v>2182</v>
      </c>
      <c r="C17" s="353" t="s">
        <v>416</v>
      </c>
      <c r="D17" s="732">
        <f>MAX('S3.2 LCA data waste-to-energy'!N9:N19)</f>
        <v>3.1901299999999999</v>
      </c>
      <c r="E17" s="732">
        <f>-MAX('S3.2 LCA data waste-to-energy'!X9:X19)</f>
        <v>-2.3736899999999999</v>
      </c>
      <c r="F17" s="737">
        <f>MAX('S3.2 LCA data waste-to-energy'!D9:D19)</f>
        <v>3.0537239999999999</v>
      </c>
      <c r="G17" s="165"/>
    </row>
    <row r="18" spans="2:7" x14ac:dyDescent="0.25">
      <c r="B18" s="1619"/>
      <c r="C18" s="19" t="s">
        <v>422</v>
      </c>
      <c r="D18" s="21">
        <f>AVERAGE(D17,D19)</f>
        <v>2.5110600000000001</v>
      </c>
      <c r="E18" s="21">
        <f>AVERAGE(E17,E19)</f>
        <v>-1.2265227999999999</v>
      </c>
      <c r="F18" s="739">
        <f>AVERAGE('S3.2 LCA data waste-to-energy'!D9:D19,'S3.2 LCA data waste-to-energy'!Y9:Y19)</f>
        <v>1.7661337090909095</v>
      </c>
      <c r="G18" s="153"/>
    </row>
    <row r="19" spans="2:7" x14ac:dyDescent="0.25">
      <c r="B19" s="1620"/>
      <c r="C19" s="37" t="s">
        <v>412</v>
      </c>
      <c r="D19" s="40">
        <f>MIN('S3.2 LCA data waste-to-energy'!B9:B19)</f>
        <v>1.83199</v>
      </c>
      <c r="E19" s="40">
        <f>-MIN('S3.2 LCA data waste-to-energy'!C9:C19)</f>
        <v>-7.9355599999999998E-2</v>
      </c>
      <c r="F19" s="738">
        <f>MIN('S3.2 LCA data waste-to-energy'!Y9:Y19)</f>
        <v>0.33740000000000014</v>
      </c>
      <c r="G19" s="165"/>
    </row>
    <row r="20" spans="2:7" x14ac:dyDescent="0.25">
      <c r="G20" s="165"/>
    </row>
    <row r="21" spans="2:7" x14ac:dyDescent="0.25">
      <c r="G21" s="165"/>
    </row>
    <row r="22" spans="2:7" x14ac:dyDescent="0.25">
      <c r="G22" s="165"/>
    </row>
    <row r="23" spans="2:7" x14ac:dyDescent="0.25">
      <c r="G23" s="165"/>
    </row>
    <row r="24" spans="2:7" x14ac:dyDescent="0.25">
      <c r="C24" s="1478" t="s">
        <v>1938</v>
      </c>
      <c r="D24" s="1478"/>
      <c r="E24" s="1478"/>
      <c r="F24" s="1478"/>
      <c r="G24" s="165"/>
    </row>
    <row r="25" spans="2:7" x14ac:dyDescent="0.25">
      <c r="C25" s="1478" t="s">
        <v>1700</v>
      </c>
      <c r="D25" s="1478"/>
      <c r="E25" s="1478"/>
      <c r="F25" s="1478"/>
      <c r="G25" s="165"/>
    </row>
    <row r="26" spans="2:7" x14ac:dyDescent="0.25">
      <c r="C26" s="134"/>
      <c r="D26" s="134" t="s">
        <v>1689</v>
      </c>
      <c r="E26" s="818" t="s">
        <v>1690</v>
      </c>
      <c r="F26" s="818" t="s">
        <v>1473</v>
      </c>
      <c r="G26" s="165"/>
    </row>
    <row r="27" spans="2:7" x14ac:dyDescent="0.25">
      <c r="B27" s="1618" t="s">
        <v>500</v>
      </c>
      <c r="C27" s="353" t="s">
        <v>416</v>
      </c>
      <c r="D27" s="731">
        <f>MAX('S2.1.5 Gas_res'!F32:H34)</f>
        <v>0.66989112291708564</v>
      </c>
      <c r="E27" s="954">
        <f>-'S2.1.5 Gas_res'!N19</f>
        <v>0.4605990964127607</v>
      </c>
      <c r="F27" s="955">
        <f>'S2.1.5 Gas_res'!I41</f>
        <v>1.4465764393509928</v>
      </c>
      <c r="G27" s="461"/>
    </row>
    <row r="28" spans="2:7" x14ac:dyDescent="0.25">
      <c r="B28" s="1619"/>
      <c r="C28" s="19" t="s">
        <v>422</v>
      </c>
      <c r="D28" s="277">
        <f>'S2.1.5 Gas_res'!G34</f>
        <v>0.60944229047202914</v>
      </c>
      <c r="E28" s="839">
        <f>-'S2.1.5 Gas_res'!C19</f>
        <v>0.3907681876150742</v>
      </c>
      <c r="F28" s="734">
        <f>'S2.1.5 Gas_res'!J41</f>
        <v>1.0002104780871033</v>
      </c>
      <c r="G28" s="461"/>
    </row>
    <row r="29" spans="2:7" x14ac:dyDescent="0.25">
      <c r="B29" s="1619"/>
      <c r="C29" s="19" t="s">
        <v>412</v>
      </c>
      <c r="D29" s="277">
        <f>MIN('S2.1.5 Gas_res'!F32:H34)</f>
        <v>0.2724064253238439</v>
      </c>
      <c r="E29" s="21">
        <f>-'S2.1.5 Gas_res'!P19</f>
        <v>-0.13341057104667151</v>
      </c>
      <c r="F29" s="734">
        <f>'S2.1.5 Gas_res'!K41</f>
        <v>0.2605148733403253</v>
      </c>
      <c r="G29" s="461"/>
    </row>
    <row r="30" spans="2:7" x14ac:dyDescent="0.25">
      <c r="B30" s="1618" t="s">
        <v>121</v>
      </c>
      <c r="C30" s="353" t="s">
        <v>416</v>
      </c>
      <c r="D30" s="732">
        <f>'S2.2.2 Pyro_imp'!T85</f>
        <v>0.44688819578011485</v>
      </c>
      <c r="E30" s="732">
        <f>-'S2.2.4 Pyro_res'!N19</f>
        <v>1.40086907877827</v>
      </c>
      <c r="F30" s="737">
        <f>'S2.2.4 Pyro_res'!B31</f>
        <v>1.803292413289868</v>
      </c>
    </row>
    <row r="31" spans="2:7" x14ac:dyDescent="0.25">
      <c r="B31" s="1619"/>
      <c r="C31" s="19" t="s">
        <v>422</v>
      </c>
      <c r="D31" s="840">
        <f>'S2.2.2 Pyro_imp'!S85</f>
        <v>0.2991477703450538</v>
      </c>
      <c r="E31" s="21">
        <f>-'S2.2.4 Pyro_res'!C19</f>
        <v>0.20494053280487357</v>
      </c>
      <c r="F31" s="734">
        <f>'S2.2.4 Pyro_res'!C31</f>
        <v>0.50408830314992736</v>
      </c>
      <c r="G31" s="461"/>
    </row>
    <row r="32" spans="2:7" x14ac:dyDescent="0.25">
      <c r="B32" s="1620"/>
      <c r="C32" s="37" t="s">
        <v>412</v>
      </c>
      <c r="D32" s="40">
        <f>'S2.2.2 Pyro_imp'!R75</f>
        <v>0.17959392451360323</v>
      </c>
      <c r="E32" s="40">
        <f>-'S2.2.4 Pyro_res'!P19</f>
        <v>-0.31313881775760588</v>
      </c>
      <c r="F32" s="738">
        <f>'S2.2.4 Pyro_res'!D31</f>
        <v>-8.9080031975485752E-2</v>
      </c>
    </row>
    <row r="33" spans="2:15" x14ac:dyDescent="0.25">
      <c r="B33" s="1618" t="s">
        <v>11</v>
      </c>
      <c r="C33" s="353" t="s">
        <v>416</v>
      </c>
      <c r="D33" s="731">
        <f>MAX('S2.3.4 Depoly_res'!E28:G31)</f>
        <v>0.54530556088992688</v>
      </c>
      <c r="E33" s="40">
        <f>-MAX('S2.3.4 Depoly_res'!B17:M17)</f>
        <v>-2.4818128203121779</v>
      </c>
      <c r="F33" s="736">
        <f>MIN('S2.3.4 Depoly_res'!E37:E40)</f>
        <v>-2.1105954784533498</v>
      </c>
    </row>
    <row r="34" spans="2:15" x14ac:dyDescent="0.25">
      <c r="B34" s="1619"/>
      <c r="C34" s="19" t="s">
        <v>422</v>
      </c>
      <c r="D34" s="277">
        <f>AVERAGE('S2.3.4 Depoly_res'!F28:F31)</f>
        <v>0.34275687488370776</v>
      </c>
      <c r="E34" s="21">
        <f>-AVERAGE('S2.3.4 Depoly_res'!B17,'S2.3.4 Depoly_res'!E17,'S2.3.4 Depoly_res'!H17,'S2.3.4 Depoly_res'!K17)</f>
        <v>-1.6875844697730953</v>
      </c>
      <c r="F34" s="734">
        <f>AVERAGE('S2.3.4 Depoly_res'!F37:F40)</f>
        <v>-1.3448275948893875</v>
      </c>
      <c r="G34" s="461"/>
    </row>
    <row r="35" spans="2:15" x14ac:dyDescent="0.25">
      <c r="B35" s="1620"/>
      <c r="C35" s="37" t="s">
        <v>412</v>
      </c>
      <c r="D35" s="735">
        <f>MIN('S2.3.4 Depoly_res'!E28:G31)</f>
        <v>0.18061851961143299</v>
      </c>
      <c r="E35" s="732">
        <f>-MIN('S2.3.4 Depoly_res'!B17:M17)</f>
        <v>-1.1859184339901294</v>
      </c>
      <c r="F35" s="733">
        <f>MAX('S2.3.4 Depoly_res'!G37:G40)</f>
        <v>-0.8979862188121468</v>
      </c>
    </row>
    <row r="36" spans="2:15" x14ac:dyDescent="0.25">
      <c r="B36" s="1618" t="s">
        <v>12</v>
      </c>
      <c r="C36" s="353" t="s">
        <v>416</v>
      </c>
      <c r="D36" s="732">
        <f>'S2.4.1 Dissol_imp'!D48</f>
        <v>0.2122158920580316</v>
      </c>
      <c r="E36" s="40">
        <f>-MAX('S2.4.3 Dissol_res'!B17:AE17)</f>
        <v>-4.3409011096638084</v>
      </c>
      <c r="F36" s="738">
        <f>MIN('S2.4.3 Dissol_res'!G32:G41)</f>
        <v>-4.2883519896918099</v>
      </c>
    </row>
    <row r="37" spans="2:15" x14ac:dyDescent="0.25">
      <c r="B37" s="1619"/>
      <c r="C37" s="19" t="s">
        <v>422</v>
      </c>
      <c r="D37" s="21">
        <f>'S2.4.1 Dissol_imp'!D47</f>
        <v>0.13821581544576494</v>
      </c>
      <c r="E37" s="21">
        <f>-AVERAGE('S2.4.3 Dissol_res'!B17,'S2.4.3 Dissol_res'!E17,'S2.4.3 Dissol_res'!H17,'S2.4.3 Dissol_res'!K17,'S2.4.3 Dissol_res'!N17,'S2.4.3 Dissol_res'!Q17,'S2.4.3 Dissol_res'!T17,'S2.4.3 Dissol_res'!W17,'S2.4.3 Dissol_res'!Z17,'S2.4.3 Dissol_res'!AC17)</f>
        <v>-1.6950032680481524</v>
      </c>
      <c r="F37" s="739">
        <f>AVERAGE('S2.4.3 Dissol_res'!F32:F41)</f>
        <v>-1.5567874526023875</v>
      </c>
      <c r="G37" s="461"/>
    </row>
    <row r="38" spans="2:15" x14ac:dyDescent="0.25">
      <c r="B38" s="1620"/>
      <c r="C38" s="37" t="s">
        <v>412</v>
      </c>
      <c r="D38" s="40">
        <f>'S2.4.1 Dissol_imp'!D46</f>
        <v>5.2549119971998404E-2</v>
      </c>
      <c r="E38" s="732">
        <f>-MIN('S2.4.3 Dissol_res'!B17:AE17)</f>
        <v>-0.91018115627347007</v>
      </c>
      <c r="F38" s="737">
        <f>MAX('S2.4.3 Dissol_res'!E32:E41)</f>
        <v>-0.69796526421543847</v>
      </c>
    </row>
    <row r="39" spans="2:15" x14ac:dyDescent="0.25">
      <c r="B39" s="1618" t="s">
        <v>2182</v>
      </c>
      <c r="C39" s="353" t="s">
        <v>416</v>
      </c>
      <c r="D39" s="732">
        <f>D17</f>
        <v>3.1901299999999999</v>
      </c>
      <c r="E39" s="732">
        <f t="shared" ref="E39:F39" si="0">E17</f>
        <v>-2.3736899999999999</v>
      </c>
      <c r="F39" s="732">
        <f t="shared" si="0"/>
        <v>3.0537239999999999</v>
      </c>
    </row>
    <row r="40" spans="2:15" x14ac:dyDescent="0.25">
      <c r="B40" s="1619"/>
      <c r="C40" s="19" t="s">
        <v>422</v>
      </c>
      <c r="D40" s="21">
        <f t="shared" ref="D40:D41" si="1">D18</f>
        <v>2.5110600000000001</v>
      </c>
      <c r="E40" s="21">
        <f t="shared" ref="E40:F40" si="2">E18</f>
        <v>-1.2265227999999999</v>
      </c>
      <c r="F40" s="739">
        <f t="shared" si="2"/>
        <v>1.7661337090909095</v>
      </c>
    </row>
    <row r="41" spans="2:15" x14ac:dyDescent="0.25">
      <c r="B41" s="1620"/>
      <c r="C41" s="37" t="s">
        <v>412</v>
      </c>
      <c r="D41" s="40">
        <f t="shared" si="1"/>
        <v>1.83199</v>
      </c>
      <c r="E41" s="40">
        <f t="shared" ref="E41:F41" si="3">E19</f>
        <v>-7.9355599999999998E-2</v>
      </c>
      <c r="F41" s="738">
        <f t="shared" si="3"/>
        <v>0.33740000000000014</v>
      </c>
    </row>
    <row r="43" spans="2:15" ht="78.400000000000006" customHeight="1" x14ac:dyDescent="0.25">
      <c r="B43" s="1621" t="s">
        <v>2056</v>
      </c>
      <c r="C43" s="1621"/>
      <c r="D43" s="1621"/>
      <c r="E43" s="1621"/>
      <c r="F43" s="1621"/>
      <c r="G43" s="1621"/>
      <c r="H43" s="1621"/>
      <c r="I43" s="1621"/>
      <c r="J43" s="1621"/>
      <c r="K43" s="1621"/>
      <c r="L43" s="1621"/>
      <c r="M43" s="1621"/>
      <c r="N43" s="1621"/>
      <c r="O43" s="1621"/>
    </row>
  </sheetData>
  <mergeCells count="15">
    <mergeCell ref="B17:B19"/>
    <mergeCell ref="B39:B41"/>
    <mergeCell ref="B43:O43"/>
    <mergeCell ref="B36:B38"/>
    <mergeCell ref="C24:F24"/>
    <mergeCell ref="C25:F25"/>
    <mergeCell ref="B27:B29"/>
    <mergeCell ref="B30:B32"/>
    <mergeCell ref="B33:B35"/>
    <mergeCell ref="B14:B16"/>
    <mergeCell ref="C2:F2"/>
    <mergeCell ref="C3:F3"/>
    <mergeCell ref="B5:B7"/>
    <mergeCell ref="B8:B10"/>
    <mergeCell ref="B11:B13"/>
  </mergeCells>
  <pageMargins left="0.7" right="0.7" top="0.75" bottom="0.75" header="0.3" footer="0.3"/>
  <pageSetup paperSize="9" orientation="portrait" r:id="rId1"/>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64D4F-7271-4C7A-9EC3-38D19D0502E5}">
  <sheetPr>
    <tabColor rgb="FF1D6563"/>
  </sheetPr>
  <dimension ref="B4:M12"/>
  <sheetViews>
    <sheetView zoomScale="85" zoomScaleNormal="85" workbookViewId="0">
      <selection activeCell="D13" sqref="D13"/>
    </sheetView>
  </sheetViews>
  <sheetFormatPr defaultRowHeight="15" x14ac:dyDescent="0.25"/>
  <sheetData>
    <row r="4" spans="2:13" x14ac:dyDescent="0.25">
      <c r="B4" s="49"/>
      <c r="C4" s="50"/>
      <c r="D4" s="50"/>
      <c r="E4" s="50"/>
      <c r="F4" s="50"/>
      <c r="G4" s="50"/>
      <c r="H4" s="50"/>
      <c r="I4" s="50"/>
      <c r="J4" s="50"/>
    </row>
    <row r="5" spans="2:13" ht="21" x14ac:dyDescent="0.35">
      <c r="B5" s="60" t="s">
        <v>67</v>
      </c>
      <c r="C5" s="50"/>
      <c r="D5" s="50"/>
      <c r="E5" s="50"/>
      <c r="F5" s="50"/>
      <c r="G5" s="50"/>
      <c r="H5" s="50"/>
      <c r="I5" s="50"/>
      <c r="J5" s="50"/>
    </row>
    <row r="6" spans="2:13" ht="15.75" thickBot="1" x14ac:dyDescent="0.3">
      <c r="B6" s="49"/>
      <c r="C6" s="50"/>
      <c r="D6" s="50"/>
      <c r="E6" s="50"/>
      <c r="F6" s="50"/>
      <c r="G6" s="50"/>
      <c r="H6" s="50"/>
      <c r="I6" s="50"/>
      <c r="J6" s="50"/>
    </row>
    <row r="7" spans="2:13" x14ac:dyDescent="0.25">
      <c r="C7" s="1622" t="s">
        <v>2044</v>
      </c>
      <c r="D7" s="1623"/>
      <c r="E7" s="1623"/>
      <c r="F7" s="1624"/>
      <c r="G7" s="754" t="s">
        <v>1719</v>
      </c>
      <c r="H7" s="755" t="s">
        <v>1716</v>
      </c>
      <c r="I7" s="755" t="s">
        <v>1720</v>
      </c>
      <c r="J7" s="756" t="s">
        <v>72</v>
      </c>
      <c r="K7" s="756" t="s">
        <v>1714</v>
      </c>
      <c r="L7" s="757" t="s">
        <v>1713</v>
      </c>
      <c r="M7" s="741" t="s">
        <v>3</v>
      </c>
    </row>
    <row r="8" spans="2:13" ht="15.75" thickBot="1" x14ac:dyDescent="0.3">
      <c r="C8" s="138" t="s">
        <v>29</v>
      </c>
      <c r="D8" s="138" t="s">
        <v>69</v>
      </c>
      <c r="E8" s="138" t="s">
        <v>70</v>
      </c>
      <c r="F8" s="129" t="s">
        <v>71</v>
      </c>
      <c r="G8" s="1429" t="s">
        <v>2042</v>
      </c>
      <c r="H8" s="1430"/>
      <c r="I8" s="1430"/>
      <c r="J8" s="1430"/>
      <c r="K8" s="1430"/>
      <c r="L8" s="1627"/>
    </row>
    <row r="9" spans="2:13" x14ac:dyDescent="0.25">
      <c r="B9" s="750" t="s">
        <v>1850</v>
      </c>
      <c r="C9" s="758">
        <f>SUM(G9,H9,I9,J9,K9)</f>
        <v>7.1987599999999999E-2</v>
      </c>
      <c r="D9" s="758">
        <f>SUM(G9,H9,I9,K9)</f>
        <v>5.6987599999999999E-2</v>
      </c>
      <c r="E9" s="758">
        <f>SUM(G9,H9,I9,K9,L9)</f>
        <v>6.3975199999999996E-2</v>
      </c>
      <c r="F9" s="758">
        <f>SUM(G9,H9,I9,K9,L9)</f>
        <v>6.3975199999999996E-2</v>
      </c>
      <c r="G9" s="752">
        <f>0.02</f>
        <v>0.02</v>
      </c>
      <c r="H9" s="745">
        <f xml:space="preserve"> 0.03/2</f>
        <v>1.4999999999999999E-2</v>
      </c>
      <c r="I9" s="745">
        <f xml:space="preserve"> 0.03/2</f>
        <v>1.4999999999999999E-2</v>
      </c>
      <c r="J9" s="745">
        <f>I9</f>
        <v>1.4999999999999999E-2</v>
      </c>
      <c r="K9" s="746">
        <f>0.108*0.0647</f>
        <v>6.9875999999999992E-3</v>
      </c>
      <c r="L9" s="747">
        <f>L10</f>
        <v>6.9875999999999992E-3</v>
      </c>
    </row>
    <row r="10" spans="2:13" ht="15.75" thickBot="1" x14ac:dyDescent="0.3">
      <c r="B10" s="751" t="s">
        <v>1712</v>
      </c>
      <c r="C10" s="759">
        <f>I10</f>
        <v>1.4999999999999999E-2</v>
      </c>
      <c r="D10" s="759">
        <f>I10</f>
        <v>1.4999999999999999E-2</v>
      </c>
      <c r="E10" s="759">
        <f>SUM(I10,L10)</f>
        <v>2.19876E-2</v>
      </c>
      <c r="F10" s="759">
        <f>SUM(I10,L10)</f>
        <v>2.19876E-2</v>
      </c>
      <c r="G10" s="753"/>
      <c r="H10" s="127"/>
      <c r="I10" s="748">
        <f>0.03/2</f>
        <v>1.4999999999999999E-2</v>
      </c>
      <c r="J10" s="127"/>
      <c r="K10" s="127"/>
      <c r="L10" s="749">
        <f>0.108*0.0647</f>
        <v>6.9875999999999992E-3</v>
      </c>
    </row>
    <row r="11" spans="2:13" x14ac:dyDescent="0.25">
      <c r="B11" s="742" t="s">
        <v>30</v>
      </c>
      <c r="C11" s="1625"/>
      <c r="D11" s="1625"/>
      <c r="E11" s="1625"/>
      <c r="F11" s="1625"/>
      <c r="G11" s="1626" t="s">
        <v>1717</v>
      </c>
      <c r="H11" s="1626"/>
      <c r="I11" s="1626"/>
      <c r="J11" s="743" t="s">
        <v>1718</v>
      </c>
      <c r="K11" s="743" t="s">
        <v>1715</v>
      </c>
      <c r="L11" s="744" t="str">
        <f>K11</f>
        <v>approximated via electricity consumption for plastic sorting from Van Eygen (0.0647 kWh), electricity production via. Electricity, low voltage {RER}| market group for | Cut-off, U</v>
      </c>
      <c r="M11" t="s">
        <v>3</v>
      </c>
    </row>
    <row r="12" spans="2:13" x14ac:dyDescent="0.25">
      <c r="B12" s="49"/>
      <c r="C12" s="50"/>
      <c r="D12" s="50"/>
      <c r="E12" s="50"/>
      <c r="F12" s="50"/>
      <c r="G12" s="50"/>
      <c r="H12" s="50"/>
      <c r="I12" s="50"/>
      <c r="J12" s="50"/>
    </row>
  </sheetData>
  <mergeCells count="4">
    <mergeCell ref="C7:F7"/>
    <mergeCell ref="C11:F11"/>
    <mergeCell ref="G11:I11"/>
    <mergeCell ref="G8:L8"/>
  </mergeCells>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E19B4-8D0B-4561-B039-2489902E05BD}">
  <sheetPr>
    <tabColor rgb="FF1D6563"/>
  </sheetPr>
  <dimension ref="A1:AB19"/>
  <sheetViews>
    <sheetView zoomScale="70" zoomScaleNormal="70" workbookViewId="0">
      <selection activeCell="A21" sqref="A21"/>
    </sheetView>
  </sheetViews>
  <sheetFormatPr defaultColWidth="9" defaultRowHeight="14.25" x14ac:dyDescent="0.2"/>
  <cols>
    <col min="1" max="1" width="23.28515625" style="184" customWidth="1"/>
    <col min="2" max="25" width="12.85546875" style="184" customWidth="1"/>
    <col min="26" max="16384" width="9" style="184"/>
  </cols>
  <sheetData>
    <row r="1" spans="1:28" ht="18" x14ac:dyDescent="0.25">
      <c r="A1" s="687" t="s">
        <v>2163</v>
      </c>
      <c r="B1" s="687"/>
      <c r="C1" s="687"/>
      <c r="N1" s="687"/>
      <c r="O1" s="687"/>
    </row>
    <row r="2" spans="1:28" ht="14.25" customHeight="1" x14ac:dyDescent="0.2">
      <c r="E2" s="1662" t="s">
        <v>1218</v>
      </c>
      <c r="F2" s="1662"/>
      <c r="G2" s="1662"/>
      <c r="H2" s="1662"/>
      <c r="I2" s="1662"/>
      <c r="J2" s="1662"/>
      <c r="K2" s="1662"/>
      <c r="L2" s="1662"/>
      <c r="M2" s="1662"/>
      <c r="Q2" s="1662" t="s">
        <v>1218</v>
      </c>
      <c r="R2" s="1662"/>
      <c r="S2" s="1662"/>
      <c r="T2" s="1662"/>
      <c r="U2" s="1662"/>
      <c r="V2" s="1662"/>
      <c r="W2" s="1662"/>
      <c r="X2" s="1662"/>
      <c r="Y2" s="1662"/>
    </row>
    <row r="3" spans="1:28" ht="46.5" customHeight="1" x14ac:dyDescent="0.2">
      <c r="B3" s="1630" t="s">
        <v>2166</v>
      </c>
      <c r="C3" s="1631"/>
      <c r="D3" s="1632"/>
      <c r="E3" s="1644" t="s">
        <v>2169</v>
      </c>
      <c r="F3" s="1645"/>
      <c r="G3" s="1646"/>
      <c r="H3" s="1644" t="s">
        <v>2170</v>
      </c>
      <c r="I3" s="1645"/>
      <c r="J3" s="1646"/>
      <c r="K3" s="1644" t="s">
        <v>2178</v>
      </c>
      <c r="L3" s="1645"/>
      <c r="M3" s="1646"/>
      <c r="N3" s="1630" t="s">
        <v>2173</v>
      </c>
      <c r="O3" s="1631"/>
      <c r="P3" s="1632"/>
      <c r="Q3" s="1644" t="s">
        <v>2171</v>
      </c>
      <c r="R3" s="1645"/>
      <c r="S3" s="1646"/>
      <c r="T3" s="1644" t="s">
        <v>2176</v>
      </c>
      <c r="U3" s="1645"/>
      <c r="V3" s="1646"/>
      <c r="W3" s="1644" t="s">
        <v>2179</v>
      </c>
      <c r="X3" s="1645"/>
      <c r="Y3" s="1646"/>
    </row>
    <row r="4" spans="1:28" ht="14.25" customHeight="1" x14ac:dyDescent="0.2">
      <c r="A4" s="1228" t="s">
        <v>2164</v>
      </c>
      <c r="B4" s="1633">
        <v>0.20119999999999999</v>
      </c>
      <c r="C4" s="1634"/>
      <c r="D4" s="1635"/>
      <c r="E4" s="1647">
        <v>0.111</v>
      </c>
      <c r="F4" s="1648"/>
      <c r="G4" s="1649"/>
      <c r="H4" s="1647">
        <v>0.156</v>
      </c>
      <c r="I4" s="1648"/>
      <c r="J4" s="1649"/>
      <c r="K4" s="1647">
        <v>0.26</v>
      </c>
      <c r="L4" s="1648">
        <v>0.26</v>
      </c>
      <c r="M4" s="1649">
        <v>0.26</v>
      </c>
      <c r="N4" s="1633">
        <v>0.20119999999999999</v>
      </c>
      <c r="O4" s="1634"/>
      <c r="P4" s="1635"/>
      <c r="Q4" s="1647">
        <v>0.111</v>
      </c>
      <c r="R4" s="1648"/>
      <c r="S4" s="1649"/>
      <c r="T4" s="1647">
        <v>0.156</v>
      </c>
      <c r="U4" s="1648"/>
      <c r="V4" s="1649"/>
      <c r="W4" s="1647">
        <v>0.26</v>
      </c>
      <c r="X4" s="1648">
        <v>0.26</v>
      </c>
      <c r="Y4" s="1649">
        <v>0.26</v>
      </c>
      <c r="Z4" s="212"/>
    </row>
    <row r="5" spans="1:28" ht="14.25" customHeight="1" x14ac:dyDescent="0.2">
      <c r="A5" s="679" t="s">
        <v>2165</v>
      </c>
      <c r="B5" s="1636">
        <v>0.36209999999999998</v>
      </c>
      <c r="C5" s="1637"/>
      <c r="D5" s="1638"/>
      <c r="E5" s="1650">
        <v>0.63900000000000001</v>
      </c>
      <c r="F5" s="1651"/>
      <c r="G5" s="1652"/>
      <c r="H5" s="1650">
        <v>0.55100000000000005</v>
      </c>
      <c r="I5" s="1651"/>
      <c r="J5" s="1652"/>
      <c r="K5" s="1650">
        <v>0.62</v>
      </c>
      <c r="L5" s="1651">
        <v>0.62</v>
      </c>
      <c r="M5" s="1652">
        <v>0.62</v>
      </c>
      <c r="N5" s="1636">
        <v>0.36209999999999998</v>
      </c>
      <c r="O5" s="1637"/>
      <c r="P5" s="1638"/>
      <c r="Q5" s="1650">
        <v>0.63900000000000001</v>
      </c>
      <c r="R5" s="1651"/>
      <c r="S5" s="1652"/>
      <c r="T5" s="1650">
        <v>0.55100000000000005</v>
      </c>
      <c r="U5" s="1651"/>
      <c r="V5" s="1652"/>
      <c r="W5" s="1650">
        <v>0.62</v>
      </c>
      <c r="X5" s="1651">
        <v>0.62</v>
      </c>
      <c r="Y5" s="1652">
        <v>0.62</v>
      </c>
      <c r="Z5" s="212"/>
    </row>
    <row r="6" spans="1:28" ht="112.9" customHeight="1" x14ac:dyDescent="0.2">
      <c r="A6" s="1232" t="s">
        <v>30</v>
      </c>
      <c r="B6" s="1639" t="s">
        <v>2177</v>
      </c>
      <c r="C6" s="1553"/>
      <c r="D6" s="1640"/>
      <c r="E6" s="1653" t="s">
        <v>2167</v>
      </c>
      <c r="F6" s="1654"/>
      <c r="G6" s="1655"/>
      <c r="H6" s="1653" t="s">
        <v>2168</v>
      </c>
      <c r="I6" s="1654"/>
      <c r="J6" s="1655"/>
      <c r="K6" s="1659" t="s">
        <v>1842</v>
      </c>
      <c r="L6" s="1660"/>
      <c r="M6" s="1661"/>
      <c r="N6" s="1639" t="s">
        <v>2177</v>
      </c>
      <c r="O6" s="1553"/>
      <c r="P6" s="1640"/>
      <c r="Q6" s="1653" t="s">
        <v>2167</v>
      </c>
      <c r="R6" s="1654"/>
      <c r="S6" s="1655"/>
      <c r="T6" s="1653" t="s">
        <v>2168</v>
      </c>
      <c r="U6" s="1654"/>
      <c r="V6" s="1655"/>
      <c r="W6" s="1659" t="s">
        <v>1842</v>
      </c>
      <c r="X6" s="1660"/>
      <c r="Y6" s="1661"/>
    </row>
    <row r="7" spans="1:28" ht="29.25" customHeight="1" x14ac:dyDescent="0.2">
      <c r="A7" s="1628"/>
      <c r="B7" s="1641" t="s">
        <v>2172</v>
      </c>
      <c r="C7" s="1642"/>
      <c r="D7" s="1643"/>
      <c r="E7" s="1656" t="s">
        <v>2172</v>
      </c>
      <c r="F7" s="1657"/>
      <c r="G7" s="1658"/>
      <c r="H7" s="1656" t="s">
        <v>2172</v>
      </c>
      <c r="I7" s="1657"/>
      <c r="J7" s="1658"/>
      <c r="K7" s="1656" t="s">
        <v>2172</v>
      </c>
      <c r="L7" s="1657"/>
      <c r="M7" s="1658"/>
      <c r="N7" s="1641" t="s">
        <v>2172</v>
      </c>
      <c r="O7" s="1642"/>
      <c r="P7" s="1643"/>
      <c r="Q7" s="1656" t="s">
        <v>2172</v>
      </c>
      <c r="R7" s="1657"/>
      <c r="S7" s="1658"/>
      <c r="T7" s="1656" t="s">
        <v>2172</v>
      </c>
      <c r="U7" s="1657"/>
      <c r="V7" s="1658"/>
      <c r="W7" s="1656" t="s">
        <v>2172</v>
      </c>
      <c r="X7" s="1657"/>
      <c r="Y7" s="1658"/>
    </row>
    <row r="8" spans="1:28" x14ac:dyDescent="0.2">
      <c r="A8" s="1629"/>
      <c r="B8" s="1233" t="s">
        <v>1224</v>
      </c>
      <c r="C8" s="1230" t="s">
        <v>1080</v>
      </c>
      <c r="D8" s="1234" t="s">
        <v>1473</v>
      </c>
      <c r="E8" s="1240" t="s">
        <v>1224</v>
      </c>
      <c r="F8" s="1241" t="s">
        <v>1080</v>
      </c>
      <c r="G8" s="1242" t="s">
        <v>1473</v>
      </c>
      <c r="H8" s="1240" t="s">
        <v>1224</v>
      </c>
      <c r="I8" s="1241" t="s">
        <v>1080</v>
      </c>
      <c r="J8" s="1242" t="s">
        <v>1473</v>
      </c>
      <c r="K8" s="1240" t="s">
        <v>1224</v>
      </c>
      <c r="L8" s="1241" t="s">
        <v>1080</v>
      </c>
      <c r="M8" s="1242" t="s">
        <v>1473</v>
      </c>
      <c r="N8" s="1233" t="s">
        <v>1224</v>
      </c>
      <c r="O8" s="1230" t="s">
        <v>1080</v>
      </c>
      <c r="P8" s="1234" t="s">
        <v>1473</v>
      </c>
      <c r="Q8" s="1240" t="s">
        <v>1224</v>
      </c>
      <c r="R8" s="1241" t="s">
        <v>1080</v>
      </c>
      <c r="S8" s="1242" t="s">
        <v>1473</v>
      </c>
      <c r="T8" s="1240" t="s">
        <v>1224</v>
      </c>
      <c r="U8" s="1241" t="s">
        <v>1080</v>
      </c>
      <c r="V8" s="1242" t="s">
        <v>1473</v>
      </c>
      <c r="W8" s="1240" t="s">
        <v>1224</v>
      </c>
      <c r="X8" s="1241" t="s">
        <v>1080</v>
      </c>
      <c r="Y8" s="1242" t="s">
        <v>1473</v>
      </c>
    </row>
    <row r="9" spans="1:28" ht="15" x14ac:dyDescent="0.25">
      <c r="A9" s="676" t="s">
        <v>17</v>
      </c>
      <c r="B9" s="310">
        <v>3.0167899999999999</v>
      </c>
      <c r="C9" s="1235">
        <v>0.171431</v>
      </c>
      <c r="D9" s="1236">
        <f>B9-C9</f>
        <v>2.8453589999999997</v>
      </c>
      <c r="E9" s="1243">
        <v>3.0167899999999999</v>
      </c>
      <c r="F9" s="1244">
        <v>0.17422499999999999</v>
      </c>
      <c r="G9" s="1245">
        <f>E9-F9</f>
        <v>2.842565</v>
      </c>
      <c r="H9" s="1243">
        <v>3.0167899999999999</v>
      </c>
      <c r="I9" s="1244">
        <v>0.181924</v>
      </c>
      <c r="J9" s="1245">
        <f>H9-I9</f>
        <v>2.8348659999999999</v>
      </c>
      <c r="K9" s="1243">
        <v>3.0167899999999999</v>
      </c>
      <c r="L9" s="1244">
        <v>0.249108</v>
      </c>
      <c r="M9" s="1245">
        <f>K9-L9</f>
        <v>2.7676819999999998</v>
      </c>
      <c r="N9" s="310">
        <v>3.0186799999999998</v>
      </c>
      <c r="O9" s="1235">
        <v>1.44662</v>
      </c>
      <c r="P9" s="1236">
        <f>N9-O9</f>
        <v>1.5720599999999998</v>
      </c>
      <c r="Q9" s="1243">
        <v>3.0186799999999998</v>
      </c>
      <c r="R9" s="1244">
        <v>1.6397699999999999</v>
      </c>
      <c r="S9" s="1245">
        <f>Q9-R9</f>
        <v>1.3789099999999999</v>
      </c>
      <c r="T9" s="1243">
        <v>3.0186799999999998</v>
      </c>
      <c r="U9" s="1244">
        <v>1.6395</v>
      </c>
      <c r="V9" s="1245">
        <f>T9-U9</f>
        <v>1.3791799999999999</v>
      </c>
      <c r="W9" s="1243">
        <v>3.0186799999999998</v>
      </c>
      <c r="X9" s="1244">
        <v>2.1608100000000001</v>
      </c>
      <c r="Y9" s="1245">
        <f>W9-X9</f>
        <v>0.85786999999999969</v>
      </c>
      <c r="AB9" s="762"/>
    </row>
    <row r="10" spans="1:28" ht="15" x14ac:dyDescent="0.25">
      <c r="A10" s="676" t="s">
        <v>19</v>
      </c>
      <c r="B10" s="311">
        <v>3.0167899999999999</v>
      </c>
      <c r="C10" s="203">
        <v>0.171431</v>
      </c>
      <c r="D10" s="1237">
        <f t="shared" ref="D10:D19" si="0">B10-C10</f>
        <v>2.8453589999999997</v>
      </c>
      <c r="E10" s="1246">
        <v>3.0167899999999999</v>
      </c>
      <c r="F10" s="1247">
        <v>0.17422499999999999</v>
      </c>
      <c r="G10" s="1248">
        <f t="shared" ref="G10:G19" si="1">E10-F10</f>
        <v>2.842565</v>
      </c>
      <c r="H10" s="1246">
        <v>3.0167899999999999</v>
      </c>
      <c r="I10" s="1247">
        <v>0.181924</v>
      </c>
      <c r="J10" s="1248">
        <f t="shared" ref="J10:J19" si="2">H10-I10</f>
        <v>2.8348659999999999</v>
      </c>
      <c r="K10" s="1246">
        <v>3.0167899999999999</v>
      </c>
      <c r="L10" s="1247">
        <v>0.249108</v>
      </c>
      <c r="M10" s="1248">
        <f t="shared" ref="M10:M19" si="3">K10-L10</f>
        <v>2.7676819999999998</v>
      </c>
      <c r="N10" s="311">
        <v>3.0186799999999998</v>
      </c>
      <c r="O10" s="203">
        <v>1.44662</v>
      </c>
      <c r="P10" s="1237">
        <f t="shared" ref="P10:P19" si="4">N10-O10</f>
        <v>1.5720599999999998</v>
      </c>
      <c r="Q10" s="1246">
        <v>3.0186799999999998</v>
      </c>
      <c r="R10" s="1247">
        <v>1.6397699999999999</v>
      </c>
      <c r="S10" s="1248">
        <f t="shared" ref="S10:S19" si="5">Q10-R10</f>
        <v>1.3789099999999999</v>
      </c>
      <c r="T10" s="1246">
        <v>3.0186799999999998</v>
      </c>
      <c r="U10" s="1247">
        <v>1.6395</v>
      </c>
      <c r="V10" s="1248">
        <f t="shared" ref="V10:V19" si="6">T10-U10</f>
        <v>1.3791799999999999</v>
      </c>
      <c r="W10" s="1246">
        <v>3.0186799999999998</v>
      </c>
      <c r="X10" s="1247">
        <v>2.1608100000000001</v>
      </c>
      <c r="Y10" s="1248">
        <f t="shared" ref="Y10:Y19" si="7">W10-X10</f>
        <v>0.85786999999999969</v>
      </c>
      <c r="AB10" s="762"/>
    </row>
    <row r="11" spans="1:28" ht="15" x14ac:dyDescent="0.25">
      <c r="A11" s="676" t="s">
        <v>20</v>
      </c>
      <c r="B11" s="311">
        <v>2.0585800000000001</v>
      </c>
      <c r="C11" s="203">
        <v>9.2287800000000003E-2</v>
      </c>
      <c r="D11" s="1237">
        <f t="shared" si="0"/>
        <v>1.9662922</v>
      </c>
      <c r="E11" s="1246">
        <v>2.0585800000000001</v>
      </c>
      <c r="F11" s="1247">
        <v>9.4203099999999998E-2</v>
      </c>
      <c r="G11" s="1248">
        <f t="shared" si="1"/>
        <v>1.9643769</v>
      </c>
      <c r="H11" s="1246">
        <v>2.0585800000000001</v>
      </c>
      <c r="I11" s="1247">
        <v>9.8189399999999996E-2</v>
      </c>
      <c r="J11" s="1248">
        <f t="shared" si="2"/>
        <v>1.9603906</v>
      </c>
      <c r="K11" s="1246">
        <v>2.0585800000000001</v>
      </c>
      <c r="L11" s="1247">
        <v>0.13424700000000001</v>
      </c>
      <c r="M11" s="1248">
        <f t="shared" si="3"/>
        <v>1.9243330000000001</v>
      </c>
      <c r="N11" s="311">
        <v>2.05992</v>
      </c>
      <c r="O11" s="203">
        <v>0.77993800000000002</v>
      </c>
      <c r="P11" s="1237">
        <f t="shared" si="4"/>
        <v>1.279982</v>
      </c>
      <c r="Q11" s="1246">
        <v>2.05992</v>
      </c>
      <c r="R11" s="1247">
        <v>0.887741</v>
      </c>
      <c r="S11" s="1248">
        <f t="shared" si="5"/>
        <v>1.1721789999999999</v>
      </c>
      <c r="T11" s="1246">
        <v>2.05992</v>
      </c>
      <c r="U11" s="1247">
        <v>0.88618200000000003</v>
      </c>
      <c r="V11" s="1248">
        <f t="shared" si="6"/>
        <v>1.1737379999999999</v>
      </c>
      <c r="W11" s="1246">
        <v>2.05992</v>
      </c>
      <c r="X11" s="1247">
        <v>1.1662600000000001</v>
      </c>
      <c r="Y11" s="1248">
        <f t="shared" si="7"/>
        <v>0.8936599999999999</v>
      </c>
      <c r="AB11" s="762"/>
    </row>
    <row r="12" spans="1:28" ht="15" x14ac:dyDescent="0.25">
      <c r="A12" s="676" t="s">
        <v>21</v>
      </c>
      <c r="B12" s="311">
        <v>2.5478700000000001</v>
      </c>
      <c r="C12" s="203">
        <v>0.13029199999999999</v>
      </c>
      <c r="D12" s="1237">
        <f t="shared" si="0"/>
        <v>2.4175780000000002</v>
      </c>
      <c r="E12" s="1246">
        <v>2.5478700000000001</v>
      </c>
      <c r="F12" s="1247">
        <v>0.132604</v>
      </c>
      <c r="G12" s="1248">
        <f t="shared" si="1"/>
        <v>2.4152659999999999</v>
      </c>
      <c r="H12" s="1246">
        <v>2.5478700000000001</v>
      </c>
      <c r="I12" s="1247">
        <v>0.13838300000000001</v>
      </c>
      <c r="J12" s="1248">
        <f t="shared" si="2"/>
        <v>2.4094869999999999</v>
      </c>
      <c r="K12" s="1246">
        <v>2.5478700000000001</v>
      </c>
      <c r="L12" s="1247">
        <v>0.18939400000000001</v>
      </c>
      <c r="M12" s="1248">
        <f t="shared" si="3"/>
        <v>2.358476</v>
      </c>
      <c r="N12" s="311">
        <v>2.5495999999999999</v>
      </c>
      <c r="O12" s="203">
        <v>1.1000000000000001</v>
      </c>
      <c r="P12" s="1237">
        <f t="shared" si="4"/>
        <v>1.4495999999999998</v>
      </c>
      <c r="Q12" s="1246">
        <v>2.5495999999999999</v>
      </c>
      <c r="R12" s="1247">
        <v>1.2485599999999999</v>
      </c>
      <c r="S12" s="1248">
        <f t="shared" si="5"/>
        <v>1.30104</v>
      </c>
      <c r="T12" s="1246">
        <v>2.5495999999999999</v>
      </c>
      <c r="U12" s="1247">
        <v>1.2477</v>
      </c>
      <c r="V12" s="1248">
        <f t="shared" si="6"/>
        <v>1.3018999999999998</v>
      </c>
      <c r="W12" s="1246">
        <v>2.5495999999999999</v>
      </c>
      <c r="X12" s="1247">
        <v>1.6436500000000001</v>
      </c>
      <c r="Y12" s="1248">
        <f t="shared" si="7"/>
        <v>0.90594999999999981</v>
      </c>
      <c r="AB12" s="762"/>
    </row>
    <row r="13" spans="1:28" ht="15" x14ac:dyDescent="0.25">
      <c r="A13" s="676" t="s">
        <v>22</v>
      </c>
      <c r="B13" s="311">
        <v>3.1796899999999999</v>
      </c>
      <c r="C13" s="203">
        <v>0.12596599999999999</v>
      </c>
      <c r="D13" s="1237">
        <f t="shared" si="0"/>
        <v>3.0537239999999999</v>
      </c>
      <c r="E13" s="1246">
        <v>3.1796899999999999</v>
      </c>
      <c r="F13" s="1247">
        <v>0.12820599999999999</v>
      </c>
      <c r="G13" s="1248">
        <f t="shared" si="1"/>
        <v>3.0514839999999999</v>
      </c>
      <c r="H13" s="1246">
        <v>3.1796899999999999</v>
      </c>
      <c r="I13" s="1247">
        <v>0.13379099999999999</v>
      </c>
      <c r="J13" s="1248">
        <f t="shared" si="2"/>
        <v>3.0458989999999999</v>
      </c>
      <c r="K13" s="1246">
        <v>3.1796899999999999</v>
      </c>
      <c r="L13" s="1247">
        <v>0.18310699999999999</v>
      </c>
      <c r="M13" s="1248">
        <f t="shared" si="3"/>
        <v>2.9965829999999998</v>
      </c>
      <c r="N13" s="311">
        <v>3.1816900000000001</v>
      </c>
      <c r="O13" s="203">
        <v>1.06349</v>
      </c>
      <c r="P13" s="1237">
        <f t="shared" si="4"/>
        <v>2.1181999999999999</v>
      </c>
      <c r="Q13" s="1246">
        <v>3.1816900000000001</v>
      </c>
      <c r="R13" s="1247">
        <v>1.20716</v>
      </c>
      <c r="S13" s="1248">
        <f t="shared" si="5"/>
        <v>1.9745300000000001</v>
      </c>
      <c r="T13" s="1246">
        <v>3.1816900000000001</v>
      </c>
      <c r="U13" s="1247">
        <v>1.20631</v>
      </c>
      <c r="V13" s="1248">
        <f t="shared" si="6"/>
        <v>1.9753800000000001</v>
      </c>
      <c r="W13" s="1246">
        <v>3.1816900000000001</v>
      </c>
      <c r="X13" s="1247">
        <v>1.58911</v>
      </c>
      <c r="Y13" s="1248">
        <f t="shared" si="7"/>
        <v>1.5925800000000001</v>
      </c>
      <c r="AB13" s="762"/>
    </row>
    <row r="14" spans="1:28" ht="15" x14ac:dyDescent="0.25">
      <c r="A14" s="676" t="s">
        <v>23</v>
      </c>
      <c r="B14" s="311">
        <v>1.83199</v>
      </c>
      <c r="C14" s="203">
        <v>7.9355599999999998E-2</v>
      </c>
      <c r="D14" s="1237">
        <f t="shared" si="0"/>
        <v>1.7526344</v>
      </c>
      <c r="E14" s="1246">
        <v>1.83199</v>
      </c>
      <c r="F14" s="1247">
        <v>8.38647E-2</v>
      </c>
      <c r="G14" s="1248">
        <f t="shared" si="1"/>
        <v>1.7481253000000001</v>
      </c>
      <c r="H14" s="1246">
        <v>1.83199</v>
      </c>
      <c r="I14" s="1247">
        <v>8.6191199999999996E-2</v>
      </c>
      <c r="J14" s="1248">
        <f t="shared" si="2"/>
        <v>1.7457988</v>
      </c>
      <c r="K14" s="1246">
        <v>1.83199</v>
      </c>
      <c r="L14" s="1247">
        <v>0.116426</v>
      </c>
      <c r="M14" s="1248">
        <f t="shared" si="3"/>
        <v>1.7155640000000001</v>
      </c>
      <c r="N14" s="311">
        <v>2.30185</v>
      </c>
      <c r="O14" s="203">
        <v>0.67878799999999995</v>
      </c>
      <c r="P14" s="1237">
        <f t="shared" si="4"/>
        <v>1.623062</v>
      </c>
      <c r="Q14" s="1246">
        <v>2.30185</v>
      </c>
      <c r="R14" s="1247">
        <v>0.79808100000000004</v>
      </c>
      <c r="S14" s="1248">
        <f t="shared" si="5"/>
        <v>1.5037689999999999</v>
      </c>
      <c r="T14" s="1246">
        <v>2.30185</v>
      </c>
      <c r="U14" s="1247">
        <v>0.78692499999999999</v>
      </c>
      <c r="V14" s="1248">
        <f t="shared" si="6"/>
        <v>1.5149249999999999</v>
      </c>
      <c r="W14" s="1246">
        <v>2.30185</v>
      </c>
      <c r="X14" s="1247">
        <v>1.02383</v>
      </c>
      <c r="Y14" s="1248">
        <f t="shared" si="7"/>
        <v>1.2780199999999999</v>
      </c>
      <c r="AB14" s="762"/>
    </row>
    <row r="15" spans="1:28" ht="15" x14ac:dyDescent="0.25">
      <c r="A15" s="676" t="s">
        <v>24</v>
      </c>
      <c r="B15" s="311">
        <v>3.1399300000000001</v>
      </c>
      <c r="C15" s="203">
        <v>0.19238</v>
      </c>
      <c r="D15" s="1237">
        <f t="shared" si="0"/>
        <v>2.9475500000000001</v>
      </c>
      <c r="E15" s="1246">
        <v>3.1399300000000001</v>
      </c>
      <c r="F15" s="1247">
        <v>0.18853900000000001</v>
      </c>
      <c r="G15" s="1248">
        <f t="shared" si="1"/>
        <v>2.9513910000000001</v>
      </c>
      <c r="H15" s="1246">
        <v>3.1399300000000001</v>
      </c>
      <c r="I15" s="1247">
        <v>0.19986300000000001</v>
      </c>
      <c r="J15" s="1248">
        <f t="shared" si="2"/>
        <v>2.940067</v>
      </c>
      <c r="K15" s="1246">
        <v>3.1399300000000001</v>
      </c>
      <c r="L15" s="1247">
        <v>0.27713399999999999</v>
      </c>
      <c r="M15" s="1248">
        <f t="shared" si="3"/>
        <v>2.8627960000000003</v>
      </c>
      <c r="N15" s="311">
        <v>3.1399300000000001</v>
      </c>
      <c r="O15" s="203">
        <v>1.60355</v>
      </c>
      <c r="P15" s="1237">
        <f t="shared" si="4"/>
        <v>1.5363800000000001</v>
      </c>
      <c r="Q15" s="1246">
        <v>3.1399300000000001</v>
      </c>
      <c r="R15" s="1247">
        <v>1.7554799999999999</v>
      </c>
      <c r="S15" s="1248">
        <f t="shared" si="5"/>
        <v>1.3844500000000002</v>
      </c>
      <c r="T15" s="1246">
        <v>3.1399300000000001</v>
      </c>
      <c r="U15" s="1247">
        <v>1.7790999999999999</v>
      </c>
      <c r="V15" s="1248">
        <f t="shared" si="6"/>
        <v>1.3608300000000002</v>
      </c>
      <c r="W15" s="1246">
        <v>3.1399300000000001</v>
      </c>
      <c r="X15" s="1247">
        <v>2.3736899999999999</v>
      </c>
      <c r="Y15" s="1248">
        <f t="shared" si="7"/>
        <v>0.76624000000000025</v>
      </c>
      <c r="AB15" s="762"/>
    </row>
    <row r="16" spans="1:28" ht="15" x14ac:dyDescent="0.25">
      <c r="A16" s="676" t="s">
        <v>25</v>
      </c>
      <c r="B16" s="311">
        <v>3.1883499999999998</v>
      </c>
      <c r="C16" s="203">
        <v>0.155753</v>
      </c>
      <c r="D16" s="1237">
        <f t="shared" si="0"/>
        <v>3.032597</v>
      </c>
      <c r="E16" s="1246">
        <v>3.1883499999999998</v>
      </c>
      <c r="F16" s="1247">
        <v>0.15834899999999999</v>
      </c>
      <c r="G16" s="1248">
        <f t="shared" si="1"/>
        <v>3.0300009999999999</v>
      </c>
      <c r="H16" s="1246">
        <v>3.1883499999999998</v>
      </c>
      <c r="I16" s="1247">
        <v>0.165322</v>
      </c>
      <c r="J16" s="1248">
        <f t="shared" si="2"/>
        <v>3.0230279999999996</v>
      </c>
      <c r="K16" s="1246">
        <v>3.1883499999999998</v>
      </c>
      <c r="L16" s="1247">
        <v>0.22634699999999999</v>
      </c>
      <c r="M16" s="1248">
        <f t="shared" si="3"/>
        <v>2.9620029999999997</v>
      </c>
      <c r="N16" s="311">
        <v>3.1901299999999999</v>
      </c>
      <c r="O16" s="203">
        <v>1.3144800000000001</v>
      </c>
      <c r="P16" s="1237">
        <f t="shared" si="4"/>
        <v>1.8756499999999998</v>
      </c>
      <c r="Q16" s="1246">
        <v>3.1901299999999999</v>
      </c>
      <c r="R16" s="1247">
        <v>1.4904999999999999</v>
      </c>
      <c r="S16" s="1248">
        <f t="shared" si="5"/>
        <v>1.69963</v>
      </c>
      <c r="T16" s="1246">
        <v>3.1901299999999999</v>
      </c>
      <c r="U16" s="1247">
        <v>1.4900599999999999</v>
      </c>
      <c r="V16" s="1248">
        <f t="shared" si="6"/>
        <v>1.70007</v>
      </c>
      <c r="W16" s="1246">
        <v>3.1901299999999999</v>
      </c>
      <c r="X16" s="1247">
        <v>1.9636100000000001</v>
      </c>
      <c r="Y16" s="1248">
        <f t="shared" si="7"/>
        <v>1.2265199999999998</v>
      </c>
      <c r="AB16" s="762"/>
    </row>
    <row r="17" spans="1:28" ht="15" x14ac:dyDescent="0.25">
      <c r="A17" s="676" t="s">
        <v>26</v>
      </c>
      <c r="B17" s="311">
        <v>2.3588100000000001</v>
      </c>
      <c r="C17" s="203">
        <v>0.16382099999999999</v>
      </c>
      <c r="D17" s="1237">
        <f t="shared" si="0"/>
        <v>2.1949890000000001</v>
      </c>
      <c r="E17" s="1246">
        <v>2.3588100000000001</v>
      </c>
      <c r="F17" s="1247">
        <v>0.16056400000000001</v>
      </c>
      <c r="G17" s="1248">
        <f t="shared" si="1"/>
        <v>2.1982460000000001</v>
      </c>
      <c r="H17" s="1246">
        <v>2.3588100000000001</v>
      </c>
      <c r="I17" s="1247">
        <v>0.17020099999999999</v>
      </c>
      <c r="J17" s="1248">
        <f t="shared" si="2"/>
        <v>2.188609</v>
      </c>
      <c r="K17" s="1246">
        <v>2.3588100000000001</v>
      </c>
      <c r="L17" s="1247">
        <v>0.23599700000000001</v>
      </c>
      <c r="M17" s="1248">
        <f t="shared" si="3"/>
        <v>2.1228129999999998</v>
      </c>
      <c r="N17" s="311">
        <v>2.3588100000000001</v>
      </c>
      <c r="O17" s="203">
        <v>1.36554</v>
      </c>
      <c r="P17" s="1237">
        <f t="shared" si="4"/>
        <v>0.9932700000000001</v>
      </c>
      <c r="Q17" s="1246">
        <v>2.3588100000000001</v>
      </c>
      <c r="R17" s="1247">
        <v>1.49505</v>
      </c>
      <c r="S17" s="1248">
        <f t="shared" si="5"/>
        <v>0.86376000000000008</v>
      </c>
      <c r="T17" s="1246">
        <v>2.3588100000000001</v>
      </c>
      <c r="U17" s="1247">
        <v>1.51511</v>
      </c>
      <c r="V17" s="1248">
        <f t="shared" si="6"/>
        <v>0.84370000000000012</v>
      </c>
      <c r="W17" s="1246">
        <v>2.3588100000000001</v>
      </c>
      <c r="X17" s="1247">
        <v>2.0214099999999999</v>
      </c>
      <c r="Y17" s="1248">
        <f t="shared" si="7"/>
        <v>0.33740000000000014</v>
      </c>
      <c r="AB17" s="762"/>
    </row>
    <row r="18" spans="1:28" ht="15" x14ac:dyDescent="0.25">
      <c r="A18" s="676" t="s">
        <v>27</v>
      </c>
      <c r="B18" s="311">
        <v>2.7846799999999998</v>
      </c>
      <c r="C18" s="203">
        <v>0.16080900000000001</v>
      </c>
      <c r="D18" s="1237">
        <f t="shared" si="0"/>
        <v>2.6238709999999998</v>
      </c>
      <c r="E18" s="1246">
        <v>2.7846799999999998</v>
      </c>
      <c r="F18" s="1247">
        <v>0.15756200000000001</v>
      </c>
      <c r="G18" s="1248">
        <f t="shared" si="1"/>
        <v>2.6271179999999998</v>
      </c>
      <c r="H18" s="1246">
        <v>2.7846799999999998</v>
      </c>
      <c r="I18" s="1247">
        <v>0.167041</v>
      </c>
      <c r="J18" s="1248">
        <f t="shared" si="2"/>
        <v>2.6176389999999996</v>
      </c>
      <c r="K18" s="1246">
        <v>2.7846799999999998</v>
      </c>
      <c r="L18" s="1247">
        <v>0.23164199999999999</v>
      </c>
      <c r="M18" s="1248">
        <f t="shared" si="3"/>
        <v>2.5530379999999999</v>
      </c>
      <c r="N18" s="311">
        <v>2.7846799999999998</v>
      </c>
      <c r="O18" s="203">
        <v>1.34029</v>
      </c>
      <c r="P18" s="1237">
        <f t="shared" si="4"/>
        <v>1.4443899999999998</v>
      </c>
      <c r="Q18" s="1246">
        <v>2.7846799999999998</v>
      </c>
      <c r="R18" s="1247">
        <v>1.46695</v>
      </c>
      <c r="S18" s="1248">
        <f t="shared" si="5"/>
        <v>1.3177299999999998</v>
      </c>
      <c r="T18" s="1246">
        <v>2.7846799999999998</v>
      </c>
      <c r="U18" s="1247">
        <v>1.48681</v>
      </c>
      <c r="V18" s="1248">
        <f t="shared" si="6"/>
        <v>1.2978699999999999</v>
      </c>
      <c r="W18" s="1246">
        <v>2.7846799999999998</v>
      </c>
      <c r="X18" s="1247">
        <v>1.9838800000000001</v>
      </c>
      <c r="Y18" s="1248">
        <f t="shared" si="7"/>
        <v>0.80079999999999973</v>
      </c>
      <c r="AB18" s="762"/>
    </row>
    <row r="19" spans="1:28" ht="15" x14ac:dyDescent="0.25">
      <c r="A19" s="1231" t="s">
        <v>28</v>
      </c>
      <c r="B19" s="1229">
        <v>2.66194</v>
      </c>
      <c r="C19" s="1238">
        <v>0.122512</v>
      </c>
      <c r="D19" s="1239">
        <f t="shared" si="0"/>
        <v>2.539428</v>
      </c>
      <c r="E19" s="1249">
        <v>2.66194</v>
      </c>
      <c r="F19" s="1250">
        <v>0.124885</v>
      </c>
      <c r="G19" s="1251">
        <f t="shared" si="1"/>
        <v>2.5370550000000001</v>
      </c>
      <c r="H19" s="1249">
        <v>2.66194</v>
      </c>
      <c r="I19" s="1250">
        <v>0.130242</v>
      </c>
      <c r="J19" s="1251">
        <f t="shared" si="2"/>
        <v>2.531698</v>
      </c>
      <c r="K19" s="1249">
        <v>2.66194</v>
      </c>
      <c r="L19" s="1250">
        <v>0.17815300000000001</v>
      </c>
      <c r="M19" s="1251">
        <f t="shared" si="3"/>
        <v>2.483787</v>
      </c>
      <c r="N19" s="1229">
        <v>2.66561</v>
      </c>
      <c r="O19" s="1238">
        <v>1.03488</v>
      </c>
      <c r="P19" s="1239">
        <f t="shared" si="4"/>
        <v>1.63073</v>
      </c>
      <c r="Q19" s="1249">
        <v>2.66561</v>
      </c>
      <c r="R19" s="1250">
        <v>1.17642</v>
      </c>
      <c r="S19" s="1251">
        <f t="shared" si="5"/>
        <v>1.48919</v>
      </c>
      <c r="T19" s="1249">
        <v>2.66561</v>
      </c>
      <c r="U19" s="1250">
        <v>1.17493</v>
      </c>
      <c r="V19" s="1251">
        <f t="shared" si="6"/>
        <v>1.49068</v>
      </c>
      <c r="W19" s="1249">
        <v>2.66561</v>
      </c>
      <c r="X19" s="1250">
        <v>1.5469599999999999</v>
      </c>
      <c r="Y19" s="1251">
        <f t="shared" si="7"/>
        <v>1.1186500000000001</v>
      </c>
      <c r="AB19" s="762"/>
    </row>
  </sheetData>
  <mergeCells count="43">
    <mergeCell ref="K6:M6"/>
    <mergeCell ref="W6:Y6"/>
    <mergeCell ref="K7:M7"/>
    <mergeCell ref="W7:Y7"/>
    <mergeCell ref="E2:M2"/>
    <mergeCell ref="Q2:Y2"/>
    <mergeCell ref="K3:M3"/>
    <mergeCell ref="W3:Y3"/>
    <mergeCell ref="K4:M4"/>
    <mergeCell ref="W4:Y4"/>
    <mergeCell ref="K5:M5"/>
    <mergeCell ref="W5:Y5"/>
    <mergeCell ref="T3:V3"/>
    <mergeCell ref="T4:V4"/>
    <mergeCell ref="T5:V5"/>
    <mergeCell ref="T6:V6"/>
    <mergeCell ref="T7:V7"/>
    <mergeCell ref="H3:J3"/>
    <mergeCell ref="H4:J4"/>
    <mergeCell ref="H5:J5"/>
    <mergeCell ref="H6:J6"/>
    <mergeCell ref="H7:J7"/>
    <mergeCell ref="N3:P3"/>
    <mergeCell ref="N4:P4"/>
    <mergeCell ref="N5:P5"/>
    <mergeCell ref="N6:P6"/>
    <mergeCell ref="N7:P7"/>
    <mergeCell ref="Q3:S3"/>
    <mergeCell ref="Q4:S4"/>
    <mergeCell ref="Q5:S5"/>
    <mergeCell ref="Q6:S6"/>
    <mergeCell ref="Q7:S7"/>
    <mergeCell ref="E3:G3"/>
    <mergeCell ref="E4:G4"/>
    <mergeCell ref="E5:G5"/>
    <mergeCell ref="E6:G6"/>
    <mergeCell ref="E7:G7"/>
    <mergeCell ref="A7:A8"/>
    <mergeCell ref="B3:D3"/>
    <mergeCell ref="B4:D4"/>
    <mergeCell ref="B5:D5"/>
    <mergeCell ref="B6:D6"/>
    <mergeCell ref="B7:D7"/>
  </mergeCells>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61912-70AC-45D9-B72B-D2F089EBE2E9}">
  <sheetPr>
    <tabColor rgb="FF3CC8C5"/>
  </sheetPr>
  <dimension ref="A1:S107"/>
  <sheetViews>
    <sheetView topLeftCell="A20" zoomScale="55" zoomScaleNormal="55" workbookViewId="0">
      <selection activeCell="B67" sqref="B67"/>
    </sheetView>
  </sheetViews>
  <sheetFormatPr defaultRowHeight="15" x14ac:dyDescent="0.25"/>
  <cols>
    <col min="1" max="1" width="40.5703125" customWidth="1"/>
    <col min="2" max="16" width="15.7109375" customWidth="1"/>
    <col min="17" max="17" width="15.140625" customWidth="1"/>
    <col min="18" max="33" width="13.28515625" customWidth="1"/>
  </cols>
  <sheetData>
    <row r="1" spans="1:13" ht="27.75" x14ac:dyDescent="0.25">
      <c r="A1" s="151" t="s">
        <v>78</v>
      </c>
    </row>
    <row r="2" spans="1:13" ht="39" customHeight="1" x14ac:dyDescent="0.25"/>
    <row r="3" spans="1:13" ht="27.75" x14ac:dyDescent="0.25">
      <c r="A3" s="844" t="s">
        <v>1816</v>
      </c>
    </row>
    <row r="4" spans="1:13" ht="27.75" x14ac:dyDescent="0.25">
      <c r="A4" s="845" t="s">
        <v>1147</v>
      </c>
    </row>
    <row r="5" spans="1:13" x14ac:dyDescent="0.25">
      <c r="B5" s="1478" t="s">
        <v>2043</v>
      </c>
      <c r="C5" s="1478"/>
      <c r="D5" s="1478"/>
      <c r="E5" s="1478"/>
      <c r="F5" s="1478"/>
      <c r="G5" s="1478"/>
      <c r="H5" s="1478"/>
      <c r="I5" s="1478"/>
      <c r="J5" s="1478"/>
      <c r="K5" s="1478"/>
      <c r="L5" s="1478"/>
      <c r="M5" s="1478"/>
    </row>
    <row r="6" spans="1:13" x14ac:dyDescent="0.25">
      <c r="B6" s="1663" t="s">
        <v>500</v>
      </c>
      <c r="C6" s="1318"/>
      <c r="D6" s="1319"/>
      <c r="E6" s="1663" t="s">
        <v>121</v>
      </c>
      <c r="F6" s="1318"/>
      <c r="G6" s="1319"/>
      <c r="H6" s="1663" t="s">
        <v>11</v>
      </c>
      <c r="I6" s="1318"/>
      <c r="J6" s="1319"/>
      <c r="K6" s="1663" t="s">
        <v>12</v>
      </c>
      <c r="L6" s="1318"/>
      <c r="M6" s="1319"/>
    </row>
    <row r="7" spans="1:13" ht="75.75" customHeight="1" x14ac:dyDescent="0.25">
      <c r="B7" s="804" t="s">
        <v>412</v>
      </c>
      <c r="C7" s="806" t="s">
        <v>422</v>
      </c>
      <c r="D7" s="805" t="s">
        <v>416</v>
      </c>
      <c r="E7" s="804" t="s">
        <v>412</v>
      </c>
      <c r="F7" s="806" t="s">
        <v>422</v>
      </c>
      <c r="G7" s="805" t="s">
        <v>416</v>
      </c>
      <c r="H7" s="1252" t="s">
        <v>1796</v>
      </c>
      <c r="I7" s="807" t="s">
        <v>1817</v>
      </c>
      <c r="J7" s="1253" t="s">
        <v>1797</v>
      </c>
      <c r="K7" s="804" t="s">
        <v>412</v>
      </c>
      <c r="L7" s="806" t="s">
        <v>422</v>
      </c>
      <c r="M7" s="805" t="s">
        <v>416</v>
      </c>
    </row>
    <row r="8" spans="1:13" x14ac:dyDescent="0.25">
      <c r="B8" s="15"/>
      <c r="D8" s="27"/>
      <c r="E8" s="15"/>
      <c r="G8" s="27"/>
      <c r="H8" s="84">
        <f t="shared" ref="H8:J9" si="0">K8</f>
        <v>-47787.093863228692</v>
      </c>
      <c r="I8" s="849">
        <f t="shared" si="0"/>
        <v>-22970.2499146722</v>
      </c>
      <c r="J8" s="84">
        <f t="shared" si="0"/>
        <v>-1959.733624863351</v>
      </c>
      <c r="K8" s="846">
        <f>('S1.2.1 mass flows'!H5*('S3.1 LCA data coll,sort,transp'!$C$9+'S2.10 overall results'!$F$10)+'S1.2.1 mass flows'!L5*('S3.1 LCA data coll,sort,transp'!$C$10+'S2.10 overall results'!$F$10))+('S1.2.1 mass flows'!G5*('S3.1 LCA data coll,sort,transp'!$F$9+'S2.4.3 Dissol_res'!B32)+'S1.2.1 mass flows'!K5*('S3.1 LCA data coll,sort,transp'!$F$10+'S2.4.3 Dissol_res'!B32))</f>
        <v>-47787.093863228692</v>
      </c>
      <c r="L8" s="366">
        <f>('S1.2.1 mass flows'!H5*('S3.1 LCA data coll,sort,transp'!$C$9+AVERAGE('S2.10 overall results'!$F$6,'S2.10 overall results'!$F$9))+'S1.2.1 mass flows'!L5*('S3.1 LCA data coll,sort,transp'!$C$10+AVERAGE('S2.10 overall results'!$F$6,'S2.10 overall results'!$F$9)))+('S1.2.1 mass flows'!G5*('S3.1 LCA data coll,sort,transp'!$F$9+'S2.4.3 Dissol_res'!C32)+'S1.2.1 mass flows'!K5*('S3.1 LCA data coll,sort,transp'!$F$10+'S2.4.3 Dissol_res'!C32))</f>
        <v>-22970.2499146722</v>
      </c>
      <c r="M8" s="847">
        <f>('S1.2.1 mass flows'!H5*('S3.1 LCA data coll,sort,transp'!$D$9+'S2.10 overall results'!$F$5)+'S1.2.1 mass flows'!L5*('S3.1 LCA data coll,sort,transp'!$D$10+'S2.10 overall results'!$F$5))+('S1.2.1 mass flows'!G5*('S3.1 LCA data coll,sort,transp'!$F$9+'S2.4.3 Dissol_res'!D32)+'S1.2.1 mass flows'!K5*('S3.1 LCA data coll,sort,transp'!$F$10+'S2.4.3 Dissol_res'!D32))</f>
        <v>-1959.733624863351</v>
      </c>
    </row>
    <row r="9" spans="1:13" x14ac:dyDescent="0.25">
      <c r="B9" s="15"/>
      <c r="D9" s="27"/>
      <c r="E9" s="15"/>
      <c r="G9" s="27"/>
      <c r="H9" s="94">
        <f t="shared" si="0"/>
        <v>-47995.343606267255</v>
      </c>
      <c r="I9" s="849">
        <f t="shared" si="0"/>
        <v>-21817.451736990079</v>
      </c>
      <c r="J9" s="94">
        <f t="shared" si="0"/>
        <v>607.90855781653954</v>
      </c>
      <c r="K9" s="95">
        <f>('S1.2.1 mass flows'!H6*('S3.1 LCA data coll,sort,transp'!$C$9+'S2.10 overall results'!$F$10)+'S1.2.1 mass flows'!L6*('S3.1 LCA data coll,sort,transp'!$C$10+'S2.10 overall results'!$F$10))+('S1.2.1 mass flows'!G6*('S3.1 LCA data coll,sort,transp'!$F$9+'S2.4.3 Dissol_res'!B33)+'S1.2.1 mass flows'!K6*('S3.1 LCA data coll,sort,transp'!$F$10+'S2.4.3 Dissol_res'!B33))</f>
        <v>-47995.343606267255</v>
      </c>
      <c r="L9" s="366">
        <f>('S1.2.1 mass flows'!H6*('S3.1 LCA data coll,sort,transp'!$C$9+AVERAGE('S2.10 overall results'!$F$6,'S2.10 overall results'!$F$9))+'S1.2.1 mass flows'!L6*('S3.1 LCA data coll,sort,transp'!$C$10+AVERAGE('S2.10 overall results'!$F$6,'S2.10 overall results'!$F$9)))+('S1.2.1 mass flows'!G6*('S3.1 LCA data coll,sort,transp'!$F$9+'S2.4.3 Dissol_res'!C33)+'S1.2.1 mass flows'!K6*('S3.1 LCA data coll,sort,transp'!$F$10+'S2.4.3 Dissol_res'!C33))</f>
        <v>-21817.451736990079</v>
      </c>
      <c r="M9" s="97">
        <f>('S1.2.1 mass flows'!H6*('S3.1 LCA data coll,sort,transp'!$D$9+'S2.10 overall results'!$F$5)+'S1.2.1 mass flows'!L6*('S3.1 LCA data coll,sort,transp'!$D$10+'S2.10 overall results'!$F$5))+('S1.2.1 mass flows'!G6*('S3.1 LCA data coll,sort,transp'!$F$9+'S2.4.3 Dissol_res'!D33)+'S1.2.1 mass flows'!K6*('S3.1 LCA data coll,sort,transp'!$F$10+'S2.4.3 Dissol_res'!D33))</f>
        <v>607.90855781653954</v>
      </c>
    </row>
    <row r="10" spans="1:13" x14ac:dyDescent="0.25">
      <c r="B10" s="275"/>
      <c r="D10" s="27"/>
      <c r="E10" s="15"/>
      <c r="G10" s="27"/>
      <c r="H10" s="96">
        <f>('S1.2.1 mass flows'!H7*('S3.1 LCA data coll,sort,transp'!$C$9+'S2.10 overall results'!F10)+'S1.2.1 mass flows'!L7*('S3.1 LCA data coll,sort,transp'!$C$10+'S2.10 overall results'!F10))+('S1.2.1 mass flows'!G7*('S3.1 LCA data coll,sort,transp'!$E$9+'S2.3.4 Depoly_res'!B37)+'S1.2.1 mass flows'!K7*('S3.1 LCA data coll,sort,transp'!$E$10+'S2.3.4 Depoly_res'!B37))</f>
        <v>-83382.047422187199</v>
      </c>
      <c r="I10" s="366">
        <f>('S1.2.1 mass flows'!H7*('S3.1 LCA data coll,sort,transp'!$C$9+AVERAGE('S2.10 overall results'!F6,'S2.10 overall results'!F9))+'S1.2.1 mass flows'!L7*('S3.1 LCA data coll,sort,transp'!$C$10+AVERAGE('S2.10 overall results'!F6,'S2.10 overall results'!F9)))+('S1.2.1 mass flows'!G7*('S3.1 LCA data coll,sort,transp'!$E$9+'S2.3.4 Depoly_res'!C37)+'S1.2.1 mass flows'!K7*('S3.1 LCA data coll,sort,transp'!$E$10+'S2.3.4 Depoly_res'!C37))</f>
        <v>-42619.455818422386</v>
      </c>
      <c r="J10" s="96">
        <f>('S1.2.1 mass flows'!H7*('S3.1 LCA data coll,sort,transp'!$C$9+'S2.10 overall results'!F5)+'S1.2.1 mass flows'!L7*('S3.1 LCA data coll,sort,transp'!$C$10+'S2.10 overall results'!F5))+('S1.2.1 mass flows'!G7*('S3.1 LCA data coll,sort,transp'!$E$9+'S2.3.4 Depoly_res'!D37)+'S1.2.1 mass flows'!K7*('S3.1 LCA data coll,sort,transp'!$E$10+'S2.3.4 Depoly_res'!D37))</f>
        <v>-4795.0034505273579</v>
      </c>
      <c r="K10" s="95">
        <f>('S1.2.1 mass flows'!H7*('S3.1 LCA data coll,sort,transp'!$C$9+'S2.10 overall results'!$F$10)+'S1.2.1 mass flows'!L7*('S3.1 LCA data coll,sort,transp'!$C$10+'S2.10 overall results'!$F$10))+('S1.2.1 mass flows'!G7*('S3.1 LCA data coll,sort,transp'!$F$9+'S2.4.3 Dissol_res'!B34)+'S1.2.1 mass flows'!K7*('S3.1 LCA data coll,sort,transp'!$F$10+'S2.4.3 Dissol_res'!B34))</f>
        <v>-76273.926643240819</v>
      </c>
      <c r="L10" s="366">
        <f>('S1.2.1 mass flows'!H7*('S3.1 LCA data coll,sort,transp'!$C$9+AVERAGE('S2.10 overall results'!$F$6,'S2.10 overall results'!$F$9))+'S1.2.1 mass flows'!L7*('S3.1 LCA data coll,sort,transp'!$C$10+AVERAGE('S2.10 overall results'!$F$6,'S2.10 overall results'!$F$9)))+('S1.2.1 mass flows'!G7*('S3.1 LCA data coll,sort,transp'!$F$9+'S2.4.3 Dissol_res'!C34)+'S1.2.1 mass flows'!K7*('S3.1 LCA data coll,sort,transp'!$F$10+'S2.4.3 Dissol_res'!C34))</f>
        <v>-55649.777691840747</v>
      </c>
      <c r="M10" s="97">
        <f>('S1.2.1 mass flows'!H7*('S3.1 LCA data coll,sort,transp'!$D$9+'S2.10 overall results'!$F$5)+'S1.2.1 mass flows'!L7*('S3.1 LCA data coll,sort,transp'!$D$10+'S2.10 overall results'!$F$5))+('S1.2.1 mass flows'!G7*('S3.1 LCA data coll,sort,transp'!$F$9+'S2.4.3 Dissol_res'!D34)+'S1.2.1 mass flows'!K7*('S3.1 LCA data coll,sort,transp'!$F$10+'S2.4.3 Dissol_res'!D34))</f>
        <v>-38498.781647630727</v>
      </c>
    </row>
    <row r="11" spans="1:13" x14ac:dyDescent="0.25">
      <c r="B11" s="15"/>
      <c r="D11" s="27"/>
      <c r="E11" s="15"/>
      <c r="G11" s="27"/>
      <c r="H11" s="94">
        <f t="shared" ref="H11:J15" si="1">K11</f>
        <v>-83777.527889231947</v>
      </c>
      <c r="I11" s="849">
        <f t="shared" si="1"/>
        <v>-35507.612189328436</v>
      </c>
      <c r="J11" s="94">
        <f t="shared" si="1"/>
        <v>5775.7431023182289</v>
      </c>
      <c r="K11" s="95">
        <f>('S1.2.1 mass flows'!H8*('S3.1 LCA data coll,sort,transp'!$C$9+'S2.10 overall results'!$F$10)+'S1.2.1 mass flows'!L8*('S3.1 LCA data coll,sort,transp'!$C$10+'S2.10 overall results'!$F$10))+('S1.2.1 mass flows'!G8*('S3.1 LCA data coll,sort,transp'!$F$9+'S2.4.3 Dissol_res'!B35)+'S1.2.1 mass flows'!K8*('S3.1 LCA data coll,sort,transp'!$F$10+'S2.4.3 Dissol_res'!B35))</f>
        <v>-83777.527889231947</v>
      </c>
      <c r="L11" s="366">
        <f>('S1.2.1 mass flows'!H8*('S3.1 LCA data coll,sort,transp'!$C$9+AVERAGE('S2.10 overall results'!$F$6,'S2.10 overall results'!$F$9))+'S1.2.1 mass flows'!L8*('S3.1 LCA data coll,sort,transp'!$C$10+AVERAGE('S2.10 overall results'!$F$6,'S2.10 overall results'!$F$9)))+('S1.2.1 mass flows'!G8*('S3.1 LCA data coll,sort,transp'!$F$9+'S2.4.3 Dissol_res'!C35)+'S1.2.1 mass flows'!K8*('S3.1 LCA data coll,sort,transp'!$F$10+'S2.4.3 Dissol_res'!C35))</f>
        <v>-35507.612189328436</v>
      </c>
      <c r="M11" s="97">
        <f>('S1.2.1 mass flows'!H8*('S3.1 LCA data coll,sort,transp'!$D$9+'S2.10 overall results'!$F$5)+'S1.2.1 mass flows'!L8*('S3.1 LCA data coll,sort,transp'!$D$10+'S2.10 overall results'!$F$5))+('S1.2.1 mass flows'!G8*('S3.1 LCA data coll,sort,transp'!$F$9+'S2.4.3 Dissol_res'!D35)+'S1.2.1 mass flows'!K8*('S3.1 LCA data coll,sort,transp'!$F$10+'S2.4.3 Dissol_res'!D35))</f>
        <v>5775.7431023182289</v>
      </c>
    </row>
    <row r="12" spans="1:13" x14ac:dyDescent="0.25">
      <c r="B12" s="15"/>
      <c r="D12" s="27"/>
      <c r="E12" s="15"/>
      <c r="G12" s="27"/>
      <c r="H12" s="94">
        <f t="shared" si="1"/>
        <v>-52626.424491137695</v>
      </c>
      <c r="I12" s="849">
        <f t="shared" si="1"/>
        <v>-29736.489602398284</v>
      </c>
      <c r="J12" s="94">
        <f t="shared" si="1"/>
        <v>-10515.053961577578</v>
      </c>
      <c r="K12" s="95">
        <f>('S1.2.1 mass flows'!H9*('S3.1 LCA data coll,sort,transp'!$C$9+'S2.10 overall results'!$F$10)+'S1.2.1 mass flows'!L9*('S3.1 LCA data coll,sort,transp'!$C$10+'S2.10 overall results'!$F$10))+('S1.2.1 mass flows'!G9*('S3.1 LCA data coll,sort,transp'!$F$9+'S2.4.3 Dissol_res'!B36)+'S1.2.1 mass flows'!K9*('S3.1 LCA data coll,sort,transp'!$F$10+'S2.4.3 Dissol_res'!B36))</f>
        <v>-52626.424491137695</v>
      </c>
      <c r="L12" s="366">
        <f>('S1.2.1 mass flows'!H9*('S3.1 LCA data coll,sort,transp'!$C$9+AVERAGE('S2.10 overall results'!$F$6,'S2.10 overall results'!$F$9))+'S1.2.1 mass flows'!L9*('S3.1 LCA data coll,sort,transp'!$C$10+AVERAGE('S2.10 overall results'!$F$6,'S2.10 overall results'!$F$9)))+('S1.2.1 mass flows'!G9*('S3.1 LCA data coll,sort,transp'!$F$9+'S2.4.3 Dissol_res'!C36)+'S1.2.1 mass flows'!K9*('S3.1 LCA data coll,sort,transp'!$F$10+'S2.4.3 Dissol_res'!C36))</f>
        <v>-29736.489602398284</v>
      </c>
      <c r="M12" s="97">
        <f>('S1.2.1 mass flows'!H9*('S3.1 LCA data coll,sort,transp'!$D$9+'S2.10 overall results'!$F$5)+'S1.2.1 mass flows'!L9*('S3.1 LCA data coll,sort,transp'!$D$10+'S2.10 overall results'!$F$5))+('S1.2.1 mass flows'!G9*('S3.1 LCA data coll,sort,transp'!$F$9+'S2.4.3 Dissol_res'!D36)+'S1.2.1 mass flows'!K9*('S3.1 LCA data coll,sort,transp'!$F$10+'S2.4.3 Dissol_res'!D36))</f>
        <v>-10515.053961577578</v>
      </c>
    </row>
    <row r="13" spans="1:13" x14ac:dyDescent="0.25">
      <c r="B13" s="15"/>
      <c r="D13" s="27"/>
      <c r="E13" s="15"/>
      <c r="G13" s="27"/>
      <c r="H13" s="94">
        <f t="shared" si="1"/>
        <v>-80735.395275502378</v>
      </c>
      <c r="I13" s="849">
        <f t="shared" si="1"/>
        <v>-61948.512451302558</v>
      </c>
      <c r="J13" s="94">
        <f t="shared" si="1"/>
        <v>-46607.021102495069</v>
      </c>
      <c r="K13" s="95">
        <f>('S1.2.1 mass flows'!H10*('S3.1 LCA data coll,sort,transp'!$C$9+'S2.10 overall results'!$F$10)+'S1.2.1 mass flows'!L10*('S3.1 LCA data coll,sort,transp'!$C$10+'S2.10 overall results'!$F$10))+('S1.2.1 mass flows'!G10*('S3.1 LCA data coll,sort,transp'!$F$9+'S2.4.3 Dissol_res'!B37)+'S1.2.1 mass flows'!K10*('S3.1 LCA data coll,sort,transp'!$F$10+'S2.4.3 Dissol_res'!B37))</f>
        <v>-80735.395275502378</v>
      </c>
      <c r="L13" s="366">
        <f>('S1.2.1 mass flows'!H10*('S3.1 LCA data coll,sort,transp'!$C$9+AVERAGE('S2.10 overall results'!$F$6,'S2.10 overall results'!$F$9))+'S1.2.1 mass flows'!L10*('S3.1 LCA data coll,sort,transp'!$C$10+AVERAGE('S2.10 overall results'!$F$6,'S2.10 overall results'!$F$9)))+('S1.2.1 mass flows'!G10*('S3.1 LCA data coll,sort,transp'!$F$9+'S2.4.3 Dissol_res'!C37)+'S1.2.1 mass flows'!K10*('S3.1 LCA data coll,sort,transp'!$F$10+'S2.4.3 Dissol_res'!C37))</f>
        <v>-61948.512451302558</v>
      </c>
      <c r="M13" s="97">
        <f>('S1.2.1 mass flows'!H10*('S3.1 LCA data coll,sort,transp'!$D$9+'S2.10 overall results'!$F$5)+'S1.2.1 mass flows'!L10*('S3.1 LCA data coll,sort,transp'!$D$10+'S2.10 overall results'!$F$5))+('S1.2.1 mass flows'!G10*('S3.1 LCA data coll,sort,transp'!$F$9+'S2.4.3 Dissol_res'!D37)+'S1.2.1 mass flows'!K10*('S3.1 LCA data coll,sort,transp'!$F$10+'S2.4.3 Dissol_res'!D37))</f>
        <v>-46607.021102495069</v>
      </c>
    </row>
    <row r="14" spans="1:13" x14ac:dyDescent="0.25">
      <c r="B14" s="15"/>
      <c r="D14" s="27"/>
      <c r="E14" s="15"/>
      <c r="G14" s="27"/>
      <c r="H14" s="94">
        <f t="shared" si="1"/>
        <v>-18905.5500214647</v>
      </c>
      <c r="I14" s="849">
        <f t="shared" si="1"/>
        <v>-11845.867410490584</v>
      </c>
      <c r="J14" s="94">
        <f t="shared" si="1"/>
        <v>-5725.4957851072759</v>
      </c>
      <c r="K14" s="95">
        <f>('S1.2.1 mass flows'!H11*('S3.1 LCA data coll,sort,transp'!$C$9+'S2.10 overall results'!$F$10)+'S1.2.1 mass flows'!L11*('S3.1 LCA data coll,sort,transp'!$C$10+'S2.10 overall results'!$F$10))+('S1.2.1 mass flows'!G11*('S3.1 LCA data coll,sort,transp'!$F$9+'S2.4.3 Dissol_res'!B38)+'S1.2.1 mass flows'!K11*('S3.1 LCA data coll,sort,transp'!$F$10+'S2.4.3 Dissol_res'!B38))</f>
        <v>-18905.5500214647</v>
      </c>
      <c r="L14" s="366">
        <f>('S1.2.1 mass flows'!H11*('S3.1 LCA data coll,sort,transp'!$C$9+AVERAGE('S2.10 overall results'!$F$6,'S2.10 overall results'!$F$9))+'S1.2.1 mass flows'!L11*('S3.1 LCA data coll,sort,transp'!$C$10+AVERAGE('S2.10 overall results'!$F$6,'S2.10 overall results'!$F$9)))+('S1.2.1 mass flows'!G11*('S3.1 LCA data coll,sort,transp'!$F$9+'S2.4.3 Dissol_res'!C38)+'S1.2.1 mass flows'!K11*('S3.1 LCA data coll,sort,transp'!$F$10+'S2.4.3 Dissol_res'!C38))</f>
        <v>-11845.867410490584</v>
      </c>
      <c r="M14" s="97">
        <f>('S1.2.1 mass flows'!H11*('S3.1 LCA data coll,sort,transp'!$D$9+'S2.10 overall results'!$F$5)+'S1.2.1 mass flows'!L11*('S3.1 LCA data coll,sort,transp'!$D$10+'S2.10 overall results'!$F$5))+('S1.2.1 mass flows'!G11*('S3.1 LCA data coll,sort,transp'!$F$9+'S2.4.3 Dissol_res'!D38)+'S1.2.1 mass flows'!K11*('S3.1 LCA data coll,sort,transp'!$F$10+'S2.4.3 Dissol_res'!D38))</f>
        <v>-5725.4957851072759</v>
      </c>
    </row>
    <row r="15" spans="1:13" x14ac:dyDescent="0.25">
      <c r="B15" s="15"/>
      <c r="D15" s="27"/>
      <c r="E15" s="15"/>
      <c r="G15" s="27"/>
      <c r="H15" s="94">
        <f t="shared" si="1"/>
        <v>-6789.4347607993295</v>
      </c>
      <c r="I15" s="849">
        <f t="shared" si="1"/>
        <v>-3305.5004625761239</v>
      </c>
      <c r="J15" s="94">
        <f t="shared" si="1"/>
        <v>-226.99600345452473</v>
      </c>
      <c r="K15" s="95">
        <f>('S1.2.1 mass flows'!H12*('S3.1 LCA data coll,sort,transp'!$C$9+'S2.10 overall results'!$F$10)+'S1.2.1 mass flows'!L12*('S3.1 LCA data coll,sort,transp'!$C$10+'S2.10 overall results'!$F$10))+('S1.2.1 mass flows'!G12*('S3.1 LCA data coll,sort,transp'!$F$9+'S2.4.3 Dissol_res'!B39)+'S1.2.1 mass flows'!K12*('S3.1 LCA data coll,sort,transp'!$F$10+'S2.4.3 Dissol_res'!B39))</f>
        <v>-6789.4347607993295</v>
      </c>
      <c r="L15" s="366">
        <f>('S1.2.1 mass flows'!H12*('S3.1 LCA data coll,sort,transp'!$C$9+AVERAGE('S2.10 overall results'!$F$6,'S2.10 overall results'!$F$9))+'S1.2.1 mass flows'!L12*('S3.1 LCA data coll,sort,transp'!$C$10+AVERAGE('S2.10 overall results'!$F$6,'S2.10 overall results'!$F$9)))+('S1.2.1 mass flows'!G12*('S3.1 LCA data coll,sort,transp'!$F$9+'S2.4.3 Dissol_res'!C39)+'S1.2.1 mass flows'!K12*('S3.1 LCA data coll,sort,transp'!$F$10+'S2.4.3 Dissol_res'!C39))</f>
        <v>-3305.5004625761239</v>
      </c>
      <c r="M15" s="97">
        <f>('S1.2.1 mass flows'!H12*('S3.1 LCA data coll,sort,transp'!$D$9+'S2.10 overall results'!$F$5)+'S1.2.1 mass flows'!L12*('S3.1 LCA data coll,sort,transp'!$D$10+'S2.10 overall results'!$F$5))+('S1.2.1 mass flows'!G12*('S3.1 LCA data coll,sort,transp'!$F$9+'S2.4.3 Dissol_res'!D39)+'S1.2.1 mass flows'!K12*('S3.1 LCA data coll,sort,transp'!$F$10+'S2.4.3 Dissol_res'!D39))</f>
        <v>-226.99600345452473</v>
      </c>
    </row>
    <row r="16" spans="1:13" x14ac:dyDescent="0.25">
      <c r="B16" s="15"/>
      <c r="D16" s="27"/>
      <c r="E16" s="15"/>
      <c r="G16" s="27"/>
      <c r="H16" s="96">
        <f>('S1.2.1 mass flows'!H7*('S3.1 LCA data coll,sort,transp'!$C$9+'S2.10 overall results'!F10)+'S1.2.1 mass flows'!L7*('S3.1 LCA data coll,sort,transp'!$C$10+'S2.10 overall results'!F10))+('S1.2.1 mass flows'!G7*('S3.1 LCA data coll,sort,transp'!$E$9+'S2.3.4 Depoly_res'!B38)+'S1.2.1 mass flows'!K7*('S3.1 LCA data coll,sort,transp'!$E$10+'S2.3.4 Depoly_res'!B38))</f>
        <v>-77390.396567002317</v>
      </c>
      <c r="I16" s="366">
        <f>('S1.2.1 mass flows'!H7*('S3.1 LCA data coll,sort,transp'!$C$9+AVERAGE('S2.10 overall results'!F6,'S2.10 overall results'!F9))+'S1.2.1 mass flows'!L7*('S3.1 LCA data coll,sort,transp'!$C$10+AVERAGE('S2.10 overall results'!F6,'S2.10 overall results'!F9)))+('S1.2.1 mass flows'!G7*('S3.1 LCA data coll,sort,transp'!$E$9+'S2.3.4 Depoly_res'!C38)+'S1.2.1 mass flows'!K7*('S3.1 LCA data coll,sort,transp'!$E$10+'S2.3.4 Depoly_res'!C38))</f>
        <v>-37886.541997280096</v>
      </c>
      <c r="J16" s="96">
        <f>('S1.2.1 mass flows'!H7*('S3.1 LCA data coll,sort,transp'!$C$9+'S2.10 overall results'!F5)+'S1.2.1 mass flows'!L7*('S3.1 LCA data coll,sort,transp'!$C$10+'S2.10 overall results'!F5))+('S1.2.1 mass flows'!G7*('S3.1 LCA data coll,sort,transp'!$E$9+'S2.3.4 Depoly_res'!D38)+'S1.2.1 mass flows'!K7*('S3.1 LCA data coll,sort,transp'!$E$10+'S2.3.4 Depoly_res'!D38))</f>
        <v>-659.9221901721321</v>
      </c>
      <c r="K16" s="95">
        <f>('S1.2.1 mass flows'!H13*('S3.1 LCA data coll,sort,transp'!$C$9+'S2.10 overall results'!$F$10)+'S1.2.1 mass flows'!L13*('S3.1 LCA data coll,sort,transp'!$C$10+'S2.10 overall results'!$F$10))+('S1.2.1 mass flows'!G13*('S3.1 LCA data coll,sort,transp'!$F$9+'S2.4.3 Dissol_res'!B40)+'S1.2.1 mass flows'!K13*('S3.1 LCA data coll,sort,transp'!$F$10+'S2.4.3 Dissol_res'!B40))</f>
        <v>-38657.522712806356</v>
      </c>
      <c r="L16" s="366">
        <f>('S1.2.1 mass flows'!H13*('S3.1 LCA data coll,sort,transp'!$C$9+AVERAGE('S2.10 overall results'!$F$6,'S2.10 overall results'!$F$9))+'S1.2.1 mass flows'!L13*('S3.1 LCA data coll,sort,transp'!$C$10+AVERAGE('S2.10 overall results'!$F$6,'S2.10 overall results'!$F$9)))+('S1.2.1 mass flows'!G13*('S3.1 LCA data coll,sort,transp'!$F$9+'S2.4.3 Dissol_res'!C40)+'S1.2.1 mass flows'!K13*('S3.1 LCA data coll,sort,transp'!$F$10+'S2.4.3 Dissol_res'!C40))</f>
        <v>-35490.353426744819</v>
      </c>
      <c r="M16" s="97">
        <f>('S1.2.1 mass flows'!H13*('S3.1 LCA data coll,sort,transp'!$D$9+'S2.10 overall results'!$F$5)+'S1.2.1 mass flows'!L13*('S3.1 LCA data coll,sort,transp'!$D$10+'S2.10 overall results'!$F$5))+('S1.2.1 mass flows'!G13*('S3.1 LCA data coll,sort,transp'!$F$9+'S2.4.3 Dissol_res'!D40)+'S1.2.1 mass flows'!K13*('S3.1 LCA data coll,sort,transp'!$F$10+'S2.4.3 Dissol_res'!D40))</f>
        <v>-33058.093395105068</v>
      </c>
    </row>
    <row r="17" spans="1:19" x14ac:dyDescent="0.25">
      <c r="B17" s="15"/>
      <c r="D17" s="27"/>
      <c r="E17" s="15"/>
      <c r="G17" s="27"/>
      <c r="H17" s="94">
        <f>K17</f>
        <v>-32853.3060206093</v>
      </c>
      <c r="I17" s="849">
        <f>L17</f>
        <v>-30580.937987568064</v>
      </c>
      <c r="J17" s="94">
        <f>M17</f>
        <v>-28927.418364351357</v>
      </c>
      <c r="K17" s="95">
        <f>('S1.2.1 mass flows'!H14*('S3.1 LCA data coll,sort,transp'!$C$9+'S2.10 overall results'!$F$10)+'S1.2.1 mass flows'!L14*('S3.1 LCA data coll,sort,transp'!$C$10+'S2.10 overall results'!$F$10))+('S1.2.1 mass flows'!G14*('S3.1 LCA data coll,sort,transp'!$F$9+'S2.4.3 Dissol_res'!B41)+'S1.2.1 mass flows'!K14*('S3.1 LCA data coll,sort,transp'!$F$10+'S2.4.3 Dissol_res'!B41))</f>
        <v>-32853.3060206093</v>
      </c>
      <c r="L17" s="366">
        <f>('S1.2.1 mass flows'!H14*('S3.1 LCA data coll,sort,transp'!$C$9+AVERAGE('S2.10 overall results'!$F$6,'S2.10 overall results'!$F$9))+'S1.2.1 mass flows'!L14*('S3.1 LCA data coll,sort,transp'!$C$10+AVERAGE('S2.10 overall results'!$F$6,'S2.10 overall results'!$F$9)))+('S1.2.1 mass flows'!G14*('S3.1 LCA data coll,sort,transp'!$F$9+'S2.4.3 Dissol_res'!C41)+'S1.2.1 mass flows'!K14*('S3.1 LCA data coll,sort,transp'!$F$10+'S2.4.3 Dissol_res'!C41))</f>
        <v>-30580.937987568064</v>
      </c>
      <c r="M17" s="97">
        <f>('S1.2.1 mass flows'!H14*('S3.1 LCA data coll,sort,transp'!$D$9+'S2.10 overall results'!$F$5)+'S1.2.1 mass flows'!L14*('S3.1 LCA data coll,sort,transp'!$D$10+'S2.10 overall results'!$F$5))+('S1.2.1 mass flows'!G14*('S3.1 LCA data coll,sort,transp'!$F$9+'S2.4.3 Dissol_res'!D41)+'S1.2.1 mass flows'!K14*('S3.1 LCA data coll,sort,transp'!$F$10+'S2.4.3 Dissol_res'!D41))</f>
        <v>-28927.418364351357</v>
      </c>
    </row>
    <row r="18" spans="1:19" x14ac:dyDescent="0.25">
      <c r="B18" s="34"/>
      <c r="D18" s="36"/>
      <c r="E18" s="34"/>
      <c r="F18" s="37"/>
      <c r="G18" s="36"/>
      <c r="H18" s="101">
        <f>('S1.2.1 mass flows'!H7*('S3.1 LCA data coll,sort,transp'!$C$9+'S2.10 overall results'!F10)+'S1.2.1 mass flows'!L7*('S3.1 LCA data coll,sort,transp'!$C$10+'S2.10 overall results'!F10))+('S1.2.1 mass flows'!G7*('S3.1 LCA data coll,sort,transp'!$E$9+'S2.3.4 Depoly_res'!B40)+'S1.2.1 mass flows'!K7*('S3.1 LCA data coll,sort,transp'!$E$10+'S2.3.4 Depoly_res'!B40))</f>
        <v>-128921.48841088024</v>
      </c>
      <c r="I18" s="101">
        <f>('S1.2.1 mass flows'!H7*('S3.1 LCA data coll,sort,transp'!$C$9+AVERAGE('S2.10 overall results'!F6,'S2.10 overall results'!F9))+'S1.2.1 mass flows'!L7*('S3.1 LCA data coll,sort,transp'!$C$10+AVERAGE('S2.10 overall results'!F6,'S2.10 overall results'!F9)))+('S1.2.1 mass flows'!G7*('S3.1 LCA data coll,sort,transp'!$E$9+'S2.3.4 Depoly_res'!C40)+'S1.2.1 mass flows'!K7*('S3.1 LCA data coll,sort,transp'!$E$10+'S2.3.4 Depoly_res'!C40))</f>
        <v>-90279.125617729456</v>
      </c>
      <c r="J18" s="101">
        <f>('S1.2.1 mass flows'!H7*('S3.1 LCA data coll,sort,transp'!$C$9+'S2.10 overall results'!F5)+'S1.2.1 mass flows'!L7*('S3.1 LCA data coll,sort,transp'!$C$10+'S2.10 overall results'!F5))+('S1.2.1 mass flows'!G7*('S3.1 LCA data coll,sort,transp'!$E$9+'S2.3.4 Depoly_res'!D40)+'S1.2.1 mass flows'!K7*('S3.1 LCA data coll,sort,transp'!$E$10+'S2.3.4 Depoly_res'!D40))</f>
        <v>-41390.903008998474</v>
      </c>
      <c r="K18" s="102">
        <f>H18</f>
        <v>-128921.48841088024</v>
      </c>
      <c r="L18" s="103">
        <f>I18</f>
        <v>-90279.125617729456</v>
      </c>
      <c r="M18" s="104">
        <f>J18</f>
        <v>-41390.903008998474</v>
      </c>
    </row>
    <row r="19" spans="1:19" x14ac:dyDescent="0.25">
      <c r="B19" s="108">
        <f>SUM('S1.2.1 mass flows'!G16:H16)*('S3.1 LCA data coll,sort,transp'!$C$9+'S2.10 overall results'!F7)+SUM('S1.2.1 mass flows'!K16:L16)*('S3.1 LCA data coll,sort,transp'!$C$10+'S2.10 overall results'!F7)</f>
        <v>-219038.24558024883</v>
      </c>
      <c r="C19" s="109">
        <f>SUM('S1.2.1 mass flows'!G16:H16)*('S3.1 LCA data coll,sort,transp'!$C$9+'S2.10 overall results'!F6)+SUM('S1.2.1 mass flows'!K16:L16)*('S3.1 LCA data coll,sort,transp'!$C$10+'S2.10 overall results'!F6)</f>
        <v>464342.64326317294</v>
      </c>
      <c r="D19" s="848">
        <f>SUM('S1.2.1 mass flows'!G16:H16)*('S3.1 LCA data coll,sort,transp'!$C$9+'S2.10 overall results'!F5)+SUM('S1.2.1 mass flows'!K16:L16)*('S3.1 LCA data coll,sort,transp'!$C$10+'S2.10 overall results'!F5)</f>
        <v>1006433.958551392</v>
      </c>
      <c r="E19" s="108">
        <f>SUM('S1.2.1 mass flows'!G16:H16)*('S3.1 LCA data coll,sort,transp'!$D$9+'S2.10 overall results'!F10)+SUM('S1.2.1 mass flows'!K16:L16)*('S3.1 LCA data coll,sort,transp'!$D$10+'S2.10 overall results'!F10)</f>
        <v>-431995.44349608029</v>
      </c>
      <c r="F19" s="109">
        <f>SUM('S1.2.1 mass flows'!G16:H16)*('S3.1 LCA data coll,sort,transp'!$D$9+'S2.10 overall results'!F9)+SUM('S1.2.1 mass flows'!K16:L16)*('S3.1 LCA data coll,sort,transp'!$D$10+'S2.10 overall results'!F9)</f>
        <v>133698.82493447623</v>
      </c>
      <c r="G19" s="109">
        <f>SUM('S1.2.1 mass flows'!G16:H16)*('S3.1 LCA data coll,sort,transp'!$D$9+'S2.10 overall results'!F8)+SUM('S1.2.1 mass flows'!K16:L16)*('S3.1 LCA data coll,sort,transp'!$D$10+'S2.10 overall results'!F8)</f>
        <v>886643.03096678236</v>
      </c>
      <c r="H19" s="108">
        <f t="shared" ref="H19:M19" si="2">SUM(H8:H18)</f>
        <v>-661164.00832831115</v>
      </c>
      <c r="I19" s="109">
        <f t="shared" si="2"/>
        <v>-388497.7451887583</v>
      </c>
      <c r="J19" s="848">
        <f t="shared" si="2"/>
        <v>-134423.89583141234</v>
      </c>
      <c r="K19" s="108">
        <f t="shared" si="2"/>
        <v>-615323.01369516866</v>
      </c>
      <c r="L19" s="109">
        <f t="shared" si="2"/>
        <v>-399131.87849164137</v>
      </c>
      <c r="M19" s="848">
        <f t="shared" si="2"/>
        <v>-200525.84523344866</v>
      </c>
    </row>
    <row r="20" spans="1:19" ht="27.75" x14ac:dyDescent="0.25">
      <c r="A20" s="844" t="s">
        <v>1831</v>
      </c>
    </row>
    <row r="21" spans="1:19" ht="27.75" x14ac:dyDescent="0.25">
      <c r="A21" s="845" t="s">
        <v>1833</v>
      </c>
      <c r="C21" s="842"/>
      <c r="D21" s="131"/>
      <c r="E21" s="131"/>
      <c r="F21" s="842"/>
      <c r="G21" s="131"/>
      <c r="H21" s="843"/>
      <c r="J21" s="843"/>
      <c r="K21" s="843"/>
      <c r="M21" s="843"/>
      <c r="S21" s="131"/>
    </row>
    <row r="22" spans="1:19" x14ac:dyDescent="0.25">
      <c r="C22" t="s">
        <v>1835</v>
      </c>
      <c r="E22" s="1478" t="s">
        <v>1798</v>
      </c>
      <c r="F22" s="1478"/>
      <c r="G22" s="1478"/>
      <c r="I22" s="1478" t="s">
        <v>1799</v>
      </c>
      <c r="J22" s="1478"/>
      <c r="K22" s="1478"/>
      <c r="L22" s="1478"/>
    </row>
    <row r="23" spans="1:19" ht="60" x14ac:dyDescent="0.25">
      <c r="B23" s="1269" t="s">
        <v>47</v>
      </c>
      <c r="C23" s="1262" t="s">
        <v>1834</v>
      </c>
      <c r="D23" s="282"/>
      <c r="E23" s="1262" t="s">
        <v>1801</v>
      </c>
      <c r="F23" s="1262" t="s">
        <v>1802</v>
      </c>
      <c r="G23" s="1262" t="s">
        <v>1803</v>
      </c>
      <c r="H23" s="282"/>
      <c r="I23" s="1262" t="s">
        <v>1809</v>
      </c>
      <c r="J23" s="1262" t="s">
        <v>1810</v>
      </c>
      <c r="K23" s="1262" t="s">
        <v>1811</v>
      </c>
      <c r="L23" s="1263" t="s">
        <v>1812</v>
      </c>
    </row>
    <row r="24" spans="1:19" x14ac:dyDescent="0.25">
      <c r="B24" s="1270" t="s">
        <v>1805</v>
      </c>
      <c r="C24" s="855">
        <v>2.4041560140200042</v>
      </c>
      <c r="D24" s="278"/>
      <c r="E24" s="855">
        <v>1.6102706137411509</v>
      </c>
      <c r="F24" s="855">
        <v>1.225685930388039</v>
      </c>
      <c r="G24" s="954">
        <v>0.1142348021050115</v>
      </c>
      <c r="H24" s="278"/>
      <c r="I24" s="857">
        <f>B104/1000000</f>
        <v>0.18083348565117766</v>
      </c>
      <c r="J24" s="855">
        <f>I24</f>
        <v>0.18083348565117766</v>
      </c>
      <c r="K24" s="855">
        <f>I24</f>
        <v>0.18083348565117766</v>
      </c>
      <c r="L24" s="1259">
        <f>I24</f>
        <v>0.18083348565117766</v>
      </c>
    </row>
    <row r="25" spans="1:19" x14ac:dyDescent="0.25">
      <c r="B25" s="31" t="s">
        <v>1806</v>
      </c>
      <c r="C25" s="272">
        <v>0</v>
      </c>
      <c r="D25" s="272"/>
      <c r="E25" s="272">
        <v>0</v>
      </c>
      <c r="F25" s="840">
        <v>-0.1800017252587984</v>
      </c>
      <c r="G25" s="272">
        <v>0</v>
      </c>
      <c r="H25" s="272"/>
      <c r="I25" s="272">
        <v>0</v>
      </c>
      <c r="J25" s="272">
        <v>0</v>
      </c>
      <c r="K25" s="272">
        <v>0</v>
      </c>
      <c r="L25" s="1260">
        <v>0</v>
      </c>
    </row>
    <row r="26" spans="1:19" x14ac:dyDescent="0.25">
      <c r="B26" s="1271" t="s">
        <v>1808</v>
      </c>
      <c r="C26" s="856">
        <v>2.9816457264774963</v>
      </c>
      <c r="D26" s="380"/>
      <c r="E26" s="856">
        <v>2.3760008153407792</v>
      </c>
      <c r="F26" s="856">
        <v>2.3760008153407792</v>
      </c>
      <c r="G26" s="856">
        <v>2.3760008153407792</v>
      </c>
      <c r="H26" s="380"/>
      <c r="I26" s="856">
        <f>E26</f>
        <v>2.3760008153407792</v>
      </c>
      <c r="J26" s="856">
        <f>E26</f>
        <v>2.3760008153407792</v>
      </c>
      <c r="K26" s="856">
        <f>E26</f>
        <v>2.3760008153407792</v>
      </c>
      <c r="L26" s="1261">
        <f>E26</f>
        <v>2.3760008153407792</v>
      </c>
    </row>
    <row r="27" spans="1:19" x14ac:dyDescent="0.25">
      <c r="B27" s="1272" t="s">
        <v>1807</v>
      </c>
      <c r="C27" s="857">
        <v>0</v>
      </c>
      <c r="D27" s="278"/>
      <c r="E27" s="857">
        <v>0</v>
      </c>
      <c r="F27" s="857">
        <v>0</v>
      </c>
      <c r="G27" s="278">
        <v>0</v>
      </c>
      <c r="H27" s="278"/>
      <c r="I27" s="857">
        <f>C19/1000000</f>
        <v>0.46434264326317293</v>
      </c>
      <c r="J27" s="857">
        <f>F19/1000000</f>
        <v>0.13369882493447624</v>
      </c>
      <c r="K27" s="857">
        <f>I19/1000000</f>
        <v>-0.38849774518875829</v>
      </c>
      <c r="L27" s="1254">
        <f>L19/1000000</f>
        <v>-0.39913187849164139</v>
      </c>
    </row>
    <row r="28" spans="1:19" x14ac:dyDescent="0.25">
      <c r="B28" s="1273" t="s">
        <v>1758</v>
      </c>
      <c r="C28" s="272"/>
      <c r="D28" s="272"/>
      <c r="E28" s="272"/>
      <c r="F28" s="272"/>
      <c r="G28" s="272"/>
      <c r="H28" s="272"/>
      <c r="I28" s="905">
        <f>(D19-C19)/1000000</f>
        <v>0.54209131528821897</v>
      </c>
      <c r="J28" s="905">
        <f>(G19-F19)/1000000</f>
        <v>0.75294420603230616</v>
      </c>
      <c r="K28" s="905">
        <f>(J19-I19)/1000000</f>
        <v>0.25407384935734595</v>
      </c>
      <c r="L28" s="1255">
        <f>(M19-L19)/1000000</f>
        <v>0.1986060332581927</v>
      </c>
    </row>
    <row r="29" spans="1:19" x14ac:dyDescent="0.25">
      <c r="B29" s="1274" t="s">
        <v>1759</v>
      </c>
      <c r="C29" s="380"/>
      <c r="D29" s="380"/>
      <c r="E29" s="380"/>
      <c r="F29" s="380"/>
      <c r="G29" s="380"/>
      <c r="H29" s="380"/>
      <c r="I29" s="906">
        <f>(C19-B19)/1000000</f>
        <v>0.68338088884342185</v>
      </c>
      <c r="J29" s="906">
        <f>(F19-E19)/1000000</f>
        <v>0.56569426843055648</v>
      </c>
      <c r="K29" s="906">
        <f>(I19-H19)/1000000</f>
        <v>0.27266626313955283</v>
      </c>
      <c r="L29" s="1256">
        <f>(L19-K19)/1000000</f>
        <v>0.21619113520352728</v>
      </c>
    </row>
    <row r="30" spans="1:19" x14ac:dyDescent="0.25">
      <c r="B30" s="1273"/>
      <c r="C30" s="854"/>
      <c r="D30" s="272"/>
      <c r="E30" s="854"/>
      <c r="F30" s="854"/>
      <c r="G30" s="272"/>
      <c r="H30" s="272"/>
      <c r="I30" s="905"/>
      <c r="J30" s="905"/>
      <c r="K30" s="905"/>
      <c r="L30" s="1255"/>
    </row>
    <row r="31" spans="1:19" x14ac:dyDescent="0.25">
      <c r="B31" s="1275" t="s">
        <v>1820</v>
      </c>
      <c r="C31" s="859"/>
      <c r="D31" s="278"/>
      <c r="E31" s="859"/>
      <c r="F31" s="859"/>
      <c r="G31" s="278"/>
      <c r="H31" s="278"/>
      <c r="I31" s="860">
        <f>I32+I28</f>
        <v>3.5632682595433485</v>
      </c>
      <c r="J31" s="860">
        <f>J32+J28</f>
        <v>3.4434773319587393</v>
      </c>
      <c r="K31" s="860">
        <f>K32+K28</f>
        <v>2.4224104051605444</v>
      </c>
      <c r="L31" s="1257">
        <f>L32+L28</f>
        <v>2.3563084557585086</v>
      </c>
    </row>
    <row r="32" spans="1:19" x14ac:dyDescent="0.25">
      <c r="B32" s="1276" t="s">
        <v>1819</v>
      </c>
      <c r="C32" s="909">
        <f>SUM(C24:C27)</f>
        <v>5.3858017404975005</v>
      </c>
      <c r="D32" s="272"/>
      <c r="E32" s="909">
        <f>SUM(E24:E27)</f>
        <v>3.9862714290819303</v>
      </c>
      <c r="F32" s="909">
        <f>SUM(F24:F27)</f>
        <v>3.4216850204700195</v>
      </c>
      <c r="G32" s="909">
        <f>SUM(G24:G27)</f>
        <v>2.4902356174457907</v>
      </c>
      <c r="H32" s="272"/>
      <c r="I32" s="909">
        <f>SUM(I24:I27)</f>
        <v>3.0211769442551297</v>
      </c>
      <c r="J32" s="909">
        <f>SUM(J24:J27)</f>
        <v>2.6905331259264331</v>
      </c>
      <c r="K32" s="909">
        <f>SUM(K24:K27)</f>
        <v>2.1683365558031986</v>
      </c>
      <c r="L32" s="1182">
        <f>SUM(L24:L27)</f>
        <v>2.1577024225003156</v>
      </c>
    </row>
    <row r="33" spans="1:13" x14ac:dyDescent="0.25">
      <c r="B33" s="1274" t="s">
        <v>1821</v>
      </c>
      <c r="C33" s="910"/>
      <c r="D33" s="380"/>
      <c r="E33" s="910"/>
      <c r="F33" s="910"/>
      <c r="G33" s="910"/>
      <c r="H33" s="380"/>
      <c r="I33" s="911">
        <f>I32-I29</f>
        <v>2.3377960554117081</v>
      </c>
      <c r="J33" s="911">
        <f>J32-J29</f>
        <v>2.1248388574958765</v>
      </c>
      <c r="K33" s="911">
        <f>K32-K29</f>
        <v>1.8956702926636457</v>
      </c>
      <c r="L33" s="1258">
        <f>L32-L29</f>
        <v>1.9415112872967883</v>
      </c>
      <c r="M33" s="30"/>
    </row>
    <row r="34" spans="1:13" x14ac:dyDescent="0.25">
      <c r="B34" s="1273"/>
      <c r="C34" s="909"/>
      <c r="D34" s="272"/>
      <c r="E34" s="909"/>
      <c r="F34" s="909"/>
      <c r="G34" s="909"/>
      <c r="H34" s="272"/>
      <c r="I34" s="1161"/>
      <c r="J34" s="1161"/>
      <c r="K34" s="1161"/>
      <c r="L34" s="1277"/>
    </row>
    <row r="35" spans="1:13" x14ac:dyDescent="0.25">
      <c r="B35" s="1275" t="s">
        <v>1825</v>
      </c>
      <c r="C35" s="859" t="s">
        <v>3</v>
      </c>
      <c r="D35" s="278"/>
      <c r="E35" s="859"/>
      <c r="F35" s="859"/>
      <c r="G35" s="859"/>
      <c r="H35" s="859"/>
      <c r="I35" s="860">
        <f t="shared" ref="I35:L37" si="3">$E$32-I31</f>
        <v>0.42300316953858186</v>
      </c>
      <c r="J35" s="860">
        <f t="shared" si="3"/>
        <v>0.54279409712319104</v>
      </c>
      <c r="K35" s="860">
        <f t="shared" si="3"/>
        <v>1.5638610239213859</v>
      </c>
      <c r="L35" s="1257">
        <f t="shared" si="3"/>
        <v>1.6299629733234218</v>
      </c>
      <c r="M35" s="850"/>
    </row>
    <row r="36" spans="1:13" x14ac:dyDescent="0.25">
      <c r="B36" s="1276" t="s">
        <v>1818</v>
      </c>
      <c r="C36" s="854" t="s">
        <v>3</v>
      </c>
      <c r="D36" s="272"/>
      <c r="E36" s="909">
        <f>C32-$E$32</f>
        <v>1.3995303114155702</v>
      </c>
      <c r="F36" s="1159"/>
      <c r="G36" s="909">
        <f>E32-$G$32</f>
        <v>1.4960358116361396</v>
      </c>
      <c r="H36" s="1159"/>
      <c r="I36" s="909">
        <f t="shared" si="3"/>
        <v>0.9650944848268006</v>
      </c>
      <c r="J36" s="909">
        <f t="shared" si="3"/>
        <v>1.2957383031554972</v>
      </c>
      <c r="K36" s="909">
        <f t="shared" si="3"/>
        <v>1.8179348732787317</v>
      </c>
      <c r="L36" s="1182">
        <f t="shared" si="3"/>
        <v>1.8285690065816147</v>
      </c>
      <c r="M36" s="30"/>
    </row>
    <row r="37" spans="1:13" x14ac:dyDescent="0.25">
      <c r="B37" s="1274" t="s">
        <v>1826</v>
      </c>
      <c r="C37" s="1264" t="s">
        <v>3</v>
      </c>
      <c r="D37" s="380"/>
      <c r="E37" s="1264"/>
      <c r="F37" s="1264"/>
      <c r="G37" s="911"/>
      <c r="H37" s="1264"/>
      <c r="I37" s="911">
        <f t="shared" si="3"/>
        <v>1.6484753736702222</v>
      </c>
      <c r="J37" s="911">
        <f t="shared" si="3"/>
        <v>1.8614325715860538</v>
      </c>
      <c r="K37" s="911">
        <f t="shared" si="3"/>
        <v>2.0906011364182846</v>
      </c>
      <c r="L37" s="1258">
        <f t="shared" si="3"/>
        <v>2.044760141785142</v>
      </c>
    </row>
    <row r="38" spans="1:13" x14ac:dyDescent="0.25">
      <c r="B38" s="31"/>
      <c r="C38" s="854"/>
      <c r="D38" s="272"/>
      <c r="E38" s="272"/>
      <c r="F38" s="272"/>
      <c r="G38" s="1146"/>
      <c r="H38" s="272"/>
      <c r="I38" s="272"/>
      <c r="J38" s="272"/>
      <c r="K38" s="272"/>
      <c r="L38" s="1260"/>
    </row>
    <row r="39" spans="1:13" x14ac:dyDescent="0.25">
      <c r="B39" s="1275" t="s">
        <v>1823</v>
      </c>
      <c r="C39" s="859" t="s">
        <v>3</v>
      </c>
      <c r="D39" s="278"/>
      <c r="E39" s="859"/>
      <c r="F39" s="859"/>
      <c r="G39" s="860"/>
      <c r="H39" s="859"/>
      <c r="I39" s="1265">
        <f t="shared" ref="I39:L41" si="4">I35/$C$32</f>
        <v>7.8540427204716962E-2</v>
      </c>
      <c r="J39" s="1265">
        <f t="shared" si="4"/>
        <v>0.10078241332980292</v>
      </c>
      <c r="K39" s="1265">
        <f t="shared" si="4"/>
        <v>0.29036735833817157</v>
      </c>
      <c r="L39" s="1266">
        <f t="shared" si="4"/>
        <v>0.30264073054662011</v>
      </c>
    </row>
    <row r="40" spans="1:13" x14ac:dyDescent="0.25">
      <c r="B40" s="1276" t="s">
        <v>1822</v>
      </c>
      <c r="C40" s="854" t="s">
        <v>3</v>
      </c>
      <c r="D40" s="272"/>
      <c r="E40" s="351">
        <f>E36/$C$32</f>
        <v>0.25985551991119005</v>
      </c>
      <c r="F40" s="1159"/>
      <c r="G40" s="351">
        <f>G36/$C$32</f>
        <v>0.27777402208978214</v>
      </c>
      <c r="H40" s="1159"/>
      <c r="I40" s="351">
        <f t="shared" si="4"/>
        <v>0.17919235265753625</v>
      </c>
      <c r="J40" s="351">
        <f t="shared" si="4"/>
        <v>0.24058410717432135</v>
      </c>
      <c r="K40" s="351">
        <f t="shared" si="4"/>
        <v>0.33754210809676116</v>
      </c>
      <c r="L40" s="363">
        <f t="shared" si="4"/>
        <v>0.339516583544478</v>
      </c>
    </row>
    <row r="41" spans="1:13" x14ac:dyDescent="0.25">
      <c r="B41" s="1274" t="s">
        <v>1824</v>
      </c>
      <c r="C41" s="1264" t="s">
        <v>3</v>
      </c>
      <c r="D41" s="380"/>
      <c r="E41" s="1264"/>
      <c r="F41" s="1264"/>
      <c r="G41" s="1264"/>
      <c r="H41" s="1264"/>
      <c r="I41" s="1267">
        <f t="shared" si="4"/>
        <v>0.3060779904456617</v>
      </c>
      <c r="J41" s="1267">
        <f t="shared" si="4"/>
        <v>0.34561847265735191</v>
      </c>
      <c r="K41" s="1267">
        <f t="shared" si="4"/>
        <v>0.38816897411919404</v>
      </c>
      <c r="L41" s="1268">
        <f t="shared" si="4"/>
        <v>0.37965752181517587</v>
      </c>
    </row>
    <row r="42" spans="1:13" ht="51.75" customHeight="1" x14ac:dyDescent="0.25"/>
    <row r="43" spans="1:13" ht="39" customHeight="1" x14ac:dyDescent="0.25"/>
    <row r="44" spans="1:13" s="165" customFormat="1" ht="27.75" x14ac:dyDescent="0.25">
      <c r="A44" s="845" t="s">
        <v>1832</v>
      </c>
    </row>
    <row r="45" spans="1:13" s="165" customFormat="1" ht="60" x14ac:dyDescent="0.25">
      <c r="B45" s="1269" t="s">
        <v>62</v>
      </c>
      <c r="C45" s="1262" t="s">
        <v>1800</v>
      </c>
      <c r="D45" s="282"/>
      <c r="E45" s="1262" t="s">
        <v>1801</v>
      </c>
      <c r="F45" s="1262" t="s">
        <v>1802</v>
      </c>
      <c r="G45" s="1262" t="s">
        <v>1803</v>
      </c>
      <c r="H45" s="282"/>
      <c r="I45" s="1262" t="s">
        <v>1809</v>
      </c>
      <c r="J45" s="1262" t="s">
        <v>1810</v>
      </c>
      <c r="K45" s="1262" t="s">
        <v>1811</v>
      </c>
      <c r="L45" s="1263" t="s">
        <v>1812</v>
      </c>
    </row>
    <row r="46" spans="1:13" s="165" customFormat="1" x14ac:dyDescent="0.25">
      <c r="B46" s="1270" t="s">
        <v>63</v>
      </c>
      <c r="C46" s="855">
        <v>1.5058085130726611</v>
      </c>
      <c r="D46" s="278"/>
      <c r="E46" s="855">
        <v>1.0127603614370415</v>
      </c>
      <c r="F46" s="855">
        <v>0.78568383324976654</v>
      </c>
      <c r="G46" s="954">
        <v>-0.25845015489469103</v>
      </c>
      <c r="H46" s="278"/>
      <c r="I46" s="857">
        <f>C104/1000000</f>
        <v>0.11505638599544019</v>
      </c>
      <c r="J46" s="855">
        <f>I46</f>
        <v>0.11505638599544019</v>
      </c>
      <c r="K46" s="855">
        <f>I46</f>
        <v>0.11505638599544019</v>
      </c>
      <c r="L46" s="1259">
        <f>I46</f>
        <v>0.11505638599544019</v>
      </c>
    </row>
    <row r="47" spans="1:13" s="165" customFormat="1" x14ac:dyDescent="0.25">
      <c r="B47" s="31" t="s">
        <v>56</v>
      </c>
      <c r="C47" s="272">
        <v>0</v>
      </c>
      <c r="D47" s="272"/>
      <c r="E47" s="272">
        <v>0</v>
      </c>
      <c r="F47" s="840">
        <v>-0.1893368303129766</v>
      </c>
      <c r="G47" s="272">
        <v>0</v>
      </c>
      <c r="H47" s="272"/>
      <c r="I47" s="272"/>
      <c r="J47" s="272"/>
      <c r="K47" s="272"/>
      <c r="L47" s="1260"/>
    </row>
    <row r="48" spans="1:13" s="165" customFormat="1" x14ac:dyDescent="0.25">
      <c r="B48" s="1271" t="s">
        <v>57</v>
      </c>
      <c r="C48" s="856">
        <v>3.523822951694989</v>
      </c>
      <c r="D48" s="380"/>
      <c r="E48" s="856">
        <v>2.8856481090298605</v>
      </c>
      <c r="F48" s="856">
        <v>2.8856481090298605</v>
      </c>
      <c r="G48" s="856">
        <v>2.8856481090298605</v>
      </c>
      <c r="H48" s="380"/>
      <c r="I48" s="856">
        <f>E48</f>
        <v>2.8856481090298605</v>
      </c>
      <c r="J48" s="856">
        <f>E48</f>
        <v>2.8856481090298605</v>
      </c>
      <c r="K48" s="856">
        <f>E48</f>
        <v>2.8856481090298605</v>
      </c>
      <c r="L48" s="1261">
        <f>E48</f>
        <v>2.8856481090298605</v>
      </c>
    </row>
    <row r="49" spans="2:12" s="165" customFormat="1" x14ac:dyDescent="0.25">
      <c r="B49" s="1272" t="s">
        <v>58</v>
      </c>
      <c r="C49" s="857">
        <v>0</v>
      </c>
      <c r="D49" s="278"/>
      <c r="E49" s="857">
        <v>0</v>
      </c>
      <c r="F49" s="857"/>
      <c r="G49" s="278"/>
      <c r="H49" s="278"/>
      <c r="I49" s="857">
        <f>C19/1000000</f>
        <v>0.46434264326317293</v>
      </c>
      <c r="J49" s="857">
        <f>F19/1000000</f>
        <v>0.13369882493447624</v>
      </c>
      <c r="K49" s="857">
        <f>I19/1000000</f>
        <v>-0.38849774518875829</v>
      </c>
      <c r="L49" s="1254">
        <f>L19/1000000</f>
        <v>-0.39913187849164139</v>
      </c>
    </row>
    <row r="50" spans="2:12" s="165" customFormat="1" x14ac:dyDescent="0.25">
      <c r="B50" s="1273" t="s">
        <v>59</v>
      </c>
      <c r="C50" s="272"/>
      <c r="D50" s="272"/>
      <c r="E50" s="272"/>
      <c r="F50" s="272"/>
      <c r="G50" s="272"/>
      <c r="H50" s="272"/>
      <c r="I50" s="905">
        <f>(D19-C19)/1000000</f>
        <v>0.54209131528821897</v>
      </c>
      <c r="J50" s="905">
        <f>(G19-F19)/1000000</f>
        <v>0.75294420603230616</v>
      </c>
      <c r="K50" s="905">
        <f>(J19-I19)/1000000</f>
        <v>0.25407384935734595</v>
      </c>
      <c r="L50" s="1255">
        <f>(M19-L19)/1000000</f>
        <v>0.1986060332581927</v>
      </c>
    </row>
    <row r="51" spans="2:12" s="165" customFormat="1" x14ac:dyDescent="0.25">
      <c r="B51" s="1274" t="s">
        <v>60</v>
      </c>
      <c r="C51" s="380"/>
      <c r="D51" s="380"/>
      <c r="E51" s="380"/>
      <c r="F51" s="380"/>
      <c r="G51" s="380"/>
      <c r="H51" s="380"/>
      <c r="I51" s="906">
        <f>(C19-B19)/1000000</f>
        <v>0.68338088884342185</v>
      </c>
      <c r="J51" s="906">
        <f>(F19-E19)/1000000</f>
        <v>0.56569426843055648</v>
      </c>
      <c r="K51" s="906">
        <f>(I19-H19)/1000000</f>
        <v>0.27266626313955283</v>
      </c>
      <c r="L51" s="1256">
        <f>(L19-K19)/1000000</f>
        <v>0.21619113520352728</v>
      </c>
    </row>
    <row r="52" spans="2:12" s="165" customFormat="1" x14ac:dyDescent="0.25">
      <c r="B52" s="1273"/>
      <c r="C52" s="854"/>
      <c r="D52" s="272"/>
      <c r="E52" s="854"/>
      <c r="F52" s="854"/>
      <c r="G52" s="272"/>
      <c r="H52" s="272"/>
      <c r="I52" s="905"/>
      <c r="J52" s="905"/>
      <c r="K52" s="905"/>
      <c r="L52" s="1255"/>
    </row>
    <row r="53" spans="2:12" s="165" customFormat="1" x14ac:dyDescent="0.25">
      <c r="B53" s="1275" t="s">
        <v>1820</v>
      </c>
      <c r="C53" s="859"/>
      <c r="D53" s="278"/>
      <c r="E53" s="859"/>
      <c r="F53" s="859"/>
      <c r="G53" s="278"/>
      <c r="H53" s="278"/>
      <c r="I53" s="860">
        <f>I54+I50</f>
        <v>4.0071384535766921</v>
      </c>
      <c r="J53" s="860">
        <f>J54+J50</f>
        <v>3.8873475259920829</v>
      </c>
      <c r="K53" s="860">
        <f>K54+K50</f>
        <v>2.866280599193888</v>
      </c>
      <c r="L53" s="1257">
        <f>L54+L50</f>
        <v>2.8001786497918522</v>
      </c>
    </row>
    <row r="54" spans="2:12" s="165" customFormat="1" x14ac:dyDescent="0.25">
      <c r="B54" s="1276" t="s">
        <v>1819</v>
      </c>
      <c r="C54" s="909">
        <f>SUM(C46:C49)</f>
        <v>5.0296314647676503</v>
      </c>
      <c r="D54" s="272"/>
      <c r="E54" s="909">
        <f>SUM(E46:E49)</f>
        <v>3.8984084704669018</v>
      </c>
      <c r="F54" s="909">
        <f>SUM(F46:F49)</f>
        <v>3.4819951119666506</v>
      </c>
      <c r="G54" s="909">
        <f>SUM(G46:G49)</f>
        <v>2.6271979541351693</v>
      </c>
      <c r="H54" s="272"/>
      <c r="I54" s="909">
        <f>SUM(I46:I49)</f>
        <v>3.4650471382884733</v>
      </c>
      <c r="J54" s="909">
        <f>SUM(J46:J49)</f>
        <v>3.1344033199597767</v>
      </c>
      <c r="K54" s="909">
        <f>SUM(K46:K49)</f>
        <v>2.6122067498365422</v>
      </c>
      <c r="L54" s="1182">
        <f>SUM(L46:L49)</f>
        <v>2.6015726165336592</v>
      </c>
    </row>
    <row r="55" spans="2:12" s="165" customFormat="1" x14ac:dyDescent="0.25">
      <c r="B55" s="1274" t="s">
        <v>1821</v>
      </c>
      <c r="C55" s="910"/>
      <c r="D55" s="380"/>
      <c r="E55" s="910"/>
      <c r="F55" s="910"/>
      <c r="G55" s="910"/>
      <c r="H55" s="380"/>
      <c r="I55" s="911">
        <f>I54-I51</f>
        <v>2.7816662494450517</v>
      </c>
      <c r="J55" s="911">
        <f>J54-J51</f>
        <v>2.5687090515292201</v>
      </c>
      <c r="K55" s="911">
        <f>K54-K51</f>
        <v>2.3395404866969893</v>
      </c>
      <c r="L55" s="1258">
        <f>L54-L51</f>
        <v>2.3853814813301319</v>
      </c>
    </row>
    <row r="56" spans="2:12" s="165" customFormat="1" x14ac:dyDescent="0.25">
      <c r="B56" s="1273"/>
      <c r="C56" s="909"/>
      <c r="D56" s="272"/>
      <c r="E56" s="909"/>
      <c r="F56" s="909"/>
      <c r="G56" s="909"/>
      <c r="H56" s="272"/>
      <c r="I56" s="1161"/>
      <c r="J56" s="1161"/>
      <c r="K56" s="1161"/>
      <c r="L56" s="1277"/>
    </row>
    <row r="57" spans="2:12" s="165" customFormat="1" x14ac:dyDescent="0.25">
      <c r="B57" s="1275" t="s">
        <v>1825</v>
      </c>
      <c r="C57" s="859" t="s">
        <v>3</v>
      </c>
      <c r="D57" s="278"/>
      <c r="E57" s="859"/>
      <c r="F57" s="859"/>
      <c r="G57" s="859"/>
      <c r="H57" s="859"/>
      <c r="I57" s="860">
        <f t="shared" ref="I57:L59" si="5">$E$32-I53</f>
        <v>-2.0867024494761743E-2</v>
      </c>
      <c r="J57" s="860">
        <f t="shared" si="5"/>
        <v>9.8923903089847443E-2</v>
      </c>
      <c r="K57" s="860">
        <f t="shared" si="5"/>
        <v>1.1199908298880423</v>
      </c>
      <c r="L57" s="1257">
        <f t="shared" si="5"/>
        <v>1.1860927792900782</v>
      </c>
    </row>
    <row r="58" spans="2:12" s="165" customFormat="1" x14ac:dyDescent="0.25">
      <c r="B58" s="1276" t="s">
        <v>1818</v>
      </c>
      <c r="C58" s="854" t="s">
        <v>3</v>
      </c>
      <c r="D58" s="272"/>
      <c r="E58" s="909">
        <f>C54-E54</f>
        <v>1.1312229943007486</v>
      </c>
      <c r="F58" s="1159"/>
      <c r="G58" s="909">
        <f>E54-$G$54</f>
        <v>1.2712105163317324</v>
      </c>
      <c r="H58" s="1159"/>
      <c r="I58" s="909">
        <f t="shared" si="5"/>
        <v>0.521224290793457</v>
      </c>
      <c r="J58" s="909">
        <f t="shared" si="5"/>
        <v>0.85186810912215361</v>
      </c>
      <c r="K58" s="909">
        <f t="shared" si="5"/>
        <v>1.3740646792453881</v>
      </c>
      <c r="L58" s="1182">
        <f t="shared" si="5"/>
        <v>1.3846988125482711</v>
      </c>
    </row>
    <row r="59" spans="2:12" s="165" customFormat="1" x14ac:dyDescent="0.25">
      <c r="B59" s="1274" t="s">
        <v>1826</v>
      </c>
      <c r="C59" s="1264" t="s">
        <v>3</v>
      </c>
      <c r="D59" s="380"/>
      <c r="E59" s="1264"/>
      <c r="F59" s="1264"/>
      <c r="G59" s="1264"/>
      <c r="H59" s="1264"/>
      <c r="I59" s="911">
        <f t="shared" si="5"/>
        <v>1.2046051796368786</v>
      </c>
      <c r="J59" s="911">
        <f t="shared" si="5"/>
        <v>1.4175623775527102</v>
      </c>
      <c r="K59" s="911">
        <f t="shared" si="5"/>
        <v>1.646730942384941</v>
      </c>
      <c r="L59" s="1258">
        <f t="shared" si="5"/>
        <v>1.6008899477517984</v>
      </c>
    </row>
    <row r="60" spans="2:12" s="165" customFormat="1" x14ac:dyDescent="0.25">
      <c r="B60" s="31"/>
      <c r="C60" s="854"/>
      <c r="D60" s="272"/>
      <c r="E60" s="272"/>
      <c r="F60" s="272"/>
      <c r="G60" s="272"/>
      <c r="H60" s="272"/>
      <c r="I60" s="272"/>
      <c r="J60" s="272"/>
      <c r="K60" s="272"/>
      <c r="L60" s="1260"/>
    </row>
    <row r="61" spans="2:12" s="165" customFormat="1" x14ac:dyDescent="0.25">
      <c r="B61" s="1275" t="s">
        <v>1823</v>
      </c>
      <c r="C61" s="859" t="s">
        <v>3</v>
      </c>
      <c r="D61" s="278"/>
      <c r="E61" s="859"/>
      <c r="F61" s="859"/>
      <c r="G61" s="859"/>
      <c r="H61" s="859"/>
      <c r="I61" s="1265">
        <f t="shared" ref="I61:L63" si="6">I57/$C$32</f>
        <v>-3.8744509174662269E-3</v>
      </c>
      <c r="J61" s="1265">
        <f t="shared" si="6"/>
        <v>1.8367535207619728E-2</v>
      </c>
      <c r="K61" s="1265">
        <f t="shared" si="6"/>
        <v>0.20795248021598839</v>
      </c>
      <c r="L61" s="1266">
        <f t="shared" si="6"/>
        <v>0.22022585242443693</v>
      </c>
    </row>
    <row r="62" spans="2:12" s="165" customFormat="1" x14ac:dyDescent="0.25">
      <c r="B62" s="1276" t="s">
        <v>1822</v>
      </c>
      <c r="C62" s="854" t="s">
        <v>3</v>
      </c>
      <c r="D62" s="272"/>
      <c r="E62" s="351">
        <f>E58/$C$32</f>
        <v>0.21003799411974911</v>
      </c>
      <c r="F62" s="1159"/>
      <c r="G62" s="351">
        <f>G58/$C$54</f>
        <v>0.25274426669955974</v>
      </c>
      <c r="H62" s="1159"/>
      <c r="I62" s="351">
        <f t="shared" si="6"/>
        <v>9.6777474535353056E-2</v>
      </c>
      <c r="J62" s="351">
        <f t="shared" si="6"/>
        <v>0.15816922905213818</v>
      </c>
      <c r="K62" s="351">
        <f t="shared" si="6"/>
        <v>0.25512722997457798</v>
      </c>
      <c r="L62" s="363">
        <f t="shared" si="6"/>
        <v>0.25710170542229482</v>
      </c>
    </row>
    <row r="63" spans="2:12" s="165" customFormat="1" x14ac:dyDescent="0.25">
      <c r="B63" s="1274" t="s">
        <v>1824</v>
      </c>
      <c r="C63" s="1264" t="s">
        <v>3</v>
      </c>
      <c r="D63" s="380"/>
      <c r="E63" s="1264"/>
      <c r="F63" s="1264"/>
      <c r="G63" s="1264"/>
      <c r="H63" s="1264"/>
      <c r="I63" s="1267">
        <f t="shared" si="6"/>
        <v>0.22366311232347852</v>
      </c>
      <c r="J63" s="1267">
        <f t="shared" si="6"/>
        <v>0.26320359453516873</v>
      </c>
      <c r="K63" s="1267">
        <f t="shared" si="6"/>
        <v>0.30575409599701087</v>
      </c>
      <c r="L63" s="1268">
        <f t="shared" si="6"/>
        <v>0.29724264369299269</v>
      </c>
    </row>
    <row r="64" spans="2:12" s="165" customFormat="1" ht="26.65" customHeight="1" x14ac:dyDescent="0.25"/>
    <row r="65" spans="1:12" ht="50.85" customHeight="1" x14ac:dyDescent="0.25">
      <c r="B65" s="159"/>
      <c r="C65" s="159"/>
      <c r="D65" s="159"/>
      <c r="E65" s="159"/>
    </row>
    <row r="66" spans="1:12" x14ac:dyDescent="0.25">
      <c r="B66" s="159" t="s">
        <v>85</v>
      </c>
      <c r="C66" s="159" t="s">
        <v>3</v>
      </c>
      <c r="D66" s="159" t="s">
        <v>84</v>
      </c>
      <c r="E66" s="159" t="s">
        <v>3</v>
      </c>
    </row>
    <row r="67" spans="1:12" x14ac:dyDescent="0.25">
      <c r="A67" t="s">
        <v>46</v>
      </c>
      <c r="B67" s="160">
        <f>L24-E24</f>
        <v>-1.4294371280899731</v>
      </c>
      <c r="C67" s="160" t="s">
        <v>64</v>
      </c>
      <c r="D67" s="160">
        <f>L27-L29</f>
        <v>-0.61532301369516862</v>
      </c>
      <c r="E67" s="161" t="s">
        <v>46</v>
      </c>
    </row>
    <row r="68" spans="1:12" x14ac:dyDescent="0.25">
      <c r="A68" t="s">
        <v>61</v>
      </c>
      <c r="B68" s="160">
        <f>I46-E46</f>
        <v>-0.8977039754416013</v>
      </c>
      <c r="C68" s="160" t="s">
        <v>64</v>
      </c>
      <c r="D68" s="160">
        <f>L49-L51</f>
        <v>-0.61532301369516862</v>
      </c>
      <c r="E68" s="161" t="s">
        <v>61</v>
      </c>
    </row>
    <row r="69" spans="1:12" ht="84.75" customHeight="1" x14ac:dyDescent="0.25"/>
    <row r="70" spans="1:12" ht="27.75" x14ac:dyDescent="0.25">
      <c r="A70" s="845" t="s">
        <v>2181</v>
      </c>
      <c r="B70" s="165"/>
      <c r="C70" s="165"/>
      <c r="D70" s="165"/>
      <c r="E70" s="165"/>
      <c r="F70" s="165"/>
      <c r="G70" s="165"/>
      <c r="H70" s="165"/>
      <c r="I70" s="165"/>
      <c r="J70" s="165"/>
      <c r="K70" s="165"/>
      <c r="L70" s="165"/>
    </row>
    <row r="71" spans="1:12" ht="60" x14ac:dyDescent="0.25">
      <c r="A71" s="165"/>
      <c r="B71" s="1269" t="s">
        <v>62</v>
      </c>
      <c r="C71" s="1262" t="s">
        <v>1800</v>
      </c>
      <c r="D71" s="282"/>
      <c r="E71" s="1262" t="s">
        <v>1801</v>
      </c>
      <c r="F71" s="1262" t="s">
        <v>1802</v>
      </c>
      <c r="G71" s="1262" t="s">
        <v>1803</v>
      </c>
      <c r="H71" s="282"/>
      <c r="I71" s="1262" t="s">
        <v>1809</v>
      </c>
      <c r="J71" s="1262" t="s">
        <v>1810</v>
      </c>
      <c r="K71" s="1262" t="s">
        <v>1811</v>
      </c>
      <c r="L71" s="1263" t="s">
        <v>1812</v>
      </c>
    </row>
    <row r="72" spans="1:12" x14ac:dyDescent="0.25">
      <c r="A72" s="165"/>
      <c r="B72" s="1270" t="s">
        <v>63</v>
      </c>
      <c r="C72" s="855">
        <v>0.97504902456003839</v>
      </c>
      <c r="D72" s="278"/>
      <c r="E72" s="855">
        <v>0.65988566006068317</v>
      </c>
      <c r="F72" s="855">
        <v>0.52081256193120806</v>
      </c>
      <c r="G72" s="954">
        <f>G46</f>
        <v>-0.25845015489469103</v>
      </c>
      <c r="H72" s="278"/>
      <c r="I72" s="857">
        <f>D104/1000000</f>
        <v>7.5920105002421828E-2</v>
      </c>
      <c r="J72" s="855">
        <f>I72</f>
        <v>7.5920105002421828E-2</v>
      </c>
      <c r="K72" s="855">
        <f>I72</f>
        <v>7.5920105002421828E-2</v>
      </c>
      <c r="L72" s="1259">
        <f>I72</f>
        <v>7.5920105002421828E-2</v>
      </c>
    </row>
    <row r="73" spans="1:12" x14ac:dyDescent="0.25">
      <c r="A73" s="165"/>
      <c r="B73" s="31" t="s">
        <v>56</v>
      </c>
      <c r="C73" s="272">
        <f>C47</f>
        <v>0</v>
      </c>
      <c r="D73" s="272"/>
      <c r="E73" s="272">
        <f t="shared" ref="E73:G77" si="7">E47</f>
        <v>0</v>
      </c>
      <c r="F73" s="840">
        <f t="shared" si="7"/>
        <v>-0.1893368303129766</v>
      </c>
      <c r="G73" s="272">
        <f t="shared" si="7"/>
        <v>0</v>
      </c>
      <c r="H73" s="272"/>
      <c r="I73" s="272">
        <f t="shared" ref="I73:L77" si="8">I47</f>
        <v>0</v>
      </c>
      <c r="J73" s="272">
        <f t="shared" si="8"/>
        <v>0</v>
      </c>
      <c r="K73" s="272">
        <f t="shared" si="8"/>
        <v>0</v>
      </c>
      <c r="L73" s="1260">
        <f t="shared" si="8"/>
        <v>0</v>
      </c>
    </row>
    <row r="74" spans="1:12" x14ac:dyDescent="0.25">
      <c r="A74" s="165"/>
      <c r="B74" s="1271" t="s">
        <v>57</v>
      </c>
      <c r="C74" s="856">
        <f>C48</f>
        <v>3.523822951694989</v>
      </c>
      <c r="D74" s="380"/>
      <c r="E74" s="856">
        <f t="shared" si="7"/>
        <v>2.8856481090298605</v>
      </c>
      <c r="F74" s="856">
        <f t="shared" si="7"/>
        <v>2.8856481090298605</v>
      </c>
      <c r="G74" s="856">
        <f t="shared" si="7"/>
        <v>2.8856481090298605</v>
      </c>
      <c r="H74" s="380"/>
      <c r="I74" s="856">
        <f t="shared" si="8"/>
        <v>2.8856481090298605</v>
      </c>
      <c r="J74" s="856">
        <f t="shared" si="8"/>
        <v>2.8856481090298605</v>
      </c>
      <c r="K74" s="856">
        <f t="shared" si="8"/>
        <v>2.8856481090298605</v>
      </c>
      <c r="L74" s="1261">
        <f t="shared" si="8"/>
        <v>2.8856481090298605</v>
      </c>
    </row>
    <row r="75" spans="1:12" x14ac:dyDescent="0.25">
      <c r="A75" s="165"/>
      <c r="B75" s="1272" t="s">
        <v>58</v>
      </c>
      <c r="C75" s="857">
        <f>C49</f>
        <v>0</v>
      </c>
      <c r="D75" s="278"/>
      <c r="E75" s="857">
        <f t="shared" si="7"/>
        <v>0</v>
      </c>
      <c r="F75" s="857">
        <f t="shared" si="7"/>
        <v>0</v>
      </c>
      <c r="G75" s="278">
        <f t="shared" si="7"/>
        <v>0</v>
      </c>
      <c r="H75" s="278"/>
      <c r="I75" s="857">
        <f t="shared" si="8"/>
        <v>0.46434264326317293</v>
      </c>
      <c r="J75" s="857">
        <f t="shared" si="8"/>
        <v>0.13369882493447624</v>
      </c>
      <c r="K75" s="857">
        <f t="shared" si="8"/>
        <v>-0.38849774518875829</v>
      </c>
      <c r="L75" s="1254">
        <f t="shared" si="8"/>
        <v>-0.39913187849164139</v>
      </c>
    </row>
    <row r="76" spans="1:12" x14ac:dyDescent="0.25">
      <c r="A76" s="165"/>
      <c r="B76" s="1273" t="s">
        <v>59</v>
      </c>
      <c r="C76" s="272">
        <f>C50</f>
        <v>0</v>
      </c>
      <c r="D76" s="272"/>
      <c r="E76" s="272">
        <f t="shared" si="7"/>
        <v>0</v>
      </c>
      <c r="F76" s="272">
        <f t="shared" si="7"/>
        <v>0</v>
      </c>
      <c r="G76" s="272">
        <f t="shared" si="7"/>
        <v>0</v>
      </c>
      <c r="H76" s="272"/>
      <c r="I76" s="905">
        <f t="shared" si="8"/>
        <v>0.54209131528821897</v>
      </c>
      <c r="J76" s="905">
        <f t="shared" si="8"/>
        <v>0.75294420603230616</v>
      </c>
      <c r="K76" s="905">
        <f t="shared" si="8"/>
        <v>0.25407384935734595</v>
      </c>
      <c r="L76" s="1255">
        <f t="shared" si="8"/>
        <v>0.1986060332581927</v>
      </c>
    </row>
    <row r="77" spans="1:12" x14ac:dyDescent="0.25">
      <c r="A77" s="165"/>
      <c r="B77" s="1274" t="s">
        <v>60</v>
      </c>
      <c r="C77" s="380">
        <f>C51</f>
        <v>0</v>
      </c>
      <c r="D77" s="380"/>
      <c r="E77" s="380">
        <f t="shared" si="7"/>
        <v>0</v>
      </c>
      <c r="F77" s="380">
        <f t="shared" si="7"/>
        <v>0</v>
      </c>
      <c r="G77" s="380">
        <f t="shared" si="7"/>
        <v>0</v>
      </c>
      <c r="H77" s="380"/>
      <c r="I77" s="906">
        <f t="shared" si="8"/>
        <v>0.68338088884342185</v>
      </c>
      <c r="J77" s="906">
        <f t="shared" si="8"/>
        <v>0.56569426843055648</v>
      </c>
      <c r="K77" s="906">
        <f t="shared" si="8"/>
        <v>0.27266626313955283</v>
      </c>
      <c r="L77" s="1256">
        <f t="shared" si="8"/>
        <v>0.21619113520352728</v>
      </c>
    </row>
    <row r="78" spans="1:12" x14ac:dyDescent="0.25">
      <c r="A78" s="165"/>
      <c r="B78" s="1273"/>
      <c r="C78" s="854"/>
      <c r="D78" s="272"/>
      <c r="E78" s="854"/>
      <c r="F78" s="854"/>
      <c r="G78" s="272"/>
      <c r="H78" s="272"/>
      <c r="I78" s="905"/>
      <c r="J78" s="905"/>
      <c r="K78" s="905"/>
      <c r="L78" s="1255"/>
    </row>
    <row r="79" spans="1:12" x14ac:dyDescent="0.25">
      <c r="A79" s="165"/>
      <c r="B79" s="1275" t="s">
        <v>1820</v>
      </c>
      <c r="C79" s="859"/>
      <c r="D79" s="278"/>
      <c r="E79" s="859"/>
      <c r="F79" s="859"/>
      <c r="G79" s="278"/>
      <c r="H79" s="278"/>
      <c r="I79" s="860">
        <f t="shared" ref="I79:L81" si="9">I53</f>
        <v>4.0071384535766921</v>
      </c>
      <c r="J79" s="860">
        <f t="shared" si="9"/>
        <v>3.8873475259920829</v>
      </c>
      <c r="K79" s="860">
        <f t="shared" si="9"/>
        <v>2.866280599193888</v>
      </c>
      <c r="L79" s="1257">
        <f t="shared" si="9"/>
        <v>2.8001786497918522</v>
      </c>
    </row>
    <row r="80" spans="1:12" x14ac:dyDescent="0.25">
      <c r="A80" s="165"/>
      <c r="B80" s="1276" t="s">
        <v>1819</v>
      </c>
      <c r="C80" s="909">
        <f>C54</f>
        <v>5.0296314647676503</v>
      </c>
      <c r="D80" s="272"/>
      <c r="E80" s="909">
        <f t="shared" ref="E80:G80" si="10">E54</f>
        <v>3.8984084704669018</v>
      </c>
      <c r="F80" s="909">
        <f t="shared" si="10"/>
        <v>3.4819951119666506</v>
      </c>
      <c r="G80" s="909">
        <f t="shared" si="10"/>
        <v>2.6271979541351693</v>
      </c>
      <c r="H80" s="272"/>
      <c r="I80" s="909">
        <f t="shared" si="9"/>
        <v>3.4650471382884733</v>
      </c>
      <c r="J80" s="909">
        <f t="shared" si="9"/>
        <v>3.1344033199597767</v>
      </c>
      <c r="K80" s="909">
        <f t="shared" si="9"/>
        <v>2.6122067498365422</v>
      </c>
      <c r="L80" s="1182">
        <f t="shared" si="9"/>
        <v>2.6015726165336592</v>
      </c>
    </row>
    <row r="81" spans="1:12" x14ac:dyDescent="0.25">
      <c r="A81" s="165"/>
      <c r="B81" s="1274" t="s">
        <v>1821</v>
      </c>
      <c r="C81" s="910"/>
      <c r="D81" s="380"/>
      <c r="E81" s="910"/>
      <c r="F81" s="910"/>
      <c r="G81" s="910"/>
      <c r="H81" s="380"/>
      <c r="I81" s="911">
        <f t="shared" si="9"/>
        <v>2.7816662494450517</v>
      </c>
      <c r="J81" s="911">
        <f t="shared" si="9"/>
        <v>2.5687090515292201</v>
      </c>
      <c r="K81" s="911">
        <f t="shared" si="9"/>
        <v>2.3395404866969893</v>
      </c>
      <c r="L81" s="1258">
        <f t="shared" si="9"/>
        <v>2.3853814813301319</v>
      </c>
    </row>
    <row r="82" spans="1:12" x14ac:dyDescent="0.25">
      <c r="A82" s="165"/>
      <c r="B82" s="1273"/>
      <c r="C82" s="909"/>
      <c r="D82" s="272"/>
      <c r="E82" s="909"/>
      <c r="F82" s="909"/>
      <c r="G82" s="909"/>
      <c r="H82" s="272"/>
      <c r="I82" s="1161"/>
      <c r="J82" s="1161"/>
      <c r="K82" s="1161"/>
      <c r="L82" s="1277"/>
    </row>
    <row r="83" spans="1:12" x14ac:dyDescent="0.25">
      <c r="A83" s="165"/>
      <c r="B83" s="1275" t="s">
        <v>1825</v>
      </c>
      <c r="C83" s="859" t="str">
        <f>C57</f>
        <v xml:space="preserve"> </v>
      </c>
      <c r="D83" s="278"/>
      <c r="E83" s="859"/>
      <c r="F83" s="859"/>
      <c r="G83" s="859"/>
      <c r="H83" s="859"/>
      <c r="I83" s="860">
        <f t="shared" ref="I83:L85" si="11">I57</f>
        <v>-2.0867024494761743E-2</v>
      </c>
      <c r="J83" s="860">
        <f t="shared" si="11"/>
        <v>9.8923903089847443E-2</v>
      </c>
      <c r="K83" s="860">
        <f t="shared" si="11"/>
        <v>1.1199908298880423</v>
      </c>
      <c r="L83" s="1257">
        <f t="shared" si="11"/>
        <v>1.1860927792900782</v>
      </c>
    </row>
    <row r="84" spans="1:12" x14ac:dyDescent="0.25">
      <c r="A84" s="165"/>
      <c r="B84" s="1276" t="s">
        <v>1818</v>
      </c>
      <c r="C84" s="854" t="str">
        <f>C58</f>
        <v xml:space="preserve"> </v>
      </c>
      <c r="D84" s="272"/>
      <c r="E84" s="909">
        <f t="shared" ref="E84:G84" si="12">E58</f>
        <v>1.1312229943007486</v>
      </c>
      <c r="F84" s="1159"/>
      <c r="G84" s="909">
        <f t="shared" si="12"/>
        <v>1.2712105163317324</v>
      </c>
      <c r="H84" s="1159"/>
      <c r="I84" s="909">
        <f t="shared" si="11"/>
        <v>0.521224290793457</v>
      </c>
      <c r="J84" s="909">
        <f t="shared" si="11"/>
        <v>0.85186810912215361</v>
      </c>
      <c r="K84" s="909">
        <f t="shared" si="11"/>
        <v>1.3740646792453881</v>
      </c>
      <c r="L84" s="1182">
        <f t="shared" si="11"/>
        <v>1.3846988125482711</v>
      </c>
    </row>
    <row r="85" spans="1:12" x14ac:dyDescent="0.25">
      <c r="A85" s="165"/>
      <c r="B85" s="1274" t="s">
        <v>1826</v>
      </c>
      <c r="C85" s="1264" t="str">
        <f>C59</f>
        <v xml:space="preserve"> </v>
      </c>
      <c r="D85" s="380"/>
      <c r="E85" s="1264"/>
      <c r="F85" s="1264"/>
      <c r="G85" s="1264"/>
      <c r="H85" s="1264"/>
      <c r="I85" s="911">
        <f t="shared" si="11"/>
        <v>1.2046051796368786</v>
      </c>
      <c r="J85" s="911">
        <f t="shared" si="11"/>
        <v>1.4175623775527102</v>
      </c>
      <c r="K85" s="911">
        <f t="shared" si="11"/>
        <v>1.646730942384941</v>
      </c>
      <c r="L85" s="1258">
        <f t="shared" si="11"/>
        <v>1.6008899477517984</v>
      </c>
    </row>
    <row r="86" spans="1:12" x14ac:dyDescent="0.25">
      <c r="A86" s="165"/>
      <c r="B86" s="31"/>
      <c r="C86" s="854"/>
      <c r="D86" s="272"/>
      <c r="E86" s="272"/>
      <c r="F86" s="272"/>
      <c r="G86" s="272"/>
      <c r="H86" s="272"/>
      <c r="I86" s="272"/>
      <c r="J86" s="272"/>
      <c r="K86" s="272"/>
      <c r="L86" s="1260"/>
    </row>
    <row r="87" spans="1:12" x14ac:dyDescent="0.25">
      <c r="A87" s="165"/>
      <c r="B87" s="1275" t="s">
        <v>1823</v>
      </c>
      <c r="C87" s="859" t="str">
        <f>C61</f>
        <v xml:space="preserve"> </v>
      </c>
      <c r="D87" s="278"/>
      <c r="E87" s="859"/>
      <c r="F87" s="859"/>
      <c r="G87" s="859"/>
      <c r="H87" s="859"/>
      <c r="I87" s="1265">
        <f t="shared" ref="I87:L89" si="13">I61</f>
        <v>-3.8744509174662269E-3</v>
      </c>
      <c r="J87" s="1265">
        <f t="shared" si="13"/>
        <v>1.8367535207619728E-2</v>
      </c>
      <c r="K87" s="1265">
        <f t="shared" si="13"/>
        <v>0.20795248021598839</v>
      </c>
      <c r="L87" s="1266">
        <f t="shared" si="13"/>
        <v>0.22022585242443693</v>
      </c>
    </row>
    <row r="88" spans="1:12" x14ac:dyDescent="0.25">
      <c r="A88" s="165"/>
      <c r="B88" s="1276" t="s">
        <v>1822</v>
      </c>
      <c r="C88" s="854" t="str">
        <f>C62</f>
        <v xml:space="preserve"> </v>
      </c>
      <c r="D88" s="272"/>
      <c r="E88" s="351">
        <f t="shared" ref="E88:G88" si="14">E62</f>
        <v>0.21003799411974911</v>
      </c>
      <c r="F88" s="1159"/>
      <c r="G88" s="351">
        <f t="shared" si="14"/>
        <v>0.25274426669955974</v>
      </c>
      <c r="H88" s="1159"/>
      <c r="I88" s="351">
        <f t="shared" si="13"/>
        <v>9.6777474535353056E-2</v>
      </c>
      <c r="J88" s="351">
        <f t="shared" si="13"/>
        <v>0.15816922905213818</v>
      </c>
      <c r="K88" s="351">
        <f t="shared" si="13"/>
        <v>0.25512722997457798</v>
      </c>
      <c r="L88" s="363">
        <f t="shared" si="13"/>
        <v>0.25710170542229482</v>
      </c>
    </row>
    <row r="89" spans="1:12" x14ac:dyDescent="0.25">
      <c r="A89" s="165"/>
      <c r="B89" s="1274" t="s">
        <v>1824</v>
      </c>
      <c r="C89" s="1264" t="str">
        <f>C63</f>
        <v xml:space="preserve"> </v>
      </c>
      <c r="D89" s="380"/>
      <c r="E89" s="1264"/>
      <c r="F89" s="1264"/>
      <c r="G89" s="1264"/>
      <c r="H89" s="1264"/>
      <c r="I89" s="1267">
        <f t="shared" si="13"/>
        <v>0.22366311232347852</v>
      </c>
      <c r="J89" s="1267">
        <f t="shared" si="13"/>
        <v>0.26320359453516873</v>
      </c>
      <c r="K89" s="1267">
        <f t="shared" si="13"/>
        <v>0.30575409599701087</v>
      </c>
      <c r="L89" s="1268">
        <f t="shared" si="13"/>
        <v>0.29724264369299269</v>
      </c>
    </row>
    <row r="90" spans="1:12" ht="53.25" customHeight="1" x14ac:dyDescent="0.25"/>
    <row r="91" spans="1:12" ht="27.75" x14ac:dyDescent="0.25">
      <c r="A91" s="844" t="s">
        <v>2190</v>
      </c>
    </row>
    <row r="92" spans="1:12" ht="120" x14ac:dyDescent="0.25">
      <c r="B92" s="152" t="s">
        <v>2174</v>
      </c>
      <c r="C92" s="152" t="s">
        <v>2175</v>
      </c>
      <c r="D92" s="152" t="s">
        <v>2180</v>
      </c>
    </row>
    <row r="93" spans="1:12" x14ac:dyDescent="0.25">
      <c r="B93" s="89">
        <f>'S1.2.1 mass flows'!E5*'S3.2 LCA data waste-to-energy'!D9</f>
        <v>24733.407539279535</v>
      </c>
      <c r="C93" s="89">
        <f>'S1.2.1 mass flows'!E5*'S3.2 LCA data waste-to-energy'!P9</f>
        <v>13665.200298521131</v>
      </c>
      <c r="D93" s="89">
        <f>'S1.2.1 mass flows'!E5*'S3.2 LCA data waste-to-energy'!Y9</f>
        <v>7457.0724909305745</v>
      </c>
    </row>
    <row r="94" spans="1:12" x14ac:dyDescent="0.25">
      <c r="B94" s="98">
        <f>'S1.2.1 mass flows'!E6*'S3.2 LCA data waste-to-energy'!D10</f>
        <v>20772.792483897098</v>
      </c>
      <c r="C94" s="98">
        <f>'S1.2.1 mass flows'!E6*'S3.2 LCA data waste-to-energy'!P10</f>
        <v>11476.9616601052</v>
      </c>
      <c r="D94" s="98">
        <f>'S1.2.1 mass flows'!E6*'S3.2 LCA data waste-to-energy'!Y10</f>
        <v>6262.9550394733315</v>
      </c>
    </row>
    <row r="95" spans="1:12" x14ac:dyDescent="0.25">
      <c r="B95" s="98">
        <f>'S1.2.1 mass flows'!E7*'S3.2 LCA data waste-to-energy'!D11</f>
        <v>14569.424516866598</v>
      </c>
      <c r="C95" s="98">
        <f>'S1.2.1 mass flows'!E7*'S3.2 LCA data waste-to-energy'!P11</f>
        <v>9484.1454042018486</v>
      </c>
      <c r="D95" s="98">
        <f>'S1.2.1 mass flows'!E7*'S3.2 LCA data waste-to-energy'!Y11</f>
        <v>6621.6566966715336</v>
      </c>
    </row>
    <row r="96" spans="1:12" x14ac:dyDescent="0.25">
      <c r="B96" s="98">
        <f>'S1.2.1 mass flows'!E8*'S3.2 LCA data waste-to-energy'!D12</f>
        <v>34474.389050313373</v>
      </c>
      <c r="C96" s="98">
        <f>'S1.2.1 mass flows'!E8*'S3.2 LCA data waste-to-energy'!P12</f>
        <v>20671.132169193406</v>
      </c>
      <c r="D96" s="98">
        <f>'S1.2.1 mass flows'!E8*'S3.2 LCA data waste-to-energy'!Y12</f>
        <v>12918.744611396776</v>
      </c>
    </row>
    <row r="97" spans="1:4" x14ac:dyDescent="0.25">
      <c r="B97" s="98">
        <f>'S1.2.1 mass flows'!E9*'S3.2 LCA data waste-to-energy'!D13</f>
        <v>26612.257668786464</v>
      </c>
      <c r="C97" s="98">
        <f>'S1.2.1 mass flows'!E9*'S3.2 LCA data waste-to-energy'!P13</f>
        <v>18459.456124398763</v>
      </c>
      <c r="D97" s="98">
        <f>'S1.2.1 mass flows'!E9*'S3.2 LCA data waste-to-energy'!Y13</f>
        <v>13878.840824565663</v>
      </c>
    </row>
    <row r="98" spans="1:4" x14ac:dyDescent="0.25">
      <c r="B98" s="98">
        <f>'S1.2.1 mass flows'!E10*'S3.2 LCA data waste-to-energy'!D14</f>
        <v>14432.405979486166</v>
      </c>
      <c r="C98" s="98">
        <f>'S1.2.1 mass flows'!E10*'S3.2 LCA data waste-to-energy'!P14</f>
        <v>13365.417062381506</v>
      </c>
      <c r="D98" s="98">
        <f>'S1.2.1 mass flows'!E10*'S3.2 LCA data waste-to-energy'!Y14</f>
        <v>10524.102168657028</v>
      </c>
    </row>
    <row r="99" spans="1:4" x14ac:dyDescent="0.25">
      <c r="B99" s="98">
        <f>'S1.2.1 mass flows'!E11*'S3.2 LCA data waste-to-energy'!D15</f>
        <v>3107.6285362844164</v>
      </c>
      <c r="C99" s="98">
        <f>'S1.2.1 mass flows'!E11*'S3.2 LCA data waste-to-energy'!P15</f>
        <v>1619.8192840076172</v>
      </c>
      <c r="D99" s="98">
        <f>'S1.2.1 mass flows'!E11*'S3.2 LCA data waste-to-energy'!Y15</f>
        <v>807.85373942514025</v>
      </c>
    </row>
    <row r="100" spans="1:4" x14ac:dyDescent="0.25">
      <c r="B100" s="98">
        <f>'S1.2.1 mass flows'!E12*'S3.2 LCA data waste-to-energy'!D16</f>
        <v>687.99108671230329</v>
      </c>
      <c r="C100" s="98">
        <f>'S1.2.1 mass flows'!E12*'S3.2 LCA data waste-to-energy'!P16</f>
        <v>425.51993614447667</v>
      </c>
      <c r="D100" s="98">
        <f>'S1.2.1 mass flows'!E12*'S3.2 LCA data waste-to-energy'!Y16</f>
        <v>278.25485142746436</v>
      </c>
    </row>
    <row r="101" spans="1:4" x14ac:dyDescent="0.25">
      <c r="B101" s="98">
        <f>'S1.2.1 mass flows'!E13*'S3.2 LCA data waste-to-energy'!D17</f>
        <v>2346.2405400061994</v>
      </c>
      <c r="C101" s="98">
        <f>'S1.2.1 mass flows'!E13*'S3.2 LCA data waste-to-energy'!P17</f>
        <v>1061.7139043393647</v>
      </c>
      <c r="D101" s="98">
        <f>'S1.2.1 mass flows'!E13*'S3.2 LCA data waste-to-energy'!Y17</f>
        <v>360.64944206922769</v>
      </c>
    </row>
    <row r="102" spans="1:4" x14ac:dyDescent="0.25">
      <c r="B102" s="98">
        <f>'S1.2.1 mass flows'!E14*'S3.2 LCA data waste-to-energy'!D18</f>
        <v>3050.0961436057728</v>
      </c>
      <c r="C102" s="98">
        <f>'S1.2.1 mass flows'!E14*'S3.2 LCA data waste-to-energy'!P18</f>
        <v>1679.0186594016022</v>
      </c>
      <c r="D102" s="98">
        <f>'S1.2.1 mass flows'!E14*'S3.2 LCA data waste-to-energy'!Y18</f>
        <v>930.88303190191209</v>
      </c>
    </row>
    <row r="103" spans="1:4" x14ac:dyDescent="0.25">
      <c r="B103" s="106">
        <f>'S1.2.1 mass flows'!E15*'S3.2 LCA data waste-to-energy'!D19</f>
        <v>36046.852105939739</v>
      </c>
      <c r="C103" s="106">
        <f>'S1.2.1 mass flows'!E15*'S3.2 LCA data waste-to-energy'!P19</f>
        <v>23148.001492745261</v>
      </c>
      <c r="D103" s="106">
        <f>'S1.2.1 mass flows'!E15*'S3.2 LCA data waste-to-energy'!Y19</f>
        <v>15879.092105903179</v>
      </c>
    </row>
    <row r="104" spans="1:4" x14ac:dyDescent="0.25">
      <c r="B104" s="111">
        <f>SUM(B93:B103)</f>
        <v>180833.48565117765</v>
      </c>
      <c r="C104" s="111">
        <f>SUM(C93:C103)</f>
        <v>115056.38599544019</v>
      </c>
      <c r="D104" s="111">
        <f>SUM(D93:D103)</f>
        <v>75920.105002421828</v>
      </c>
    </row>
    <row r="105" spans="1:4" ht="57" customHeight="1" x14ac:dyDescent="0.25"/>
    <row r="106" spans="1:4" x14ac:dyDescent="0.25">
      <c r="A106" t="s">
        <v>2183</v>
      </c>
    </row>
    <row r="107" spans="1:4" x14ac:dyDescent="0.25">
      <c r="A107" t="s">
        <v>2184</v>
      </c>
    </row>
  </sheetData>
  <mergeCells count="7">
    <mergeCell ref="I22:L22"/>
    <mergeCell ref="E22:G22"/>
    <mergeCell ref="B5:M5"/>
    <mergeCell ref="K6:M6"/>
    <mergeCell ref="H6:J6"/>
    <mergeCell ref="E6:G6"/>
    <mergeCell ref="B6:D6"/>
  </mergeCells>
  <conditionalFormatting sqref="B104 S21">
    <cfRule type="colorScale" priority="30">
      <colorScale>
        <cfvo type="min"/>
        <cfvo type="max"/>
        <color rgb="FFF8696B"/>
        <color rgb="FFFCFCFF"/>
      </colorScale>
    </cfRule>
  </conditionalFormatting>
  <conditionalFormatting sqref="I61:L63">
    <cfRule type="colorScale" priority="19">
      <colorScale>
        <cfvo type="min"/>
        <cfvo type="max"/>
        <color rgb="FFFCFCFF"/>
        <color rgb="FF63BE7B"/>
      </colorScale>
    </cfRule>
  </conditionalFormatting>
  <conditionalFormatting sqref="I61:L63 E62">
    <cfRule type="colorScale" priority="18">
      <colorScale>
        <cfvo type="min"/>
        <cfvo type="max"/>
        <color rgb="FFFCFCFF"/>
        <color rgb="FF63BE7B"/>
      </colorScale>
    </cfRule>
  </conditionalFormatting>
  <conditionalFormatting sqref="B104">
    <cfRule type="colorScale" priority="84">
      <colorScale>
        <cfvo type="min"/>
        <cfvo type="max"/>
        <color rgb="FFF8696B"/>
        <color rgb="FFFCFCFF"/>
      </colorScale>
    </cfRule>
  </conditionalFormatting>
  <conditionalFormatting sqref="C104">
    <cfRule type="colorScale" priority="12">
      <colorScale>
        <cfvo type="min"/>
        <cfvo type="max"/>
        <color rgb="FFF8696B"/>
        <color rgb="FFFCFCFF"/>
      </colorScale>
    </cfRule>
  </conditionalFormatting>
  <conditionalFormatting sqref="C104">
    <cfRule type="colorScale" priority="13">
      <colorScale>
        <cfvo type="min"/>
        <cfvo type="max"/>
        <color rgb="FFF8696B"/>
        <color rgb="FFFCFCFF"/>
      </colorScale>
    </cfRule>
  </conditionalFormatting>
  <conditionalFormatting sqref="D104">
    <cfRule type="colorScale" priority="8">
      <colorScale>
        <cfvo type="min"/>
        <cfvo type="max"/>
        <color rgb="FFF8696B"/>
        <color rgb="FFFCFCFF"/>
      </colorScale>
    </cfRule>
  </conditionalFormatting>
  <conditionalFormatting sqref="D104">
    <cfRule type="colorScale" priority="9">
      <colorScale>
        <cfvo type="min"/>
        <cfvo type="max"/>
        <color rgb="FFF8696B"/>
        <color rgb="FFFCFCFF"/>
      </colorScale>
    </cfRule>
  </conditionalFormatting>
  <conditionalFormatting sqref="I39:L41">
    <cfRule type="colorScale" priority="7">
      <colorScale>
        <cfvo type="min"/>
        <cfvo type="max"/>
        <color rgb="FFFCFCFF"/>
        <color rgb="FF63BE7B"/>
      </colorScale>
    </cfRule>
  </conditionalFormatting>
  <conditionalFormatting sqref="I39:L41 E40">
    <cfRule type="colorScale" priority="6">
      <colorScale>
        <cfvo type="min"/>
        <cfvo type="max"/>
        <color rgb="FFFCFCFF"/>
        <color rgb="FF63BE7B"/>
      </colorScale>
    </cfRule>
  </conditionalFormatting>
  <conditionalFormatting sqref="G40">
    <cfRule type="colorScale" priority="5">
      <colorScale>
        <cfvo type="min"/>
        <cfvo type="max"/>
        <color rgb="FFFCFCFF"/>
        <color rgb="FF63BE7B"/>
      </colorScale>
    </cfRule>
  </conditionalFormatting>
  <conditionalFormatting sqref="G62">
    <cfRule type="colorScale" priority="4">
      <colorScale>
        <cfvo type="min"/>
        <cfvo type="max"/>
        <color rgb="FFFCFCFF"/>
        <color rgb="FF63BE7B"/>
      </colorScale>
    </cfRule>
  </conditionalFormatting>
  <conditionalFormatting sqref="I87:L89">
    <cfRule type="colorScale" priority="3">
      <colorScale>
        <cfvo type="min"/>
        <cfvo type="max"/>
        <color rgb="FFFCFCFF"/>
        <color rgb="FF63BE7B"/>
      </colorScale>
    </cfRule>
  </conditionalFormatting>
  <conditionalFormatting sqref="I87:L89 E88">
    <cfRule type="colorScale" priority="2">
      <colorScale>
        <cfvo type="min"/>
        <cfvo type="max"/>
        <color rgb="FFFCFCFF"/>
        <color rgb="FF63BE7B"/>
      </colorScale>
    </cfRule>
  </conditionalFormatting>
  <conditionalFormatting sqref="G88">
    <cfRule type="colorScale" priority="1">
      <colorScale>
        <cfvo type="min"/>
        <cfvo type="max"/>
        <color rgb="FFFCFCFF"/>
        <color rgb="FF63BE7B"/>
      </colorScale>
    </cfRule>
  </conditionalFormatting>
  <pageMargins left="0.7" right="0.7" top="0.75" bottom="0.75" header="0.3" footer="0.3"/>
  <pageSetup paperSize="9" orientation="portrait" r:id="rId1"/>
  <drawing r:id="rId2"/>
  <legacyDrawing r:id="rId3"/>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78D52-438F-42F6-A346-8BBB6A2FD505}">
  <sheetPr>
    <tabColor rgb="FF3CC8C5"/>
  </sheetPr>
  <dimension ref="A1:S85"/>
  <sheetViews>
    <sheetView zoomScale="55" zoomScaleNormal="55" workbookViewId="0">
      <selection activeCell="B67" sqref="B67"/>
    </sheetView>
  </sheetViews>
  <sheetFormatPr defaultRowHeight="15" x14ac:dyDescent="0.25"/>
  <cols>
    <col min="1" max="1" width="40.5703125" customWidth="1"/>
    <col min="2" max="16" width="15.7109375" customWidth="1"/>
    <col min="17" max="17" width="15.140625" customWidth="1"/>
    <col min="18" max="33" width="13.28515625" customWidth="1"/>
  </cols>
  <sheetData>
    <row r="1" spans="1:13" ht="27.75" x14ac:dyDescent="0.25">
      <c r="A1" s="151" t="s">
        <v>78</v>
      </c>
    </row>
    <row r="2" spans="1:13" ht="39" customHeight="1" x14ac:dyDescent="0.25"/>
    <row r="3" spans="1:13" ht="27.75" x14ac:dyDescent="0.25">
      <c r="A3" s="844" t="s">
        <v>1816</v>
      </c>
    </row>
    <row r="4" spans="1:13" ht="27.75" x14ac:dyDescent="0.25">
      <c r="A4" s="845" t="s">
        <v>1147</v>
      </c>
    </row>
    <row r="5" spans="1:13" x14ac:dyDescent="0.25">
      <c r="B5" s="1478" t="s">
        <v>2043</v>
      </c>
      <c r="C5" s="1478"/>
      <c r="D5" s="1478"/>
      <c r="E5" s="1478"/>
      <c r="F5" s="1478"/>
      <c r="G5" s="1478"/>
      <c r="H5" s="1478"/>
      <c r="I5" s="1478"/>
      <c r="J5" s="1478"/>
      <c r="K5" s="1478"/>
      <c r="L5" s="1478"/>
      <c r="M5" s="1478"/>
    </row>
    <row r="6" spans="1:13" x14ac:dyDescent="0.25">
      <c r="B6" s="1663" t="s">
        <v>500</v>
      </c>
      <c r="C6" s="1318"/>
      <c r="D6" s="1319"/>
      <c r="E6" s="1663" t="s">
        <v>121</v>
      </c>
      <c r="F6" s="1318"/>
      <c r="G6" s="1319"/>
      <c r="H6" s="1663" t="s">
        <v>11</v>
      </c>
      <c r="I6" s="1318"/>
      <c r="J6" s="1319"/>
      <c r="K6" s="1663" t="s">
        <v>12</v>
      </c>
      <c r="L6" s="1318"/>
      <c r="M6" s="1319"/>
    </row>
    <row r="7" spans="1:13" ht="75" x14ac:dyDescent="0.25">
      <c r="B7" s="804" t="s">
        <v>412</v>
      </c>
      <c r="C7" s="806" t="s">
        <v>422</v>
      </c>
      <c r="D7" s="805" t="s">
        <v>416</v>
      </c>
      <c r="E7" s="804" t="s">
        <v>412</v>
      </c>
      <c r="F7" s="806" t="s">
        <v>422</v>
      </c>
      <c r="G7" s="805" t="s">
        <v>416</v>
      </c>
      <c r="H7" s="1252" t="s">
        <v>1796</v>
      </c>
      <c r="I7" s="807" t="s">
        <v>1817</v>
      </c>
      <c r="J7" s="1253" t="s">
        <v>1797</v>
      </c>
      <c r="K7" s="804" t="s">
        <v>412</v>
      </c>
      <c r="L7" s="806" t="s">
        <v>422</v>
      </c>
      <c r="M7" s="805" t="s">
        <v>416</v>
      </c>
    </row>
    <row r="8" spans="1:13" x14ac:dyDescent="0.25">
      <c r="B8" s="15"/>
      <c r="D8" s="27"/>
      <c r="E8" s="15"/>
      <c r="G8" s="27"/>
      <c r="H8" s="84">
        <f t="shared" ref="H8:J9" si="0">K8</f>
        <v>-33185.03503002003</v>
      </c>
      <c r="I8" s="849">
        <f t="shared" si="0"/>
        <v>6289.8832113441676</v>
      </c>
      <c r="J8" s="84">
        <f t="shared" si="0"/>
        <v>43353.485986683881</v>
      </c>
      <c r="K8" s="846">
        <f>('S1.2.2 mass flows - sens.anal.'!H5*('S3.1 LCA data coll,sort,transp'!$C$9+'S2.10 overall results'!$F$10)+'S1.2.2 mass flows - sens.anal.'!L5*('S3.1 LCA data coll,sort,transp'!$C$10+'S2.10 overall results'!$F$10))+('S1.2.2 mass flows - sens.anal.'!G5*('S3.1 LCA data coll,sort,transp'!$F$9+'S2.4.3 Dissol_res'!B32)+'S1.2.2 mass flows - sens.anal.'!K5*('S3.1 LCA data coll,sort,transp'!$F$10+'S2.4.3 Dissol_res'!B32))</f>
        <v>-33185.03503002003</v>
      </c>
      <c r="L8" s="366">
        <f>('S1.2.2 mass flows - sens.anal.'!H5*('S3.1 LCA data coll,sort,transp'!$C$9+AVERAGE('S2.10 overall results'!$F$6,'S2.10 overall results'!$F$9))+'S1.2.2 mass flows - sens.anal.'!L5*('S3.1 LCA data coll,sort,transp'!$C$10+AVERAGE('S2.10 overall results'!$F$6,'S2.10 overall results'!$F$9)))+('S1.2.2 mass flows - sens.anal.'!G5*('S3.1 LCA data coll,sort,transp'!$F$9+'S2.4.3 Dissol_res'!C32)+'S1.2.2 mass flows - sens.anal.'!K5*('S3.1 LCA data coll,sort,transp'!$F$10+'S2.4.3 Dissol_res'!C32))</f>
        <v>6289.8832113441676</v>
      </c>
      <c r="M8" s="847">
        <f>('S1.2.2 mass flows - sens.anal.'!H5*('S3.1 LCA data coll,sort,transp'!$D$9+'S2.10 overall results'!$F$5)+'S1.2.2 mass flows - sens.anal.'!L5*('S3.1 LCA data coll,sort,transp'!$D$10+'S2.10 overall results'!$F$5))+('S1.2.2 mass flows - sens.anal.'!G5*('S3.1 LCA data coll,sort,transp'!$F$9+'S2.4.3 Dissol_res'!D32)+'S1.2.2 mass flows - sens.anal.'!K5*('S3.1 LCA data coll,sort,transp'!$F$10+'S2.4.3 Dissol_res'!D32))</f>
        <v>43353.485986683881</v>
      </c>
    </row>
    <row r="9" spans="1:13" x14ac:dyDescent="0.25">
      <c r="B9" s="15"/>
      <c r="D9" s="27"/>
      <c r="E9" s="15"/>
      <c r="G9" s="27"/>
      <c r="H9" s="94">
        <f t="shared" si="0"/>
        <v>-36027.984004943566</v>
      </c>
      <c r="I9" s="849">
        <f t="shared" si="0"/>
        <v>6538.5430532581377</v>
      </c>
      <c r="J9" s="94">
        <f t="shared" si="0"/>
        <v>46583.146074593962</v>
      </c>
      <c r="K9" s="95">
        <f>('S1.2.2 mass flows - sens.anal.'!H6*('S3.1 LCA data coll,sort,transp'!$C$9+'S2.10 overall results'!$F$10)+'S1.2.2 mass flows - sens.anal.'!L6*('S3.1 LCA data coll,sort,transp'!$C$10+'S2.10 overall results'!$F$10))+('S1.2.2 mass flows - sens.anal.'!G6*('S3.1 LCA data coll,sort,transp'!$F$9+'S2.4.3 Dissol_res'!B33)+'S1.2.2 mass flows - sens.anal.'!K6*('S3.1 LCA data coll,sort,transp'!$F$10+'S2.4.3 Dissol_res'!B33))</f>
        <v>-36027.984004943566</v>
      </c>
      <c r="L9" s="366">
        <f>('S1.2.2 mass flows - sens.anal.'!H6*('S3.1 LCA data coll,sort,transp'!$C$9+AVERAGE('S2.10 overall results'!$F$6,'S2.10 overall results'!$F$9))+'S1.2.2 mass flows - sens.anal.'!L6*('S3.1 LCA data coll,sort,transp'!$C$10+AVERAGE('S2.10 overall results'!$F$6,'S2.10 overall results'!$F$9)))+('S1.2.2 mass flows - sens.anal.'!G6*('S3.1 LCA data coll,sort,transp'!$F$9+'S2.4.3 Dissol_res'!C33)+'S1.2.2 mass flows - sens.anal.'!K6*('S3.1 LCA data coll,sort,transp'!$F$10+'S2.4.3 Dissol_res'!C33))</f>
        <v>6538.5430532581377</v>
      </c>
      <c r="M9" s="97">
        <f>('S1.2.2 mass flows - sens.anal.'!H6*('S3.1 LCA data coll,sort,transp'!$D$9+'S2.10 overall results'!$F$5)+'S1.2.2 mass flows - sens.anal.'!L6*('S3.1 LCA data coll,sort,transp'!$D$10+'S2.10 overall results'!$F$5))+('S1.2.2 mass flows - sens.anal.'!G6*('S3.1 LCA data coll,sort,transp'!$F$9+'S2.4.3 Dissol_res'!D33)+'S1.2.2 mass flows - sens.anal.'!K6*('S3.1 LCA data coll,sort,transp'!$F$10+'S2.4.3 Dissol_res'!D33))</f>
        <v>46583.146074593962</v>
      </c>
    </row>
    <row r="10" spans="1:13" x14ac:dyDescent="0.25">
      <c r="B10" s="275"/>
      <c r="D10" s="27"/>
      <c r="E10" s="15"/>
      <c r="G10" s="27"/>
      <c r="H10" s="96">
        <f>('S1.2.2 mass flows - sens.anal.'!H7*('S3.1 LCA data coll,sort,transp'!$C$9+'S2.10 overall results'!F10)+'S1.2.2 mass flows - sens.anal.'!L7*('S3.1 LCA data coll,sort,transp'!$C$10+'S2.10 overall results'!F10))+('S1.2.2 mass flows - sens.anal.'!G7*('S3.1 LCA data coll,sort,transp'!$E$9+'S2.3.4 Depoly_res'!B37)+'S1.2.2 mass flows - sens.anal.'!K7*('S3.1 LCA data coll,sort,transp'!$E$10+'S2.3.4 Depoly_res'!B37))</f>
        <v>-43886.596131425918</v>
      </c>
      <c r="I10" s="366">
        <f>('S1.2.2 mass flows - sens.anal.'!H7*('S3.1 LCA data coll,sort,transp'!$C$9+AVERAGE('S2.10 overall results'!F6,'S2.10 overall results'!F9))+'S1.2.2 mass flows - sens.anal.'!L7*('S3.1 LCA data coll,sort,transp'!$C$10+AVERAGE('S2.10 overall results'!F6,'S2.10 overall results'!F9)))+('S1.2.2 mass flows - sens.anal.'!G7*('S3.1 LCA data coll,sort,transp'!$E$9+'S2.3.4 Depoly_res'!C37)+'S1.2.2 mass flows - sens.anal.'!K7*('S3.1 LCA data coll,sort,transp'!$E$10+'S2.3.4 Depoly_res'!C37))</f>
        <v>-957.40086547951068</v>
      </c>
      <c r="J10" s="96">
        <f>('S1.2.2 mass flows - sens.anal.'!H7*('S3.1 LCA data coll,sort,transp'!$C$9+'S2.10 overall results'!F5)+'S1.2.2 mass flows - sens.anal.'!L7*('S3.1 LCA data coll,sort,transp'!$C$10+'S2.10 overall results'!F5))+('S1.2.2 mass flows - sens.anal.'!G7*('S3.1 LCA data coll,sort,transp'!$E$9+'S2.3.4 Depoly_res'!D37)+'S1.2.2 mass flows - sens.anal.'!K7*('S3.1 LCA data coll,sort,transp'!$E$10+'S2.3.4 Depoly_res'!D37))</f>
        <v>40077.806851294394</v>
      </c>
      <c r="K10" s="95">
        <f>('S1.2.2 mass flows - sens.anal.'!H7*('S3.1 LCA data coll,sort,transp'!$C$9+'S2.10 overall results'!$F$10)+'S1.2.2 mass flows - sens.anal.'!L7*('S3.1 LCA data coll,sort,transp'!$C$10+'S2.10 overall results'!$F$10))+('S1.2.2 mass flows - sens.anal.'!G7*('S3.1 LCA data coll,sort,transp'!$F$9+'S2.4.3 Dissol_res'!B34)+'S1.2.2 mass flows - sens.anal.'!K7*('S3.1 LCA data coll,sort,transp'!$F$10+'S2.4.3 Dissol_res'!B34))</f>
        <v>-41678.923226483443</v>
      </c>
      <c r="L10" s="366">
        <f>('S1.2.2 mass flows - sens.anal.'!H7*('S3.1 LCA data coll,sort,transp'!$C$9+AVERAGE('S2.10 overall results'!$F$6,'S2.10 overall results'!$F$9))+'S1.2.2 mass flows - sens.anal.'!L7*('S3.1 LCA data coll,sort,transp'!$C$10+AVERAGE('S2.10 overall results'!$F$6,'S2.10 overall results'!$F$9)))+('S1.2.2 mass flows - sens.anal.'!G7*('S3.1 LCA data coll,sort,transp'!$F$9+'S2.4.3 Dissol_res'!C34)+'S1.2.2 mass flows - sens.anal.'!K7*('S3.1 LCA data coll,sort,transp'!$F$10+'S2.4.3 Dissol_res'!C34))</f>
        <v>-5004.4182751765147</v>
      </c>
      <c r="M10" s="97">
        <f>('S1.2.2 mass flows - sens.anal.'!H7*('S3.1 LCA data coll,sort,transp'!$D$9+'S2.10 overall results'!$F$5)+'S1.2.2 mass flows - sens.anal.'!L7*('S3.1 LCA data coll,sort,transp'!$D$10+'S2.10 overall results'!$F$5))+('S1.2.2 mass flows - sens.anal.'!G7*('S3.1 LCA data coll,sort,transp'!$F$9+'S2.4.3 Dissol_res'!D34)+'S1.2.2 mass flows - sens.anal.'!K7*('S3.1 LCA data coll,sort,transp'!$F$10+'S2.4.3 Dissol_res'!D34))</f>
        <v>29410.316771915994</v>
      </c>
    </row>
    <row r="11" spans="1:13" x14ac:dyDescent="0.25">
      <c r="B11" s="15"/>
      <c r="D11" s="27"/>
      <c r="E11" s="15"/>
      <c r="G11" s="27"/>
      <c r="H11" s="94">
        <f t="shared" ref="H11:J15" si="1">K11</f>
        <v>-63709.82268126242</v>
      </c>
      <c r="I11" s="849">
        <f t="shared" si="1"/>
        <v>13759.374589256775</v>
      </c>
      <c r="J11" s="94">
        <f t="shared" si="1"/>
        <v>86609.285062348295</v>
      </c>
      <c r="K11" s="95">
        <f>('S1.2.2 mass flows - sens.anal.'!H8*('S3.1 LCA data coll,sort,transp'!$C$9+'S2.10 overall results'!$F$10)+'S1.2.2 mass flows - sens.anal.'!L8*('S3.1 LCA data coll,sort,transp'!$C$10+'S2.10 overall results'!$F$10))+('S1.2.2 mass flows - sens.anal.'!G8*('S3.1 LCA data coll,sort,transp'!$F$9+'S2.4.3 Dissol_res'!B35)+'S1.2.2 mass flows - sens.anal.'!K8*('S3.1 LCA data coll,sort,transp'!$F$10+'S2.4.3 Dissol_res'!B35))</f>
        <v>-63709.82268126242</v>
      </c>
      <c r="L11" s="366">
        <f>('S1.2.2 mass flows - sens.anal.'!H8*('S3.1 LCA data coll,sort,transp'!$C$9+AVERAGE('S2.10 overall results'!$F$6,'S2.10 overall results'!$F$9))+'S1.2.2 mass flows - sens.anal.'!L8*('S3.1 LCA data coll,sort,transp'!$C$10+AVERAGE('S2.10 overall results'!$F$6,'S2.10 overall results'!$F$9)))+('S1.2.2 mass flows - sens.anal.'!G8*('S3.1 LCA data coll,sort,transp'!$F$9+'S2.4.3 Dissol_res'!C35)+'S1.2.2 mass flows - sens.anal.'!K8*('S3.1 LCA data coll,sort,transp'!$F$10+'S2.4.3 Dissol_res'!C35))</f>
        <v>13759.374589256775</v>
      </c>
      <c r="M11" s="97">
        <f>('S1.2.2 mass flows - sens.anal.'!H8*('S3.1 LCA data coll,sort,transp'!$D$9+'S2.10 overall results'!$F$5)+'S1.2.2 mass flows - sens.anal.'!L8*('S3.1 LCA data coll,sort,transp'!$D$10+'S2.10 overall results'!$F$5))+('S1.2.2 mass flows - sens.anal.'!G8*('S3.1 LCA data coll,sort,transp'!$F$9+'S2.4.3 Dissol_res'!D35)+'S1.2.2 mass flows - sens.anal.'!K8*('S3.1 LCA data coll,sort,transp'!$F$10+'S2.4.3 Dissol_res'!D35))</f>
        <v>86609.285062348295</v>
      </c>
    </row>
    <row r="12" spans="1:13" x14ac:dyDescent="0.25">
      <c r="B12" s="15"/>
      <c r="D12" s="27"/>
      <c r="E12" s="15"/>
      <c r="G12" s="27"/>
      <c r="H12" s="94">
        <f t="shared" si="1"/>
        <v>-33072.094126720294</v>
      </c>
      <c r="I12" s="849">
        <f t="shared" si="1"/>
        <v>3838.6230017385242</v>
      </c>
      <c r="J12" s="94">
        <f t="shared" si="1"/>
        <v>38463.749403082096</v>
      </c>
      <c r="K12" s="95">
        <f>('S1.2.2 mass flows - sens.anal.'!H9*('S3.1 LCA data coll,sort,transp'!$C$9+'S2.10 overall results'!$F$10)+'S1.2.2 mass flows - sens.anal.'!L9*('S3.1 LCA data coll,sort,transp'!$C$10+'S2.10 overall results'!$F$10))+('S1.2.2 mass flows - sens.anal.'!G9*('S3.1 LCA data coll,sort,transp'!$F$9+'S2.4.3 Dissol_res'!B36)+'S1.2.2 mass flows - sens.anal.'!K9*('S3.1 LCA data coll,sort,transp'!$F$10+'S2.4.3 Dissol_res'!B36))</f>
        <v>-33072.094126720294</v>
      </c>
      <c r="L12" s="366">
        <f>('S1.2.2 mass flows - sens.anal.'!H9*('S3.1 LCA data coll,sort,transp'!$C$9+AVERAGE('S2.10 overall results'!$F$6,'S2.10 overall results'!$F$9))+'S1.2.2 mass flows - sens.anal.'!L9*('S3.1 LCA data coll,sort,transp'!$C$10+AVERAGE('S2.10 overall results'!$F$6,'S2.10 overall results'!$F$9)))+('S1.2.2 mass flows - sens.anal.'!G9*('S3.1 LCA data coll,sort,transp'!$F$9+'S2.4.3 Dissol_res'!C36)+'S1.2.2 mass flows - sens.anal.'!K9*('S3.1 LCA data coll,sort,transp'!$F$10+'S2.4.3 Dissol_res'!C36))</f>
        <v>3838.6230017385242</v>
      </c>
      <c r="M12" s="97">
        <f>('S1.2.2 mass flows - sens.anal.'!H9*('S3.1 LCA data coll,sort,transp'!$D$9+'S2.10 overall results'!$F$5)+'S1.2.2 mass flows - sens.anal.'!L9*('S3.1 LCA data coll,sort,transp'!$D$10+'S2.10 overall results'!$F$5))+('S1.2.2 mass flows - sens.anal.'!G9*('S3.1 LCA data coll,sort,transp'!$F$9+'S2.4.3 Dissol_res'!D36)+'S1.2.2 mass flows - sens.anal.'!K9*('S3.1 LCA data coll,sort,transp'!$F$10+'S2.4.3 Dissol_res'!D36))</f>
        <v>38463.749403082096</v>
      </c>
    </row>
    <row r="13" spans="1:13" x14ac:dyDescent="0.25">
      <c r="B13" s="15"/>
      <c r="D13" s="27"/>
      <c r="E13" s="15"/>
      <c r="G13" s="27"/>
      <c r="H13" s="94">
        <f t="shared" si="1"/>
        <v>-39963.943989571839</v>
      </c>
      <c r="I13" s="849">
        <f t="shared" si="1"/>
        <v>-6203.7112945545596</v>
      </c>
      <c r="J13" s="94">
        <f t="shared" si="1"/>
        <v>25415.634944895166</v>
      </c>
      <c r="K13" s="95">
        <f>('S1.2.2 mass flows - sens.anal.'!H10*('S3.1 LCA data coll,sort,transp'!$C$9+'S2.10 overall results'!$F$10)+'S1.2.2 mass flows - sens.anal.'!L10*('S3.1 LCA data coll,sort,transp'!$C$10+'S2.10 overall results'!$F$10))+('S1.2.2 mass flows - sens.anal.'!G10*('S3.1 LCA data coll,sort,transp'!$F$9+'S2.4.3 Dissol_res'!B37)+'S1.2.2 mass flows - sens.anal.'!K10*('S3.1 LCA data coll,sort,transp'!$F$10+'S2.4.3 Dissol_res'!B37))</f>
        <v>-39963.943989571839</v>
      </c>
      <c r="L13" s="366">
        <f>('S1.2.2 mass flows - sens.anal.'!H10*('S3.1 LCA data coll,sort,transp'!$C$9+AVERAGE('S2.10 overall results'!$F$6,'S2.10 overall results'!$F$9))+'S1.2.2 mass flows - sens.anal.'!L10*('S3.1 LCA data coll,sort,transp'!$C$10+AVERAGE('S2.10 overall results'!$F$6,'S2.10 overall results'!$F$9)))+('S1.2.2 mass flows - sens.anal.'!G10*('S3.1 LCA data coll,sort,transp'!$F$9+'S2.4.3 Dissol_res'!C37)+'S1.2.2 mass flows - sens.anal.'!K10*('S3.1 LCA data coll,sort,transp'!$F$10+'S2.4.3 Dissol_res'!C37))</f>
        <v>-6203.7112945545596</v>
      </c>
      <c r="M13" s="97">
        <f>('S1.2.2 mass flows - sens.anal.'!H10*('S3.1 LCA data coll,sort,transp'!$D$9+'S2.10 overall results'!$F$5)+'S1.2.2 mass flows - sens.anal.'!L10*('S3.1 LCA data coll,sort,transp'!$D$10+'S2.10 overall results'!$F$5))+('S1.2.2 mass flows - sens.anal.'!G10*('S3.1 LCA data coll,sort,transp'!$F$9+'S2.4.3 Dissol_res'!D37)+'S1.2.2 mass flows - sens.anal.'!K10*('S3.1 LCA data coll,sort,transp'!$F$10+'S2.4.3 Dissol_res'!D37))</f>
        <v>25415.634944895166</v>
      </c>
    </row>
    <row r="14" spans="1:13" x14ac:dyDescent="0.25">
      <c r="B14" s="15"/>
      <c r="D14" s="27"/>
      <c r="E14" s="15"/>
      <c r="G14" s="27"/>
      <c r="H14" s="94">
        <f t="shared" si="1"/>
        <v>-13549.364343746478</v>
      </c>
      <c r="I14" s="849">
        <f t="shared" si="1"/>
        <v>-883.07628644741635</v>
      </c>
      <c r="J14" s="94">
        <f t="shared" si="1"/>
        <v>11063.795565926144</v>
      </c>
      <c r="K14" s="95">
        <f>('S1.2.2 mass flows - sens.anal.'!H11*('S3.1 LCA data coll,sort,transp'!$C$9+'S2.10 overall results'!$F$10)+'S1.2.2 mass flows - sens.anal.'!L11*('S3.1 LCA data coll,sort,transp'!$C$10+'S2.10 overall results'!$F$10))+('S1.2.2 mass flows - sens.anal.'!G11*('S3.1 LCA data coll,sort,transp'!$F$9+'S2.4.3 Dissol_res'!B38)+'S1.2.2 mass flows - sens.anal.'!K11*('S3.1 LCA data coll,sort,transp'!$F$10+'S2.4.3 Dissol_res'!B38))</f>
        <v>-13549.364343746478</v>
      </c>
      <c r="L14" s="366">
        <f>('S1.2.2 mass flows - sens.anal.'!H11*('S3.1 LCA data coll,sort,transp'!$C$9+AVERAGE('S2.10 overall results'!$F$6,'S2.10 overall results'!$F$9))+'S1.2.2 mass flows - sens.anal.'!L11*('S3.1 LCA data coll,sort,transp'!$C$10+AVERAGE('S2.10 overall results'!$F$6,'S2.10 overall results'!$F$9)))+('S1.2.2 mass flows - sens.anal.'!G11*('S3.1 LCA data coll,sort,transp'!$F$9+'S2.4.3 Dissol_res'!C38)+'S1.2.2 mass flows - sens.anal.'!K11*('S3.1 LCA data coll,sort,transp'!$F$10+'S2.4.3 Dissol_res'!C38))</f>
        <v>-883.07628644741635</v>
      </c>
      <c r="M14" s="97">
        <f>('S1.2.2 mass flows - sens.anal.'!H11*('S3.1 LCA data coll,sort,transp'!$D$9+'S2.10 overall results'!$F$5)+'S1.2.2 mass flows - sens.anal.'!L11*('S3.1 LCA data coll,sort,transp'!$D$10+'S2.10 overall results'!$F$5))+('S1.2.2 mass flows - sens.anal.'!G11*('S3.1 LCA data coll,sort,transp'!$F$9+'S2.4.3 Dissol_res'!D38)+'S1.2.2 mass flows - sens.anal.'!K11*('S3.1 LCA data coll,sort,transp'!$F$10+'S2.4.3 Dissol_res'!D38))</f>
        <v>11063.795565926144</v>
      </c>
    </row>
    <row r="15" spans="1:13" x14ac:dyDescent="0.25">
      <c r="B15" s="15"/>
      <c r="D15" s="27"/>
      <c r="E15" s="15"/>
      <c r="G15" s="27"/>
      <c r="H15" s="94">
        <f t="shared" si="1"/>
        <v>-5879.9974621586443</v>
      </c>
      <c r="I15" s="849">
        <f t="shared" si="1"/>
        <v>290.86291777454517</v>
      </c>
      <c r="J15" s="94">
        <f t="shared" si="1"/>
        <v>6125.1886619473116</v>
      </c>
      <c r="K15" s="95">
        <f>('S1.2.2 mass flows - sens.anal.'!H12*('S3.1 LCA data coll,sort,transp'!$C$9+'S2.10 overall results'!$F$10)+'S1.2.2 mass flows - sens.anal.'!L12*('S3.1 LCA data coll,sort,transp'!$C$10+'S2.10 overall results'!$F$10))+('S1.2.2 mass flows - sens.anal.'!G12*('S3.1 LCA data coll,sort,transp'!$F$9+'S2.4.3 Dissol_res'!B39)+'S1.2.2 mass flows - sens.anal.'!K12*('S3.1 LCA data coll,sort,transp'!$F$10+'S2.4.3 Dissol_res'!B39))</f>
        <v>-5879.9974621586443</v>
      </c>
      <c r="L15" s="366">
        <f>('S1.2.2 mass flows - sens.anal.'!H12*('S3.1 LCA data coll,sort,transp'!$C$9+AVERAGE('S2.10 overall results'!$F$6,'S2.10 overall results'!$F$9))+'S1.2.2 mass flows - sens.anal.'!L12*('S3.1 LCA data coll,sort,transp'!$C$10+AVERAGE('S2.10 overall results'!$F$6,'S2.10 overall results'!$F$9)))+('S1.2.2 mass flows - sens.anal.'!G12*('S3.1 LCA data coll,sort,transp'!$F$9+'S2.4.3 Dissol_res'!C39)+'S1.2.2 mass flows - sens.anal.'!K12*('S3.1 LCA data coll,sort,transp'!$F$10+'S2.4.3 Dissol_res'!C39))</f>
        <v>290.86291777454517</v>
      </c>
      <c r="M15" s="97">
        <f>('S1.2.2 mass flows - sens.anal.'!H12*('S3.1 LCA data coll,sort,transp'!$D$9+'S2.10 overall results'!$F$5)+'S1.2.2 mass flows - sens.anal.'!L12*('S3.1 LCA data coll,sort,transp'!$D$10+'S2.10 overall results'!$F$5))+('S1.2.2 mass flows - sens.anal.'!G12*('S3.1 LCA data coll,sort,transp'!$F$9+'S2.4.3 Dissol_res'!D39)+'S1.2.2 mass flows - sens.anal.'!K12*('S3.1 LCA data coll,sort,transp'!$F$10+'S2.4.3 Dissol_res'!D39))</f>
        <v>6125.1886619473116</v>
      </c>
    </row>
    <row r="16" spans="1:13" x14ac:dyDescent="0.25">
      <c r="B16" s="15"/>
      <c r="D16" s="27"/>
      <c r="E16" s="15"/>
      <c r="G16" s="27"/>
      <c r="H16" s="96">
        <f>('S1.2.2 mass flows - sens.anal.'!H7*('S3.1 LCA data coll,sort,transp'!$C$9+'S2.10 overall results'!F10)+'S1.2.2 mass flows - sens.anal.'!L7*('S3.1 LCA data coll,sort,transp'!$C$10+'S2.10 overall results'!F10))+('S1.2.2 mass flows - sens.anal.'!G7*('S3.1 LCA data coll,sort,transp'!$E$9+'S2.3.4 Depoly_res'!B38)+'S1.2.2 mass flows - sens.anal.'!K7*('S3.1 LCA data coll,sort,transp'!$E$10+'S2.3.4 Depoly_res'!B38))</f>
        <v>-42025.681599972537</v>
      </c>
      <c r="I16" s="366">
        <f>('S1.2.2 mass flows - sens.anal.'!H7*('S3.1 LCA data coll,sort,transp'!$C$9+AVERAGE('S2.10 overall results'!F6,'S2.10 overall results'!F9))+'S1.2.2 mass flows - sens.anal.'!L7*('S3.1 LCA data coll,sort,transp'!$C$10+AVERAGE('S2.10 overall results'!F6,'S2.10 overall results'!F9)))+('S1.2.2 mass flows - sens.anal.'!G7*('S3.1 LCA data coll,sort,transp'!$E$9+'S2.3.4 Depoly_res'!C38)+'S1.2.2 mass flows - sens.anal.'!K7*('S3.1 LCA data coll,sort,transp'!$E$10+'S2.3.4 Depoly_res'!C38))</f>
        <v>512.56931782292304</v>
      </c>
      <c r="J16" s="96">
        <f>('S1.2.2 mass flows - sens.anal.'!H7*('S3.1 LCA data coll,sort,transp'!$C$9+'S2.10 overall results'!F5)+'S1.2.2 mass flows - sens.anal.'!L7*('S3.1 LCA data coll,sort,transp'!$C$10+'S2.10 overall results'!F5))+('S1.2.2 mass flows - sens.anal.'!G7*('S3.1 LCA data coll,sort,transp'!$E$9+'S2.3.4 Depoly_res'!D38)+'S1.2.2 mass flows - sens.anal.'!K7*('S3.1 LCA data coll,sort,transp'!$E$10+'S2.3.4 Depoly_res'!D38))</f>
        <v>41362.099443122694</v>
      </c>
      <c r="K16" s="95">
        <f>('S1.2.2 mass flows - sens.anal.'!H13*('S3.1 LCA data coll,sort,transp'!$C$9+'S2.10 overall results'!$F$10)+'S1.2.2 mass flows - sens.anal.'!L13*('S3.1 LCA data coll,sort,transp'!$C$10+'S2.10 overall results'!$F$10))+('S1.2.2 mass flows - sens.anal.'!G13*('S3.1 LCA data coll,sort,transp'!$F$9+'S2.4.3 Dissol_res'!B40)+'S1.2.2 mass flows - sens.anal.'!K13*('S3.1 LCA data coll,sort,transp'!$F$10+'S2.4.3 Dissol_res'!B40))</f>
        <v>-18715.390269156687</v>
      </c>
      <c r="L16" s="366">
        <f>('S1.2.2 mass flows - sens.anal.'!H13*('S3.1 LCA data coll,sort,transp'!$C$9+AVERAGE('S2.10 overall results'!$F$6,'S2.10 overall results'!$F$9))+'S1.2.2 mass flows - sens.anal.'!L13*('S3.1 LCA data coll,sort,transp'!$C$10+AVERAGE('S2.10 overall results'!$F$6,'S2.10 overall results'!$F$9)))+('S1.2.2 mass flows - sens.anal.'!G13*('S3.1 LCA data coll,sort,transp'!$F$9+'S2.4.3 Dissol_res'!C40)+'S1.2.2 mass flows - sens.anal.'!K13*('S3.1 LCA data coll,sort,transp'!$F$10+'S2.4.3 Dissol_res'!C40))</f>
        <v>-10245.187590531641</v>
      </c>
      <c r="M16" s="97">
        <f>('S1.2.2 mass flows - sens.anal.'!H13*('S3.1 LCA data coll,sort,transp'!$D$9+'S2.10 overall results'!$F$5)+'S1.2.2 mass flows - sens.anal.'!L13*('S3.1 LCA data coll,sort,transp'!$D$10+'S2.10 overall results'!$F$5))+('S1.2.2 mass flows - sens.anal.'!G13*('S3.1 LCA data coll,sort,transp'!$F$9+'S2.4.3 Dissol_res'!D40)+'S1.2.2 mass flows - sens.anal.'!K13*('S3.1 LCA data coll,sort,transp'!$F$10+'S2.4.3 Dissol_res'!D40))</f>
        <v>-2310.0293502276891</v>
      </c>
    </row>
    <row r="17" spans="1:19" x14ac:dyDescent="0.25">
      <c r="B17" s="15"/>
      <c r="D17" s="27"/>
      <c r="E17" s="15"/>
      <c r="G17" s="27"/>
      <c r="H17" s="94">
        <f>K17</f>
        <v>-14336.471655332478</v>
      </c>
      <c r="I17" s="849">
        <f>L17</f>
        <v>-7896.0411143614447</v>
      </c>
      <c r="J17" s="94">
        <f>M17</f>
        <v>-1876.2487289489436</v>
      </c>
      <c r="K17" s="95">
        <f>('S1.2.2 mass flows - sens.anal.'!H14*('S3.1 LCA data coll,sort,transp'!$C$9+'S2.10 overall results'!$F$10)+'S1.2.2 mass flows - sens.anal.'!L14*('S3.1 LCA data coll,sort,transp'!$C$10+'S2.10 overall results'!$F$10))+('S1.2.2 mass flows - sens.anal.'!G14*('S3.1 LCA data coll,sort,transp'!$F$9+'S2.4.3 Dissol_res'!B41)+'S1.2.2 mass flows - sens.anal.'!K14*('S3.1 LCA data coll,sort,transp'!$F$10+'S2.4.3 Dissol_res'!B41))</f>
        <v>-14336.471655332478</v>
      </c>
      <c r="L17" s="366">
        <f>('S1.2.2 mass flows - sens.anal.'!H14*('S3.1 LCA data coll,sort,transp'!$C$9+AVERAGE('S2.10 overall results'!$F$6,'S2.10 overall results'!$F$9))+'S1.2.2 mass flows - sens.anal.'!L14*('S3.1 LCA data coll,sort,transp'!$C$10+AVERAGE('S2.10 overall results'!$F$6,'S2.10 overall results'!$F$9)))+('S1.2.2 mass flows - sens.anal.'!G14*('S3.1 LCA data coll,sort,transp'!$F$9+'S2.4.3 Dissol_res'!C41)+'S1.2.2 mass flows - sens.anal.'!K14*('S3.1 LCA data coll,sort,transp'!$F$10+'S2.4.3 Dissol_res'!C41))</f>
        <v>-7896.0411143614447</v>
      </c>
      <c r="M17" s="97">
        <f>('S1.2.2 mass flows - sens.anal.'!H14*('S3.1 LCA data coll,sort,transp'!$D$9+'S2.10 overall results'!$F$5)+'S1.2.2 mass flows - sens.anal.'!L14*('S3.1 LCA data coll,sort,transp'!$D$10+'S2.10 overall results'!$F$5))+('S1.2.2 mass flows - sens.anal.'!G14*('S3.1 LCA data coll,sort,transp'!$F$9+'S2.4.3 Dissol_res'!D41)+'S1.2.2 mass flows - sens.anal.'!K14*('S3.1 LCA data coll,sort,transp'!$F$10+'S2.4.3 Dissol_res'!D41))</f>
        <v>-1876.2487289489436</v>
      </c>
    </row>
    <row r="18" spans="1:19" x14ac:dyDescent="0.25">
      <c r="B18" s="34"/>
      <c r="D18" s="36"/>
      <c r="E18" s="34"/>
      <c r="F18" s="37"/>
      <c r="G18" s="36"/>
      <c r="H18" s="101">
        <f>('S1.2.2 mass flows - sens.anal.'!H7*('S3.1 LCA data coll,sort,transp'!$C$9+'S2.10 overall results'!F10)+'S1.2.2 mass flows - sens.anal.'!L7*('S3.1 LCA data coll,sort,transp'!$C$10+'S2.10 overall results'!F10))+('S1.2.2 mass flows - sens.anal.'!G7*('S3.1 LCA data coll,sort,transp'!$E$9+'S2.3.4 Depoly_res'!B40)+'S1.2.2 mass flows - sens.anal.'!K7*('S3.1 LCA data coll,sort,transp'!$E$10+'S2.3.4 Depoly_res'!B40))</f>
        <v>-58030.445554292222</v>
      </c>
      <c r="I18" s="101">
        <f>('S1.2.2 mass flows - sens.anal.'!H7*('S3.1 LCA data coll,sort,transp'!$C$9+AVERAGE('S2.10 overall results'!F6,'S2.10 overall results'!F9))+'S1.2.2 mass flows - sens.anal.'!L7*('S3.1 LCA data coll,sort,transp'!$C$10+AVERAGE('S2.10 overall results'!F6,'S2.10 overall results'!F9)))+('S1.2.2 mass flows - sens.anal.'!G7*('S3.1 LCA data coll,sort,transp'!$E$9+'S2.3.4 Depoly_res'!C40)+'S1.2.2 mass flows - sens.anal.'!K7*('S3.1 LCA data coll,sort,transp'!$E$10+'S2.3.4 Depoly_res'!C40))</f>
        <v>-15759.760722121082</v>
      </c>
      <c r="J18" s="101">
        <f>('S1.2.2 mass flows - sens.anal.'!H7*('S3.1 LCA data coll,sort,transp'!$C$9+'S2.10 overall results'!F5)+'S1.2.2 mass flows - sens.anal.'!L7*('S3.1 LCA data coll,sort,transp'!$C$10+'S2.10 overall results'!F5))+('S1.2.2 mass flows - sens.anal.'!G7*('S3.1 LCA data coll,sort,transp'!$E$9+'S2.3.4 Depoly_res'!D40)+'S1.2.2 mass flows - sens.anal.'!K7*('S3.1 LCA data coll,sort,transp'!$E$10+'S2.3.4 Depoly_res'!D40))</f>
        <v>28711.68373665469</v>
      </c>
      <c r="K18" s="102">
        <f>H18</f>
        <v>-58030.445554292222</v>
      </c>
      <c r="L18" s="103">
        <f>I18</f>
        <v>-15759.760722121082</v>
      </c>
      <c r="M18" s="104">
        <f>J18</f>
        <v>28711.68373665469</v>
      </c>
    </row>
    <row r="19" spans="1:19" x14ac:dyDescent="0.25">
      <c r="B19" s="108">
        <f>SUM('S1.2.2 mass flows - sens.anal.'!G16:H16)*('S3.1 LCA data coll,sort,transp'!$C$9+'S2.10 overall results'!F7)+SUM('S1.2.2 mass flows - sens.anal.'!K16:L16)*('S3.1 LCA data coll,sort,transp'!$C$10+'S2.10 overall results'!F7)</f>
        <v>-156792.20018215317</v>
      </c>
      <c r="C19" s="109">
        <f>SUM('S1.2.2 mass flows - sens.anal.'!G16:H16)*('S3.1 LCA data coll,sort,transp'!$C$9+'S2.10 overall results'!F6)+SUM('S1.2.2 mass flows - sens.anal.'!K16:L16)*('S3.1 LCA data coll,sort,transp'!$C$10+'S2.10 overall results'!F6)</f>
        <v>323985.68918547709</v>
      </c>
      <c r="D19" s="848">
        <f>SUM('S1.2.2 mass flows - sens.anal.'!G16:H16)*('S3.1 LCA data coll,sort,transp'!$C$9+'S2.10 overall results'!F5)+SUM('S1.2.2 mass flows - sens.anal.'!K16:L16)*('S3.1 LCA data coll,sort,transp'!$C$10+'S2.10 overall results'!F5)</f>
        <v>705362.34554747236</v>
      </c>
      <c r="E19" s="108">
        <f>SUM('S1.2.2 mass flows - sens.anal.'!G16:H16)*('S3.1 LCA data coll,sort,transp'!$D$9+'S2.10 overall results'!F10)+SUM('S1.2.2 mass flows - sens.anal.'!K16:L16)*('S3.1 LCA data coll,sort,transp'!$D$10+'S2.10 overall results'!F10)</f>
        <v>-305904.92100217886</v>
      </c>
      <c r="F19" s="109">
        <f>SUM('S1.2.2 mass flows - sens.anal.'!G16:H16)*('S3.1 LCA data coll,sort,transp'!$D$9+'S2.10 overall results'!F9)+SUM('S1.2.2 mass flows - sens.anal.'!K16:L16)*('S3.1 LCA data coll,sort,transp'!$D$10+'S2.10 overall results'!F9)</f>
        <v>92077.084119014908</v>
      </c>
      <c r="G19" s="109">
        <f>SUM('S1.2.2 mass flows - sens.anal.'!G16:H16)*('S3.1 LCA data coll,sort,transp'!$D$9+'S2.10 overall results'!F8)+SUM('S1.2.2 mass flows - sens.anal.'!K16:L16)*('S3.1 LCA data coll,sort,transp'!$D$10+'S2.10 overall results'!F8)</f>
        <v>621794.7453788406</v>
      </c>
      <c r="H19" s="108">
        <f t="shared" ref="H19:M19" si="2">SUM(H8:H18)</f>
        <v>-383667.43657944648</v>
      </c>
      <c r="I19" s="109">
        <f t="shared" si="2"/>
        <v>-470.13419176893876</v>
      </c>
      <c r="J19" s="848">
        <f t="shared" si="2"/>
        <v>365889.6270015997</v>
      </c>
      <c r="K19" s="108">
        <f t="shared" si="2"/>
        <v>-358149.47234368813</v>
      </c>
      <c r="L19" s="109">
        <f t="shared" si="2"/>
        <v>-15274.908509820507</v>
      </c>
      <c r="M19" s="848">
        <f t="shared" si="2"/>
        <v>311550.00812887092</v>
      </c>
    </row>
    <row r="20" spans="1:19" ht="42.75" customHeight="1" x14ac:dyDescent="0.25">
      <c r="B20" s="842"/>
      <c r="C20" s="842"/>
      <c r="D20" s="131"/>
      <c r="E20" s="131"/>
      <c r="F20" s="842"/>
      <c r="G20" s="131"/>
      <c r="H20" s="843"/>
      <c r="J20" s="843"/>
      <c r="K20" s="843"/>
      <c r="M20" s="843"/>
      <c r="S20" s="131"/>
    </row>
    <row r="21" spans="1:19" ht="27.75" x14ac:dyDescent="0.25">
      <c r="A21" s="844" t="s">
        <v>1831</v>
      </c>
    </row>
    <row r="22" spans="1:19" ht="27.75" x14ac:dyDescent="0.25">
      <c r="A22" s="845" t="s">
        <v>1833</v>
      </c>
      <c r="C22" s="842"/>
      <c r="D22" s="131"/>
      <c r="E22" s="131"/>
      <c r="F22" s="842"/>
      <c r="G22" s="131"/>
      <c r="H22" s="843"/>
      <c r="J22" s="843"/>
      <c r="K22" s="843"/>
      <c r="M22" s="843"/>
      <c r="S22" s="131"/>
    </row>
    <row r="23" spans="1:19" x14ac:dyDescent="0.25">
      <c r="E23" s="1478" t="s">
        <v>1798</v>
      </c>
      <c r="F23" s="1478"/>
      <c r="G23" s="1478"/>
      <c r="H23" t="s">
        <v>1799</v>
      </c>
      <c r="I23" s="1478"/>
      <c r="J23" s="1478"/>
      <c r="K23" s="1478"/>
      <c r="L23" s="1478"/>
    </row>
    <row r="24" spans="1:19" ht="60" x14ac:dyDescent="0.25">
      <c r="B24" s="1269" t="s">
        <v>47</v>
      </c>
      <c r="C24" s="1262" t="s">
        <v>1800</v>
      </c>
      <c r="D24" s="282"/>
      <c r="E24" s="1262" t="s">
        <v>1801</v>
      </c>
      <c r="F24" s="1262" t="s">
        <v>1802</v>
      </c>
      <c r="G24" s="1262" t="s">
        <v>1803</v>
      </c>
      <c r="H24" s="282"/>
      <c r="I24" s="1262" t="s">
        <v>1809</v>
      </c>
      <c r="J24" s="1262" t="s">
        <v>1810</v>
      </c>
      <c r="K24" s="1262" t="s">
        <v>1811</v>
      </c>
      <c r="L24" s="1263" t="s">
        <v>1812</v>
      </c>
    </row>
    <row r="25" spans="1:19" x14ac:dyDescent="0.25">
      <c r="B25" s="1270" t="s">
        <v>1805</v>
      </c>
      <c r="C25" s="855">
        <f>[1]LCA_future!$BI$39</f>
        <v>2.4041560140200042</v>
      </c>
      <c r="D25" s="278"/>
      <c r="E25" s="855">
        <f>[1]LCA_future!$BM$39</f>
        <v>1.6102706137411509</v>
      </c>
      <c r="F25" s="855">
        <f>[1]LCA_future!$BO$39</f>
        <v>1.225685930388039</v>
      </c>
      <c r="G25" s="954">
        <f>([1]EI!$AG$72-[1]EI!$AH$72)/1000000000</f>
        <v>0.1142348021050115</v>
      </c>
      <c r="H25" s="278"/>
      <c r="I25" s="857">
        <f>B83/1000000</f>
        <v>0.60277828550392565</v>
      </c>
      <c r="J25" s="855">
        <f>I25</f>
        <v>0.60277828550392565</v>
      </c>
      <c r="K25" s="855">
        <f>I25</f>
        <v>0.60277828550392565</v>
      </c>
      <c r="L25" s="1259">
        <f>I25</f>
        <v>0.60277828550392565</v>
      </c>
    </row>
    <row r="26" spans="1:19" x14ac:dyDescent="0.25">
      <c r="B26" s="31" t="s">
        <v>1806</v>
      </c>
      <c r="C26" s="272">
        <v>0</v>
      </c>
      <c r="D26" s="272"/>
      <c r="E26" s="272">
        <v>0</v>
      </c>
      <c r="F26" s="840">
        <f>[1]LCA_future!$BO$41</f>
        <v>-0.1800017252587984</v>
      </c>
      <c r="G26" s="272">
        <v>0</v>
      </c>
      <c r="H26" s="272"/>
      <c r="I26" s="272">
        <v>0</v>
      </c>
      <c r="J26" s="272">
        <v>0</v>
      </c>
      <c r="K26" s="272">
        <v>0</v>
      </c>
      <c r="L26" s="1260">
        <v>0</v>
      </c>
    </row>
    <row r="27" spans="1:19" x14ac:dyDescent="0.25">
      <c r="B27" s="1271" t="s">
        <v>1808</v>
      </c>
      <c r="C27" s="856">
        <f>SUM([1]LCA_future!$BI$28:$BI$34)</f>
        <v>2.9816457264774963</v>
      </c>
      <c r="D27" s="380"/>
      <c r="E27" s="856">
        <f>SUM([1]LCA_future!$BM$28:$BM$34)</f>
        <v>2.3760008153407792</v>
      </c>
      <c r="F27" s="856">
        <f>E27</f>
        <v>2.3760008153407792</v>
      </c>
      <c r="G27" s="856">
        <f>E27</f>
        <v>2.3760008153407792</v>
      </c>
      <c r="H27" s="380"/>
      <c r="I27" s="856">
        <f>E27</f>
        <v>2.3760008153407792</v>
      </c>
      <c r="J27" s="856">
        <f>E27</f>
        <v>2.3760008153407792</v>
      </c>
      <c r="K27" s="856">
        <f>E27</f>
        <v>2.3760008153407792</v>
      </c>
      <c r="L27" s="1261">
        <f>E27</f>
        <v>2.3760008153407792</v>
      </c>
    </row>
    <row r="28" spans="1:19" x14ac:dyDescent="0.25">
      <c r="B28" s="1272" t="s">
        <v>1807</v>
      </c>
      <c r="C28" s="857">
        <v>0</v>
      </c>
      <c r="D28" s="278"/>
      <c r="E28" s="857">
        <v>0</v>
      </c>
      <c r="F28" s="857">
        <v>0</v>
      </c>
      <c r="G28" s="278">
        <v>0</v>
      </c>
      <c r="H28" s="278"/>
      <c r="I28" s="857">
        <f>C19/1000000</f>
        <v>0.3239856891854771</v>
      </c>
      <c r="J28" s="857">
        <f>F19/1000000</f>
        <v>9.2077084119014913E-2</v>
      </c>
      <c r="K28" s="857">
        <f>I19/1000000</f>
        <v>-4.7013419176893876E-4</v>
      </c>
      <c r="L28" s="1254">
        <f>L19/1000000</f>
        <v>-1.5274908509820507E-2</v>
      </c>
    </row>
    <row r="29" spans="1:19" x14ac:dyDescent="0.25">
      <c r="B29" s="1273" t="s">
        <v>1758</v>
      </c>
      <c r="C29" s="272"/>
      <c r="D29" s="272"/>
      <c r="E29" s="272"/>
      <c r="F29" s="272"/>
      <c r="G29" s="272"/>
      <c r="H29" s="272"/>
      <c r="I29" s="905">
        <f>(D19-C19)/1000000</f>
        <v>0.38137665636199525</v>
      </c>
      <c r="J29" s="905">
        <f>(G19-F19)/1000000</f>
        <v>0.52971766125982567</v>
      </c>
      <c r="K29" s="905">
        <f>(J19-I19)/1000000</f>
        <v>0.36635976119336866</v>
      </c>
      <c r="L29" s="1255">
        <f>(M19-L19)/1000000</f>
        <v>0.32682491663869145</v>
      </c>
    </row>
    <row r="30" spans="1:19" x14ac:dyDescent="0.25">
      <c r="B30" s="1274" t="s">
        <v>1759</v>
      </c>
      <c r="C30" s="380"/>
      <c r="D30" s="380"/>
      <c r="E30" s="380"/>
      <c r="F30" s="380"/>
      <c r="G30" s="380"/>
      <c r="H30" s="380"/>
      <c r="I30" s="906">
        <f>(C19-B19)/1000000</f>
        <v>0.48077788936763022</v>
      </c>
      <c r="J30" s="906">
        <f>(F19-E19)/1000000</f>
        <v>0.39798200512119375</v>
      </c>
      <c r="K30" s="906">
        <f>(I19-H19)/1000000</f>
        <v>0.38319730238767752</v>
      </c>
      <c r="L30" s="1256">
        <f>(L19-K19)/1000000</f>
        <v>0.34287456383386761</v>
      </c>
    </row>
    <row r="31" spans="1:19" x14ac:dyDescent="0.25">
      <c r="B31" s="1273"/>
      <c r="C31" s="854"/>
      <c r="D31" s="272"/>
      <c r="E31" s="854"/>
      <c r="F31" s="854"/>
      <c r="G31" s="272"/>
      <c r="H31" s="272"/>
      <c r="I31" s="905"/>
      <c r="J31" s="905"/>
      <c r="K31" s="905"/>
      <c r="L31" s="1255"/>
    </row>
    <row r="32" spans="1:19" x14ac:dyDescent="0.25">
      <c r="B32" s="1275" t="s">
        <v>1820</v>
      </c>
      <c r="C32" s="859"/>
      <c r="D32" s="278"/>
      <c r="E32" s="859"/>
      <c r="F32" s="859"/>
      <c r="G32" s="278"/>
      <c r="H32" s="278"/>
      <c r="I32" s="860">
        <f>I33+I29</f>
        <v>3.6841414463921773</v>
      </c>
      <c r="J32" s="860">
        <f>J33+J29</f>
        <v>3.6005738462235457</v>
      </c>
      <c r="K32" s="860">
        <f>K33+K29</f>
        <v>3.3446687278463045</v>
      </c>
      <c r="L32" s="1257">
        <f>L33+L29</f>
        <v>3.2903291089735758</v>
      </c>
    </row>
    <row r="33" spans="1:12" x14ac:dyDescent="0.25">
      <c r="B33" s="1276" t="s">
        <v>1819</v>
      </c>
      <c r="C33" s="909">
        <f>SUM(C25:C28)</f>
        <v>5.3858017404975005</v>
      </c>
      <c r="D33" s="272"/>
      <c r="E33" s="909">
        <f>SUM(E25:E28)</f>
        <v>3.9862714290819303</v>
      </c>
      <c r="F33" s="909">
        <f>SUM(F25:F28)</f>
        <v>3.4216850204700195</v>
      </c>
      <c r="G33" s="909">
        <f>SUM(G25:G28)</f>
        <v>2.4902356174457907</v>
      </c>
      <c r="H33" s="272"/>
      <c r="I33" s="909">
        <f>SUM(I25:I28)</f>
        <v>3.302764790030182</v>
      </c>
      <c r="J33" s="909">
        <f>SUM(J25:J28)</f>
        <v>3.0708561849637199</v>
      </c>
      <c r="K33" s="909">
        <f>SUM(K25:K28)</f>
        <v>2.9783089666529361</v>
      </c>
      <c r="L33" s="1182">
        <f>SUM(L25:L28)</f>
        <v>2.9635041923348844</v>
      </c>
    </row>
    <row r="34" spans="1:12" x14ac:dyDescent="0.25">
      <c r="B34" s="1274" t="s">
        <v>1821</v>
      </c>
      <c r="C34" s="910"/>
      <c r="D34" s="380"/>
      <c r="E34" s="910"/>
      <c r="F34" s="910"/>
      <c r="G34" s="910"/>
      <c r="H34" s="380"/>
      <c r="I34" s="911">
        <f>I33-I30</f>
        <v>2.8219869006625515</v>
      </c>
      <c r="J34" s="911">
        <f>J33-J30</f>
        <v>2.672874179842526</v>
      </c>
      <c r="K34" s="911">
        <f>K33-K30</f>
        <v>2.5951116642652585</v>
      </c>
      <c r="L34" s="1258">
        <f>L33-L30</f>
        <v>2.6206296285010167</v>
      </c>
    </row>
    <row r="35" spans="1:12" x14ac:dyDescent="0.25">
      <c r="B35" s="1273"/>
      <c r="C35" s="909"/>
      <c r="D35" s="272"/>
      <c r="E35" s="909"/>
      <c r="F35" s="909"/>
      <c r="G35" s="909"/>
      <c r="H35" s="272"/>
      <c r="I35" s="1161"/>
      <c r="J35" s="1161"/>
      <c r="K35" s="1161"/>
      <c r="L35" s="1277"/>
    </row>
    <row r="36" spans="1:12" x14ac:dyDescent="0.25">
      <c r="B36" s="1275" t="s">
        <v>1825</v>
      </c>
      <c r="C36" s="859" t="s">
        <v>3</v>
      </c>
      <c r="D36" s="278"/>
      <c r="E36" s="859"/>
      <c r="F36" s="859"/>
      <c r="G36" s="859"/>
      <c r="H36" s="859"/>
      <c r="I36" s="860">
        <f t="shared" ref="I36:L38" si="3">$E$33-I32</f>
        <v>0.302129982689753</v>
      </c>
      <c r="J36" s="860">
        <f t="shared" si="3"/>
        <v>0.38569758285838462</v>
      </c>
      <c r="K36" s="860">
        <f t="shared" si="3"/>
        <v>0.64160270123562579</v>
      </c>
      <c r="L36" s="1257">
        <f t="shared" si="3"/>
        <v>0.69594232010835455</v>
      </c>
    </row>
    <row r="37" spans="1:12" x14ac:dyDescent="0.25">
      <c r="B37" s="1276" t="s">
        <v>1818</v>
      </c>
      <c r="C37" s="854" t="s">
        <v>3</v>
      </c>
      <c r="D37" s="272"/>
      <c r="E37" s="909">
        <f>C33-E33</f>
        <v>1.3995303114155702</v>
      </c>
      <c r="F37" s="1159"/>
      <c r="G37" s="909"/>
      <c r="H37" s="1159"/>
      <c r="I37" s="909">
        <f t="shared" si="3"/>
        <v>0.68350663905174835</v>
      </c>
      <c r="J37" s="909">
        <f t="shared" si="3"/>
        <v>0.9154152441182104</v>
      </c>
      <c r="K37" s="909">
        <f t="shared" si="3"/>
        <v>1.0079624624289942</v>
      </c>
      <c r="L37" s="1182">
        <f t="shared" si="3"/>
        <v>1.0227672367470459</v>
      </c>
    </row>
    <row r="38" spans="1:12" x14ac:dyDescent="0.25">
      <c r="B38" s="1274" t="s">
        <v>1826</v>
      </c>
      <c r="C38" s="1264" t="s">
        <v>3</v>
      </c>
      <c r="D38" s="380"/>
      <c r="E38" s="1264"/>
      <c r="F38" s="1264"/>
      <c r="G38" s="911"/>
      <c r="H38" s="1264"/>
      <c r="I38" s="911">
        <f t="shared" si="3"/>
        <v>1.1642845284193788</v>
      </c>
      <c r="J38" s="911">
        <f t="shared" si="3"/>
        <v>1.3133972492394044</v>
      </c>
      <c r="K38" s="911">
        <f t="shared" si="3"/>
        <v>1.3911597648166718</v>
      </c>
      <c r="L38" s="1258">
        <f t="shared" si="3"/>
        <v>1.3656418005809137</v>
      </c>
    </row>
    <row r="39" spans="1:12" x14ac:dyDescent="0.25">
      <c r="B39" s="31"/>
      <c r="C39" s="854"/>
      <c r="D39" s="272"/>
      <c r="E39" s="272"/>
      <c r="F39" s="272"/>
      <c r="G39" s="1146"/>
      <c r="H39" s="272"/>
      <c r="I39" s="272"/>
      <c r="J39" s="272"/>
      <c r="K39" s="272"/>
      <c r="L39" s="1260"/>
    </row>
    <row r="40" spans="1:12" x14ac:dyDescent="0.25">
      <c r="B40" s="1275" t="s">
        <v>1823</v>
      </c>
      <c r="C40" s="859" t="s">
        <v>3</v>
      </c>
      <c r="D40" s="278"/>
      <c r="E40" s="859"/>
      <c r="F40" s="859"/>
      <c r="G40" s="860"/>
      <c r="H40" s="859"/>
      <c r="I40" s="1265">
        <f t="shared" ref="I40:L42" si="4">I36/$C$33</f>
        <v>5.6097494346653107E-2</v>
      </c>
      <c r="J40" s="1265">
        <f t="shared" si="4"/>
        <v>7.1613772924132318E-2</v>
      </c>
      <c r="K40" s="1265">
        <f t="shared" si="4"/>
        <v>0.11912854058685779</v>
      </c>
      <c r="L40" s="1266">
        <f t="shared" si="4"/>
        <v>0.1292179611580111</v>
      </c>
    </row>
    <row r="41" spans="1:12" x14ac:dyDescent="0.25">
      <c r="B41" s="1276" t="s">
        <v>1822</v>
      </c>
      <c r="C41" s="854" t="s">
        <v>3</v>
      </c>
      <c r="D41" s="272"/>
      <c r="E41" s="351">
        <f>E37/$C$33</f>
        <v>0.25985551991119005</v>
      </c>
      <c r="F41" s="1159"/>
      <c r="G41" s="351"/>
      <c r="H41" s="1159"/>
      <c r="I41" s="351">
        <f t="shared" si="4"/>
        <v>0.12690898625403374</v>
      </c>
      <c r="J41" s="351">
        <f t="shared" si="4"/>
        <v>0.16996824024080232</v>
      </c>
      <c r="K41" s="351">
        <f t="shared" si="4"/>
        <v>0.18715179484788946</v>
      </c>
      <c r="L41" s="363">
        <f t="shared" si="4"/>
        <v>0.18990064729946229</v>
      </c>
    </row>
    <row r="42" spans="1:12" x14ac:dyDescent="0.25">
      <c r="B42" s="1274" t="s">
        <v>1824</v>
      </c>
      <c r="C42" s="1264" t="s">
        <v>3</v>
      </c>
      <c r="D42" s="380"/>
      <c r="E42" s="1264"/>
      <c r="F42" s="1264"/>
      <c r="G42" s="1264"/>
      <c r="H42" s="1264"/>
      <c r="I42" s="1267">
        <f t="shared" si="4"/>
        <v>0.21617664082670648</v>
      </c>
      <c r="J42" s="1267">
        <f t="shared" si="4"/>
        <v>0.24386290333778282</v>
      </c>
      <c r="K42" s="1267">
        <f t="shared" si="4"/>
        <v>0.25830133225219071</v>
      </c>
      <c r="L42" s="1268">
        <f t="shared" si="4"/>
        <v>0.25356332564420869</v>
      </c>
    </row>
    <row r="43" spans="1:12" ht="51.75" customHeight="1" x14ac:dyDescent="0.25"/>
    <row r="44" spans="1:12" ht="39" customHeight="1" x14ac:dyDescent="0.25"/>
    <row r="45" spans="1:12" s="165" customFormat="1" ht="27.75" x14ac:dyDescent="0.25">
      <c r="A45" s="845" t="s">
        <v>1832</v>
      </c>
    </row>
    <row r="46" spans="1:12" s="165" customFormat="1" ht="60" x14ac:dyDescent="0.25">
      <c r="B46" s="907" t="s">
        <v>62</v>
      </c>
      <c r="C46" s="114" t="s">
        <v>1800</v>
      </c>
      <c r="D46" s="114" t="s">
        <v>1801</v>
      </c>
      <c r="E46" s="114" t="s">
        <v>1802</v>
      </c>
      <c r="F46" s="114" t="s">
        <v>1803</v>
      </c>
      <c r="H46" s="114" t="s">
        <v>1809</v>
      </c>
      <c r="I46" s="114" t="s">
        <v>1810</v>
      </c>
      <c r="J46" s="114" t="s">
        <v>1811</v>
      </c>
      <c r="K46" s="114" t="s">
        <v>1812</v>
      </c>
      <c r="L46" s="114"/>
    </row>
    <row r="47" spans="1:12" s="165" customFormat="1" x14ac:dyDescent="0.25">
      <c r="B47" s="908" t="s">
        <v>63</v>
      </c>
      <c r="C47" s="115">
        <f>[1]LCA_today!$BH$39</f>
        <v>1.5058085130726611</v>
      </c>
      <c r="D47" s="115">
        <f>[1]LCA_today!$BL$39</f>
        <v>1.0127603614370415</v>
      </c>
      <c r="E47" s="115">
        <f>[1]LCA_today!$BN$39</f>
        <v>0.78568383324976654</v>
      </c>
      <c r="F47" s="153">
        <f>([1]EI!$S$72-[1]EI!$T$72)/1000000000</f>
        <v>-0.25845015489469103</v>
      </c>
      <c r="H47" s="306">
        <f>C83/1000000</f>
        <v>0.38352128665146723</v>
      </c>
      <c r="I47" s="855">
        <f>H47</f>
        <v>0.38352128665146723</v>
      </c>
      <c r="J47" s="855">
        <f>H47</f>
        <v>0.38352128665146723</v>
      </c>
      <c r="K47" s="855">
        <f>H47</f>
        <v>0.38352128665146723</v>
      </c>
      <c r="L47" s="306"/>
    </row>
    <row r="48" spans="1:12" s="165" customFormat="1" x14ac:dyDescent="0.25">
      <c r="B48" s="165" t="s">
        <v>56</v>
      </c>
      <c r="C48" s="165">
        <v>0</v>
      </c>
      <c r="D48" s="165">
        <v>0</v>
      </c>
      <c r="E48" s="461">
        <f>[1]LCA_today!$BN$41</f>
        <v>-0.1893368303129766</v>
      </c>
      <c r="F48" s="165">
        <v>0</v>
      </c>
    </row>
    <row r="49" spans="2:12" s="165" customFormat="1" x14ac:dyDescent="0.25">
      <c r="B49" s="165" t="s">
        <v>57</v>
      </c>
      <c r="C49" s="306">
        <f>SUM([1]LCA_today!$BH$28:$BH$34)</f>
        <v>3.523822951694989</v>
      </c>
      <c r="D49" s="306">
        <f>SUM([1]LCA_today!$BL$28:$BL$34)</f>
        <v>2.8856481090298605</v>
      </c>
      <c r="E49" s="306">
        <f>D49</f>
        <v>2.8856481090298605</v>
      </c>
      <c r="F49" s="306">
        <f>D49</f>
        <v>2.8856481090298605</v>
      </c>
      <c r="H49" s="306">
        <f>D49</f>
        <v>2.8856481090298605</v>
      </c>
      <c r="I49" s="306">
        <f>D49</f>
        <v>2.8856481090298605</v>
      </c>
      <c r="J49" s="306">
        <f>D49</f>
        <v>2.8856481090298605</v>
      </c>
      <c r="K49" s="306">
        <f>D49</f>
        <v>2.8856481090298605</v>
      </c>
      <c r="L49" s="306"/>
    </row>
    <row r="50" spans="2:12" s="165" customFormat="1" x14ac:dyDescent="0.25">
      <c r="B50" s="165" t="s">
        <v>58</v>
      </c>
      <c r="C50" s="306">
        <v>0</v>
      </c>
      <c r="D50" s="306">
        <v>0</v>
      </c>
      <c r="E50" s="306"/>
      <c r="H50" s="306">
        <f>C19/1000000</f>
        <v>0.3239856891854771</v>
      </c>
      <c r="I50" s="306">
        <f>F19/1000000</f>
        <v>9.2077084119014913E-2</v>
      </c>
      <c r="J50" s="306">
        <f>I19/1000000</f>
        <v>-4.7013419176893876E-4</v>
      </c>
      <c r="K50" s="306">
        <f>L19/1000000</f>
        <v>-1.5274908509820507E-2</v>
      </c>
      <c r="L50" s="306"/>
    </row>
    <row r="51" spans="2:12" s="165" customFormat="1" x14ac:dyDescent="0.25">
      <c r="B51" s="851" t="s">
        <v>59</v>
      </c>
      <c r="H51" s="852">
        <f>(D19-C19)/1000000</f>
        <v>0.38137665636199525</v>
      </c>
      <c r="I51" s="852">
        <f>(G19-F19)/1000000</f>
        <v>0.52971766125982567</v>
      </c>
      <c r="J51" s="852">
        <f>(J19-I19)/1000000</f>
        <v>0.36635976119336866</v>
      </c>
      <c r="K51" s="852">
        <f>(M19-L19)/1000000</f>
        <v>0.32682491663869145</v>
      </c>
      <c r="L51" s="852"/>
    </row>
    <row r="52" spans="2:12" s="165" customFormat="1" x14ac:dyDescent="0.25">
      <c r="B52" s="851" t="s">
        <v>60</v>
      </c>
      <c r="H52" s="852">
        <f>(C19-B19)/1000000</f>
        <v>0.48077788936763022</v>
      </c>
      <c r="I52" s="852">
        <f>(F19-E19)/1000000</f>
        <v>0.39798200512119375</v>
      </c>
      <c r="J52" s="852">
        <f>(I19-H19)/1000000</f>
        <v>0.38319730238767752</v>
      </c>
      <c r="K52" s="852">
        <f>(L19-K19)/1000000</f>
        <v>0.34287456383386761</v>
      </c>
      <c r="L52" s="852"/>
    </row>
    <row r="53" spans="2:12" s="165" customFormat="1" x14ac:dyDescent="0.25">
      <c r="B53" s="851"/>
      <c r="C53" s="851"/>
      <c r="D53" s="851"/>
      <c r="E53" s="851"/>
      <c r="H53" s="852"/>
      <c r="I53" s="852"/>
      <c r="J53" s="852"/>
      <c r="K53" s="852"/>
      <c r="L53" s="305"/>
    </row>
    <row r="54" spans="2:12" s="165" customFormat="1" x14ac:dyDescent="0.25">
      <c r="B54" s="858" t="s">
        <v>1820</v>
      </c>
      <c r="C54" s="859"/>
      <c r="D54" s="859"/>
      <c r="E54" s="859"/>
      <c r="F54" s="278"/>
      <c r="G54" s="278"/>
      <c r="H54" s="860">
        <f>H55+H51</f>
        <v>3.9745317412287999</v>
      </c>
      <c r="I54" s="860">
        <f>I55+I51</f>
        <v>3.8909641410601683</v>
      </c>
      <c r="J54" s="860">
        <f>J55+J51</f>
        <v>3.6350590226829276</v>
      </c>
      <c r="K54" s="860">
        <f>K55+K51</f>
        <v>3.5807194038101984</v>
      </c>
    </row>
    <row r="55" spans="2:12" s="165" customFormat="1" x14ac:dyDescent="0.25">
      <c r="B55" s="861" t="s">
        <v>1819</v>
      </c>
      <c r="C55" s="909">
        <f>SUM(C47:C50)</f>
        <v>5.0296314647676503</v>
      </c>
      <c r="D55" s="909">
        <f>SUM(D47:D50)</f>
        <v>3.8984084704669018</v>
      </c>
      <c r="E55" s="909">
        <f>SUM(E47:E50)</f>
        <v>3.4819951119666506</v>
      </c>
      <c r="F55" s="909">
        <f>SUM(F47:F50)</f>
        <v>2.6271979541351693</v>
      </c>
      <c r="G55" s="272"/>
      <c r="H55" s="909">
        <f>SUM(H47:H50)</f>
        <v>3.5931550848668046</v>
      </c>
      <c r="I55" s="909">
        <f>SUM(I47:I50)</f>
        <v>3.3612464798003425</v>
      </c>
      <c r="J55" s="909">
        <f>SUM(J47:J50)</f>
        <v>3.2686992614895587</v>
      </c>
      <c r="K55" s="909">
        <f>SUM(K47:K50)</f>
        <v>3.253894487171507</v>
      </c>
    </row>
    <row r="56" spans="2:12" s="165" customFormat="1" x14ac:dyDescent="0.25">
      <c r="B56" s="862" t="s">
        <v>1821</v>
      </c>
      <c r="C56" s="910"/>
      <c r="D56" s="910"/>
      <c r="E56" s="910"/>
      <c r="F56" s="910"/>
      <c r="G56" s="380"/>
      <c r="H56" s="911">
        <f>H55-H52</f>
        <v>3.1123771954991746</v>
      </c>
      <c r="I56" s="911">
        <f>I55-I52</f>
        <v>2.963264474679149</v>
      </c>
      <c r="J56" s="911">
        <f>J55-J52</f>
        <v>2.8855019591018811</v>
      </c>
      <c r="K56" s="911">
        <f>K55-K52</f>
        <v>2.9110199233376393</v>
      </c>
    </row>
    <row r="57" spans="2:12" s="165" customFormat="1" x14ac:dyDescent="0.25">
      <c r="B57" s="854"/>
      <c r="C57" s="305"/>
      <c r="D57" s="305"/>
      <c r="E57" s="305"/>
      <c r="F57" s="305"/>
      <c r="H57" s="853"/>
      <c r="I57" s="853"/>
      <c r="J57" s="853"/>
      <c r="K57" s="853"/>
    </row>
    <row r="58" spans="2:12" s="165" customFormat="1" x14ac:dyDescent="0.25">
      <c r="B58" s="851" t="s">
        <v>1825</v>
      </c>
      <c r="C58" s="851" t="s">
        <v>3</v>
      </c>
      <c r="D58" s="851"/>
      <c r="E58" s="851"/>
      <c r="F58" s="851"/>
      <c r="G58" s="851"/>
      <c r="H58" s="853">
        <f t="shared" ref="H58:K60" si="5">$E$33-H54</f>
        <v>1.1739687853130398E-2</v>
      </c>
      <c r="I58" s="853">
        <f t="shared" si="5"/>
        <v>9.5307288021762027E-2</v>
      </c>
      <c r="J58" s="853">
        <f t="shared" si="5"/>
        <v>0.35121240639900275</v>
      </c>
      <c r="K58" s="853">
        <f t="shared" si="5"/>
        <v>0.40555202527173195</v>
      </c>
    </row>
    <row r="59" spans="2:12" s="165" customFormat="1" x14ac:dyDescent="0.25">
      <c r="B59" s="631" t="s">
        <v>1818</v>
      </c>
      <c r="C59" s="851" t="s">
        <v>3</v>
      </c>
      <c r="D59" s="305">
        <f>C55-D55</f>
        <v>1.1312229943007486</v>
      </c>
      <c r="E59" s="631"/>
      <c r="F59" s="631"/>
      <c r="G59" s="631"/>
      <c r="H59" s="305">
        <f t="shared" si="5"/>
        <v>0.39311634421512576</v>
      </c>
      <c r="I59" s="305">
        <f t="shared" si="5"/>
        <v>0.6250249492815878</v>
      </c>
      <c r="J59" s="305">
        <f t="shared" si="5"/>
        <v>0.71757216759237163</v>
      </c>
      <c r="K59" s="305">
        <f t="shared" si="5"/>
        <v>0.73237694191042335</v>
      </c>
    </row>
    <row r="60" spans="2:12" s="165" customFormat="1" x14ac:dyDescent="0.25">
      <c r="B60" s="851" t="s">
        <v>1826</v>
      </c>
      <c r="C60" s="851" t="s">
        <v>3</v>
      </c>
      <c r="D60" s="851"/>
      <c r="E60" s="851"/>
      <c r="F60" s="851"/>
      <c r="G60" s="851"/>
      <c r="H60" s="853">
        <f t="shared" si="5"/>
        <v>0.87389423358275575</v>
      </c>
      <c r="I60" s="853">
        <f t="shared" si="5"/>
        <v>1.0230069544027813</v>
      </c>
      <c r="J60" s="853">
        <f t="shared" si="5"/>
        <v>1.1007694699800492</v>
      </c>
      <c r="K60" s="853">
        <f t="shared" si="5"/>
        <v>1.0752515057442911</v>
      </c>
    </row>
    <row r="61" spans="2:12" s="165" customFormat="1" x14ac:dyDescent="0.25">
      <c r="C61" s="851"/>
    </row>
    <row r="62" spans="2:12" s="165" customFormat="1" x14ac:dyDescent="0.25">
      <c r="B62" s="851" t="s">
        <v>1823</v>
      </c>
      <c r="C62" s="851" t="s">
        <v>3</v>
      </c>
      <c r="D62" s="851"/>
      <c r="E62" s="851"/>
      <c r="F62" s="851"/>
      <c r="G62" s="851"/>
      <c r="H62" s="912">
        <f t="shared" ref="H62:K64" si="6">H58/$C$33</f>
        <v>2.1797474951326325E-3</v>
      </c>
      <c r="I62" s="912">
        <f t="shared" si="6"/>
        <v>1.7696026072611847E-2</v>
      </c>
      <c r="J62" s="912">
        <f t="shared" si="6"/>
        <v>6.5210793735337225E-2</v>
      </c>
      <c r="K62" s="912">
        <f t="shared" si="6"/>
        <v>7.5300214306490615E-2</v>
      </c>
    </row>
    <row r="63" spans="2:12" s="165" customFormat="1" x14ac:dyDescent="0.25">
      <c r="B63" s="631" t="s">
        <v>1822</v>
      </c>
      <c r="C63" s="851" t="s">
        <v>3</v>
      </c>
      <c r="D63" s="913">
        <f>D59/$C$33</f>
        <v>0.21003799411974911</v>
      </c>
      <c r="E63" s="631"/>
      <c r="F63" s="631"/>
      <c r="G63" s="631"/>
      <c r="H63" s="913">
        <f t="shared" si="6"/>
        <v>7.2991239402513286E-2</v>
      </c>
      <c r="I63" s="913">
        <f t="shared" si="6"/>
        <v>0.11605049338928183</v>
      </c>
      <c r="J63" s="913">
        <f t="shared" si="6"/>
        <v>0.13323404799636898</v>
      </c>
      <c r="K63" s="913">
        <f t="shared" si="6"/>
        <v>0.13598290044794181</v>
      </c>
    </row>
    <row r="64" spans="2:12" s="165" customFormat="1" x14ac:dyDescent="0.25">
      <c r="B64" s="851" t="s">
        <v>1824</v>
      </c>
      <c r="C64" s="851" t="s">
        <v>3</v>
      </c>
      <c r="D64" s="851"/>
      <c r="E64" s="851"/>
      <c r="F64" s="851"/>
      <c r="G64" s="851"/>
      <c r="H64" s="912">
        <f t="shared" si="6"/>
        <v>0.16225889397518592</v>
      </c>
      <c r="I64" s="912">
        <f t="shared" si="6"/>
        <v>0.18994515648626226</v>
      </c>
      <c r="J64" s="912">
        <f t="shared" si="6"/>
        <v>0.20438358540067023</v>
      </c>
      <c r="K64" s="912">
        <f t="shared" si="6"/>
        <v>0.19964557879268821</v>
      </c>
    </row>
    <row r="65" spans="1:5" s="165" customFormat="1" ht="35.25" customHeight="1" x14ac:dyDescent="0.25"/>
    <row r="66" spans="1:5" x14ac:dyDescent="0.25">
      <c r="B66" s="159" t="s">
        <v>85</v>
      </c>
      <c r="C66" s="159" t="s">
        <v>3</v>
      </c>
      <c r="D66" s="159" t="s">
        <v>84</v>
      </c>
      <c r="E66" s="159" t="s">
        <v>3</v>
      </c>
    </row>
    <row r="67" spans="1:5" x14ac:dyDescent="0.25">
      <c r="A67" t="s">
        <v>61</v>
      </c>
      <c r="B67" s="160">
        <f>L25-E25</f>
        <v>-1.0074923282372252</v>
      </c>
      <c r="C67" s="160" t="s">
        <v>64</v>
      </c>
      <c r="D67" s="160">
        <f>L28-L30</f>
        <v>-0.3581494723436881</v>
      </c>
      <c r="E67" s="161" t="s">
        <v>46</v>
      </c>
    </row>
    <row r="68" spans="1:5" x14ac:dyDescent="0.25">
      <c r="A68" t="s">
        <v>46</v>
      </c>
      <c r="B68" s="160">
        <f>H47-D47</f>
        <v>-0.62923907478557428</v>
      </c>
      <c r="C68" s="160" t="s">
        <v>64</v>
      </c>
      <c r="D68" s="160">
        <f>K50-K52</f>
        <v>-0.3581494723436881</v>
      </c>
      <c r="E68" s="161" t="s">
        <v>61</v>
      </c>
    </row>
    <row r="69" spans="1:5" ht="80.25" customHeight="1" x14ac:dyDescent="0.25"/>
    <row r="70" spans="1:5" ht="27.75" x14ac:dyDescent="0.25">
      <c r="A70" s="844" t="s">
        <v>2190</v>
      </c>
    </row>
    <row r="71" spans="1:5" ht="105" x14ac:dyDescent="0.25">
      <c r="B71" s="152" t="s">
        <v>2174</v>
      </c>
      <c r="C71" s="152" t="s">
        <v>2175</v>
      </c>
    </row>
    <row r="72" spans="1:5" x14ac:dyDescent="0.25">
      <c r="B72" s="89">
        <f>'S1.2.2 mass flows - sens.anal.'!E5*'S3.2 LCA data waste-to-energy'!D9</f>
        <v>82444.69179759844</v>
      </c>
      <c r="C72" s="89">
        <f>'S1.2.2 mass flows - sens.anal.'!E5*'S3.2 LCA data waste-to-energy'!P9</f>
        <v>45550.667661737098</v>
      </c>
    </row>
    <row r="73" spans="1:5" x14ac:dyDescent="0.25">
      <c r="B73" s="98">
        <f>'S1.2.2 mass flows - sens.anal.'!E6*'S3.2 LCA data waste-to-energy'!D10</f>
        <v>69242.641612990323</v>
      </c>
      <c r="C73" s="98">
        <f>'S1.2.2 mass flows - sens.anal.'!E6*'S3.2 LCA data waste-to-energy'!P10</f>
        <v>38256.538867017327</v>
      </c>
    </row>
    <row r="74" spans="1:5" x14ac:dyDescent="0.25">
      <c r="B74" s="98">
        <f>'S1.2.2 mass flows - sens.anal.'!E7*'S3.2 LCA data waste-to-energy'!D11</f>
        <v>48564.748389555323</v>
      </c>
      <c r="C74" s="98">
        <f>'S1.2.2 mass flows - sens.anal.'!E7*'S3.2 LCA data waste-to-energy'!P11</f>
        <v>31613.818014006156</v>
      </c>
    </row>
    <row r="75" spans="1:5" x14ac:dyDescent="0.25">
      <c r="B75" s="98">
        <f>'S1.2.2 mass flows - sens.anal.'!E8*'S3.2 LCA data waste-to-energy'!D12</f>
        <v>114914.63016771124</v>
      </c>
      <c r="C75" s="98">
        <f>'S1.2.2 mass flows - sens.anal.'!E8*'S3.2 LCA data waste-to-energy'!P12</f>
        <v>68903.773897311345</v>
      </c>
    </row>
    <row r="76" spans="1:5" x14ac:dyDescent="0.25">
      <c r="B76" s="98">
        <f>'S1.2.2 mass flows - sens.anal.'!E9*'S3.2 LCA data waste-to-energy'!D13</f>
        <v>88707.525562621537</v>
      </c>
      <c r="C76" s="98">
        <f>'S1.2.2 mass flows - sens.anal.'!E9*'S3.2 LCA data waste-to-energy'!P13</f>
        <v>61531.520414662533</v>
      </c>
    </row>
    <row r="77" spans="1:5" x14ac:dyDescent="0.25">
      <c r="B77" s="98">
        <f>'S1.2.2 mass flows - sens.anal.'!E10*'S3.2 LCA data waste-to-energy'!D14</f>
        <v>48108.019931620547</v>
      </c>
      <c r="C77" s="98">
        <f>'S1.2.2 mass flows - sens.anal.'!E10*'S3.2 LCA data waste-to-energy'!P14</f>
        <v>44551.390207938348</v>
      </c>
    </row>
    <row r="78" spans="1:5" x14ac:dyDescent="0.25">
      <c r="B78" s="98">
        <f>'S1.2.2 mass flows - sens.anal.'!E11*'S3.2 LCA data waste-to-energy'!D15</f>
        <v>10358.76178761472</v>
      </c>
      <c r="C78" s="98">
        <f>'S1.2.2 mass flows - sens.anal.'!E11*'S3.2 LCA data waste-to-energy'!P15</f>
        <v>5399.397613358723</v>
      </c>
    </row>
    <row r="79" spans="1:5" x14ac:dyDescent="0.25">
      <c r="B79" s="98">
        <f>'S1.2.2 mass flows - sens.anal.'!E12*'S3.2 LCA data waste-to-energy'!D16</f>
        <v>2293.3036223743438</v>
      </c>
      <c r="C79" s="98">
        <f>'S1.2.2 mass flows - sens.anal.'!E12*'S3.2 LCA data waste-to-energy'!P16</f>
        <v>1418.3997871482554</v>
      </c>
    </row>
    <row r="80" spans="1:5" x14ac:dyDescent="0.25">
      <c r="B80" s="98">
        <f>'S1.2.2 mass flows - sens.anal.'!E13*'S3.2 LCA data waste-to-energy'!D17</f>
        <v>7820.8018000206648</v>
      </c>
      <c r="C80" s="98">
        <f>'S1.2.2 mass flows - sens.anal.'!E13*'S3.2 LCA data waste-to-energy'!P17</f>
        <v>3539.0463477978824</v>
      </c>
    </row>
    <row r="81" spans="1:3" x14ac:dyDescent="0.25">
      <c r="B81" s="98">
        <f>'S1.2.2 mass flows - sens.anal.'!E14*'S3.2 LCA data waste-to-energy'!D18</f>
        <v>10166.987145352574</v>
      </c>
      <c r="C81" s="98">
        <f>'S1.2.2 mass flows - sens.anal.'!E14*'S3.2 LCA data waste-to-energy'!P18</f>
        <v>5596.7288646720071</v>
      </c>
    </row>
    <row r="82" spans="1:3" x14ac:dyDescent="0.25">
      <c r="B82" s="106">
        <f>'S1.2.2 mass flows - sens.anal.'!E15*'S3.2 LCA data waste-to-energy'!D19</f>
        <v>120156.17368646579</v>
      </c>
      <c r="C82" s="106">
        <f>'S1.2.2 mass flows - sens.anal.'!E15*'S3.2 LCA data waste-to-energy'!P19</f>
        <v>77160.00497581753</v>
      </c>
    </row>
    <row r="83" spans="1:3" x14ac:dyDescent="0.25">
      <c r="B83" s="111">
        <f>SUM(B72:B82)</f>
        <v>602778.28550392564</v>
      </c>
      <c r="C83" s="111">
        <f>SUM(C72:C82)</f>
        <v>383521.28665146721</v>
      </c>
    </row>
    <row r="84" spans="1:3" ht="57" customHeight="1" x14ac:dyDescent="0.25"/>
    <row r="85" spans="1:3" x14ac:dyDescent="0.25">
      <c r="A85" t="s">
        <v>2183</v>
      </c>
    </row>
  </sheetData>
  <mergeCells count="7">
    <mergeCell ref="E23:G23"/>
    <mergeCell ref="I23:L23"/>
    <mergeCell ref="B5:M5"/>
    <mergeCell ref="B6:D6"/>
    <mergeCell ref="E6:G6"/>
    <mergeCell ref="H6:J6"/>
    <mergeCell ref="K6:M6"/>
  </mergeCells>
  <conditionalFormatting sqref="B83 S20 S22">
    <cfRule type="colorScale" priority="15">
      <colorScale>
        <cfvo type="min"/>
        <cfvo type="max"/>
        <color rgb="FFF8696B"/>
        <color rgb="FFFCFCFF"/>
      </colorScale>
    </cfRule>
  </conditionalFormatting>
  <conditionalFormatting sqref="B83 S20">
    <cfRule type="colorScale" priority="14">
      <colorScale>
        <cfvo type="min"/>
        <cfvo type="max"/>
        <color rgb="FFF8696B"/>
        <color rgb="FFFCFCFF"/>
      </colorScale>
    </cfRule>
  </conditionalFormatting>
  <conditionalFormatting sqref="H62:K64">
    <cfRule type="colorScale" priority="9">
      <colorScale>
        <cfvo type="min"/>
        <cfvo type="max"/>
        <color rgb="FFFCFCFF"/>
        <color rgb="FF63BE7B"/>
      </colorScale>
    </cfRule>
  </conditionalFormatting>
  <conditionalFormatting sqref="H62:K64 D63">
    <cfRule type="colorScale" priority="8">
      <colorScale>
        <cfvo type="min"/>
        <cfvo type="max"/>
        <color rgb="FFFCFCFF"/>
        <color rgb="FF63BE7B"/>
      </colorScale>
    </cfRule>
  </conditionalFormatting>
  <conditionalFormatting sqref="C83">
    <cfRule type="colorScale" priority="5">
      <colorScale>
        <cfvo type="min"/>
        <cfvo type="max"/>
        <color rgb="FFF8696B"/>
        <color rgb="FFFCFCFF"/>
      </colorScale>
    </cfRule>
  </conditionalFormatting>
  <conditionalFormatting sqref="C83">
    <cfRule type="colorScale" priority="4">
      <colorScale>
        <cfvo type="min"/>
        <cfvo type="max"/>
        <color rgb="FFF8696B"/>
        <color rgb="FFFCFCFF"/>
      </colorScale>
    </cfRule>
  </conditionalFormatting>
  <conditionalFormatting sqref="I40:L42">
    <cfRule type="colorScale" priority="3">
      <colorScale>
        <cfvo type="min"/>
        <cfvo type="max"/>
        <color rgb="FFFCFCFF"/>
        <color rgb="FF63BE7B"/>
      </colorScale>
    </cfRule>
  </conditionalFormatting>
  <conditionalFormatting sqref="I40:L42 E41">
    <cfRule type="colorScale" priority="2">
      <colorScale>
        <cfvo type="min"/>
        <cfvo type="max"/>
        <color rgb="FFFCFCFF"/>
        <color rgb="FF63BE7B"/>
      </colorScale>
    </cfRule>
  </conditionalFormatting>
  <conditionalFormatting sqref="G41">
    <cfRule type="colorScale" priority="1">
      <colorScale>
        <cfvo type="min"/>
        <cfvo type="max"/>
        <color rgb="FFFCFCFF"/>
        <color rgb="FF63BE7B"/>
      </colorScale>
    </cfRule>
  </conditionalFormatting>
  <pageMargins left="0.7" right="0.7" top="0.75" bottom="0.75" header="0.3" footer="0.3"/>
  <pageSetup paperSize="9" orientation="portrait" r:id="rId1"/>
  <drawing r:id="rId2"/>
  <legacyDrawing r:id="rId3"/>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B1471-E95D-411D-B538-E9B2F8546607}">
  <sheetPr>
    <tabColor theme="0"/>
  </sheetPr>
  <dimension ref="A1:AF102"/>
  <sheetViews>
    <sheetView zoomScale="55" zoomScaleNormal="55" workbookViewId="0">
      <selection activeCell="Y28" sqref="Y28"/>
    </sheetView>
  </sheetViews>
  <sheetFormatPr defaultRowHeight="15" x14ac:dyDescent="0.25"/>
  <cols>
    <col min="1" max="1" width="15.140625" customWidth="1"/>
    <col min="2" max="21" width="12.140625" customWidth="1"/>
    <col min="24" max="25" width="23.28515625" customWidth="1"/>
    <col min="26" max="26" width="9" customWidth="1"/>
    <col min="27" max="27" width="10.85546875" customWidth="1"/>
    <col min="28" max="29" width="13.42578125" customWidth="1"/>
    <col min="30" max="31" width="9.28515625" customWidth="1"/>
    <col min="32" max="32" width="11.5703125" customWidth="1"/>
  </cols>
  <sheetData>
    <row r="1" spans="1:32" ht="23.25" x14ac:dyDescent="0.35">
      <c r="A1" s="150" t="s">
        <v>77</v>
      </c>
    </row>
    <row r="3" spans="1:32" ht="21" x14ac:dyDescent="0.35">
      <c r="A3" s="60" t="s">
        <v>66</v>
      </c>
    </row>
    <row r="5" spans="1:32" ht="18.75" x14ac:dyDescent="0.3">
      <c r="A5" s="1"/>
      <c r="B5" s="2" t="s">
        <v>65</v>
      </c>
      <c r="C5" s="2"/>
      <c r="D5" s="2"/>
      <c r="E5" s="1664" t="s">
        <v>1</v>
      </c>
      <c r="F5" s="1665"/>
      <c r="G5" s="1665"/>
      <c r="H5" s="1665"/>
      <c r="I5" s="1665"/>
      <c r="J5" s="1665"/>
      <c r="K5" s="1666"/>
      <c r="L5" s="1664" t="s">
        <v>2</v>
      </c>
      <c r="M5" s="1665"/>
      <c r="N5" s="1665"/>
      <c r="O5" s="1667"/>
      <c r="P5" s="1667"/>
      <c r="Q5" s="1667"/>
      <c r="R5" s="1667"/>
      <c r="S5" s="1665"/>
      <c r="T5" s="1666"/>
      <c r="V5" s="1" t="s">
        <v>3</v>
      </c>
      <c r="X5" s="1" t="s">
        <v>3</v>
      </c>
      <c r="Y5" s="1"/>
      <c r="AA5" s="948" t="s">
        <v>1815</v>
      </c>
      <c r="AB5" t="s">
        <v>3</v>
      </c>
    </row>
    <row r="6" spans="1:32" s="14" customFormat="1" ht="112.5" x14ac:dyDescent="0.25">
      <c r="A6" s="3" t="s">
        <v>4</v>
      </c>
      <c r="B6" s="4" t="s">
        <v>5</v>
      </c>
      <c r="C6" s="4"/>
      <c r="D6" s="4"/>
      <c r="E6" s="3" t="s">
        <v>6</v>
      </c>
      <c r="F6" s="5" t="s">
        <v>7</v>
      </c>
      <c r="G6" s="6" t="s">
        <v>8</v>
      </c>
      <c r="H6" s="6" t="s">
        <v>9</v>
      </c>
      <c r="I6" s="6" t="s">
        <v>10</v>
      </c>
      <c r="J6" s="7" t="s">
        <v>11</v>
      </c>
      <c r="K6" s="7" t="s">
        <v>12</v>
      </c>
      <c r="L6" s="10" t="s">
        <v>6</v>
      </c>
      <c r="M6" s="8" t="s">
        <v>7</v>
      </c>
      <c r="N6" s="9" t="s">
        <v>13</v>
      </c>
      <c r="O6" s="10" t="s">
        <v>8</v>
      </c>
      <c r="P6" s="6" t="s">
        <v>9</v>
      </c>
      <c r="Q6" s="6" t="s">
        <v>10</v>
      </c>
      <c r="R6" s="11" t="s">
        <v>14</v>
      </c>
      <c r="S6" s="5" t="s">
        <v>11</v>
      </c>
      <c r="T6" s="7" t="s">
        <v>12</v>
      </c>
      <c r="V6" s="12"/>
      <c r="X6" s="12" t="s">
        <v>15</v>
      </c>
      <c r="Y6" s="816" t="s">
        <v>16</v>
      </c>
      <c r="Z6" s="12"/>
      <c r="AA6" s="12"/>
      <c r="AB6"/>
      <c r="AC6"/>
      <c r="AD6"/>
      <c r="AE6"/>
      <c r="AF6"/>
    </row>
    <row r="7" spans="1:32" x14ac:dyDescent="0.25">
      <c r="A7" s="15" t="s">
        <v>17</v>
      </c>
      <c r="B7" s="16">
        <v>2.3153999999999999</v>
      </c>
      <c r="C7" s="16"/>
      <c r="D7" s="16"/>
      <c r="E7" s="17">
        <v>0.9</v>
      </c>
      <c r="F7" s="18">
        <f>1.5</f>
        <v>1.5</v>
      </c>
      <c r="G7" s="19">
        <v>1.3</v>
      </c>
      <c r="H7" s="19">
        <v>1.5</v>
      </c>
      <c r="I7" s="19">
        <v>1.8</v>
      </c>
      <c r="J7" s="20" t="s">
        <v>18</v>
      </c>
      <c r="K7" s="20">
        <v>1.6</v>
      </c>
      <c r="L7" s="17">
        <f t="shared" ref="L7:M17" si="0">E7-$B7</f>
        <v>-1.4154</v>
      </c>
      <c r="M7" s="21">
        <f t="shared" si="0"/>
        <v>-0.8153999999999999</v>
      </c>
      <c r="N7" s="22">
        <f>AVERAGE(L7:M7)</f>
        <v>-1.1153999999999999</v>
      </c>
      <c r="O7" s="17">
        <f t="shared" ref="O7:Q17" si="1">G7-$B7</f>
        <v>-1.0153999999999999</v>
      </c>
      <c r="P7" s="23">
        <f t="shared" si="1"/>
        <v>-0.8153999999999999</v>
      </c>
      <c r="Q7" s="23">
        <f t="shared" si="1"/>
        <v>-0.51539999999999986</v>
      </c>
      <c r="R7" s="24">
        <f>AVERAGE(O7:Q7)</f>
        <v>-0.78206666666666658</v>
      </c>
      <c r="S7" s="18" t="s">
        <v>18</v>
      </c>
      <c r="T7" s="25">
        <f t="shared" ref="S7:T17" si="2">K7-$B7</f>
        <v>-0.71539999999999981</v>
      </c>
      <c r="V7" s="30"/>
      <c r="X7" t="str">
        <f>L6</f>
        <v>Gasification (Monomers)</v>
      </c>
      <c r="Y7" t="str">
        <f>N6</f>
        <v>Gasification - average</v>
      </c>
      <c r="Z7" s="26"/>
      <c r="AA7" s="30">
        <v>-1.6002179999999999</v>
      </c>
    </row>
    <row r="8" spans="1:32" x14ac:dyDescent="0.25">
      <c r="A8" s="15" t="s">
        <v>19</v>
      </c>
      <c r="B8" s="16">
        <v>2.4766400000000002</v>
      </c>
      <c r="C8" s="16"/>
      <c r="D8" s="16"/>
      <c r="E8" s="15">
        <f>AVERAGE(1.1,0.8)</f>
        <v>0.95000000000000007</v>
      </c>
      <c r="F8" s="27">
        <f>AVERAGE(1.7,1.4)</f>
        <v>1.5499999999999998</v>
      </c>
      <c r="G8" s="19">
        <f>AVERAGE(1.4,1.2)</f>
        <v>1.2999999999999998</v>
      </c>
      <c r="H8" s="19">
        <f>AVERAGE(1.7,1.4)</f>
        <v>1.5499999999999998</v>
      </c>
      <c r="I8" s="19">
        <f>AVERAGE(1.9,1.7)</f>
        <v>1.7999999999999998</v>
      </c>
      <c r="J8" s="20" t="s">
        <v>18</v>
      </c>
      <c r="K8" s="20">
        <f>AVERAGE(1.6,1.6)</f>
        <v>1.6</v>
      </c>
      <c r="L8" s="17">
        <f t="shared" si="0"/>
        <v>-1.52664</v>
      </c>
      <c r="M8" s="28">
        <f t="shared" si="0"/>
        <v>-0.92664000000000035</v>
      </c>
      <c r="N8" s="22">
        <f t="shared" ref="N8:N17" si="3">AVERAGE(L8:M8)</f>
        <v>-1.2266400000000002</v>
      </c>
      <c r="O8" s="17">
        <f t="shared" si="1"/>
        <v>-1.1766400000000004</v>
      </c>
      <c r="P8" s="23">
        <f t="shared" si="1"/>
        <v>-0.92664000000000035</v>
      </c>
      <c r="Q8" s="23">
        <f t="shared" si="1"/>
        <v>-0.67664000000000035</v>
      </c>
      <c r="R8" s="29">
        <f t="shared" ref="R8:R17" si="4">AVERAGE(O8:Q8)</f>
        <v>-0.92664000000000035</v>
      </c>
      <c r="S8" s="18" t="s">
        <v>18</v>
      </c>
      <c r="T8" s="25">
        <f t="shared" si="2"/>
        <v>-0.87664000000000009</v>
      </c>
      <c r="V8" s="30"/>
      <c r="X8" s="30" t="str">
        <f>L6</f>
        <v>Gasification (Monomers)</v>
      </c>
      <c r="Y8" s="30" t="str">
        <f>N6</f>
        <v>Gasification - average</v>
      </c>
      <c r="AA8" s="30">
        <v>-1.7611169999999998</v>
      </c>
    </row>
    <row r="9" spans="1:32" x14ac:dyDescent="0.25">
      <c r="A9" s="15" t="s">
        <v>20</v>
      </c>
      <c r="B9" s="16">
        <v>3.0064600000000001</v>
      </c>
      <c r="C9" s="16"/>
      <c r="D9" s="16"/>
      <c r="E9" s="15">
        <v>2.6</v>
      </c>
      <c r="F9" s="27">
        <v>3.3</v>
      </c>
      <c r="G9" s="19">
        <v>2.9</v>
      </c>
      <c r="H9" s="19">
        <v>3</v>
      </c>
      <c r="I9" s="19">
        <v>3.4</v>
      </c>
      <c r="J9" s="20">
        <v>1.3</v>
      </c>
      <c r="K9" s="31">
        <v>2.2999999999999998</v>
      </c>
      <c r="L9" s="17">
        <f t="shared" si="0"/>
        <v>-0.40646000000000004</v>
      </c>
      <c r="M9" s="21">
        <f t="shared" si="0"/>
        <v>0.29353999999999969</v>
      </c>
      <c r="N9" s="22">
        <f t="shared" si="3"/>
        <v>-5.6460000000000177E-2</v>
      </c>
      <c r="O9" s="17">
        <f t="shared" si="1"/>
        <v>-0.10646000000000022</v>
      </c>
      <c r="P9" s="23">
        <f t="shared" si="1"/>
        <v>-6.4600000000001323E-3</v>
      </c>
      <c r="Q9" s="23">
        <f t="shared" si="1"/>
        <v>0.39353999999999978</v>
      </c>
      <c r="R9" s="24">
        <f t="shared" si="4"/>
        <v>9.3539999999999804E-2</v>
      </c>
      <c r="S9" s="18">
        <f t="shared" si="2"/>
        <v>-1.7064600000000001</v>
      </c>
      <c r="T9" s="25">
        <f t="shared" si="2"/>
        <v>-0.70646000000000031</v>
      </c>
      <c r="V9" s="30"/>
      <c r="X9" s="30" t="str">
        <f>S6</f>
        <v>Depolymerization</v>
      </c>
      <c r="Y9" s="30" t="str">
        <f>X9</f>
        <v>Depolymerization</v>
      </c>
      <c r="Z9" s="30"/>
      <c r="AA9" s="30">
        <v>-2.310724</v>
      </c>
    </row>
    <row r="10" spans="1:32" x14ac:dyDescent="0.25">
      <c r="A10" s="15" t="s">
        <v>21</v>
      </c>
      <c r="B10" s="16">
        <v>2.2891599999999999</v>
      </c>
      <c r="C10" s="16"/>
      <c r="D10" s="16"/>
      <c r="E10" s="15">
        <v>1</v>
      </c>
      <c r="F10" s="27">
        <v>1.5</v>
      </c>
      <c r="G10" s="19">
        <v>1.3</v>
      </c>
      <c r="H10" s="19">
        <v>1.6</v>
      </c>
      <c r="I10" s="19">
        <v>1.9</v>
      </c>
      <c r="J10" s="20" t="s">
        <v>18</v>
      </c>
      <c r="K10" s="20">
        <v>1.6</v>
      </c>
      <c r="L10" s="17">
        <f t="shared" si="0"/>
        <v>-1.2891599999999999</v>
      </c>
      <c r="M10" s="21">
        <f t="shared" si="0"/>
        <v>-0.78915999999999986</v>
      </c>
      <c r="N10" s="22">
        <f t="shared" si="3"/>
        <v>-1.0391599999999999</v>
      </c>
      <c r="O10" s="17">
        <f t="shared" si="1"/>
        <v>-0.98915999999999982</v>
      </c>
      <c r="P10" s="23">
        <f t="shared" si="1"/>
        <v>-0.68915999999999977</v>
      </c>
      <c r="Q10" s="23">
        <f t="shared" si="1"/>
        <v>-0.38915999999999995</v>
      </c>
      <c r="R10" s="24">
        <f t="shared" si="4"/>
        <v>-0.68915999999999988</v>
      </c>
      <c r="S10" s="18" t="s">
        <v>18</v>
      </c>
      <c r="T10" s="25">
        <f t="shared" si="2"/>
        <v>-0.68915999999999977</v>
      </c>
      <c r="V10" s="30"/>
      <c r="X10" s="30" t="str">
        <f>L6</f>
        <v>Gasification (Monomers)</v>
      </c>
      <c r="Y10" s="30" t="str">
        <f>N6</f>
        <v>Gasification - average</v>
      </c>
      <c r="Z10" s="26"/>
      <c r="AA10" s="30">
        <v>-1.5791019999999998</v>
      </c>
    </row>
    <row r="11" spans="1:32" x14ac:dyDescent="0.25">
      <c r="A11" s="15" t="s">
        <v>22</v>
      </c>
      <c r="B11" s="16">
        <v>3.6941299999999999</v>
      </c>
      <c r="C11" s="16"/>
      <c r="D11" s="16"/>
      <c r="E11" s="15">
        <f>AVERAGE(2.4,2.3)</f>
        <v>2.3499999999999996</v>
      </c>
      <c r="F11" s="27">
        <f>AVERAGE(3.6,3.5)</f>
        <v>3.55</v>
      </c>
      <c r="G11" s="19">
        <f>AVERAGE(1.5,1.4)</f>
        <v>1.45</v>
      </c>
      <c r="H11" s="19">
        <f>AVERAGE(3.1,3)</f>
        <v>3.05</v>
      </c>
      <c r="I11" s="19">
        <f>AVERAGE(3.4,3.3)</f>
        <v>3.3499999999999996</v>
      </c>
      <c r="J11" s="20" t="s">
        <v>18</v>
      </c>
      <c r="K11" s="20">
        <f>AVERAGE(1.8,1.8)</f>
        <v>1.8</v>
      </c>
      <c r="L11" s="17">
        <f t="shared" si="0"/>
        <v>-1.3441300000000003</v>
      </c>
      <c r="M11" s="21">
        <f t="shared" si="0"/>
        <v>-0.14413000000000009</v>
      </c>
      <c r="N11" s="22">
        <f t="shared" si="3"/>
        <v>-0.74413000000000018</v>
      </c>
      <c r="O11" s="17">
        <f t="shared" si="1"/>
        <v>-2.2441300000000002</v>
      </c>
      <c r="P11" s="23">
        <f t="shared" si="1"/>
        <v>-0.64413000000000009</v>
      </c>
      <c r="Q11" s="23">
        <f t="shared" si="1"/>
        <v>-0.34413000000000027</v>
      </c>
      <c r="R11" s="24">
        <f t="shared" si="4"/>
        <v>-1.0774633333333334</v>
      </c>
      <c r="S11" s="18" t="s">
        <v>18</v>
      </c>
      <c r="T11" s="25">
        <f t="shared" si="2"/>
        <v>-1.8941299999999999</v>
      </c>
      <c r="V11" s="30"/>
      <c r="X11" s="32" t="str">
        <f>O6</f>
        <v>Pyrolysis (Monomers)</v>
      </c>
      <c r="Y11" s="32" t="str">
        <f>T6</f>
        <v>Dissolution</v>
      </c>
      <c r="Z11" s="30"/>
      <c r="AA11" s="30">
        <v>-2.8970320000000003</v>
      </c>
    </row>
    <row r="12" spans="1:32" x14ac:dyDescent="0.25">
      <c r="A12" s="15" t="s">
        <v>23</v>
      </c>
      <c r="B12" s="16">
        <v>2.6513100000000001</v>
      </c>
      <c r="C12" s="16"/>
      <c r="D12" s="16"/>
      <c r="E12" s="33">
        <v>2</v>
      </c>
      <c r="F12" s="27">
        <v>2</v>
      </c>
      <c r="G12" s="19">
        <v>2.2000000000000002</v>
      </c>
      <c r="H12" s="19">
        <v>2.1</v>
      </c>
      <c r="I12" s="19">
        <v>2</v>
      </c>
      <c r="J12" s="20" t="s">
        <v>18</v>
      </c>
      <c r="K12" s="20">
        <v>1.5</v>
      </c>
      <c r="L12" s="17">
        <f t="shared" si="0"/>
        <v>-0.65131000000000006</v>
      </c>
      <c r="M12" s="21">
        <f t="shared" si="0"/>
        <v>-0.65131000000000006</v>
      </c>
      <c r="N12" s="22">
        <f t="shared" si="3"/>
        <v>-0.65131000000000006</v>
      </c>
      <c r="O12" s="17">
        <f t="shared" si="1"/>
        <v>-0.45130999999999988</v>
      </c>
      <c r="P12" s="23">
        <f t="shared" si="1"/>
        <v>-0.55130999999999997</v>
      </c>
      <c r="Q12" s="23">
        <f t="shared" si="1"/>
        <v>-0.65131000000000006</v>
      </c>
      <c r="R12" s="24">
        <f t="shared" si="4"/>
        <v>-0.55130999999999997</v>
      </c>
      <c r="S12" s="18" t="s">
        <v>18</v>
      </c>
      <c r="T12" s="25">
        <f t="shared" si="2"/>
        <v>-1.1513100000000001</v>
      </c>
      <c r="V12" s="30"/>
      <c r="X12" t="str">
        <f>T6</f>
        <v>Dissolution</v>
      </c>
      <c r="Y12" s="30" t="str">
        <f>X12</f>
        <v>Dissolution</v>
      </c>
      <c r="Z12" s="30"/>
      <c r="AA12" s="30">
        <v>-2.0067520000000001</v>
      </c>
    </row>
    <row r="13" spans="1:32" x14ac:dyDescent="0.25">
      <c r="A13" s="15" t="s">
        <v>24</v>
      </c>
      <c r="B13" s="16">
        <v>4.6475799999999996</v>
      </c>
      <c r="C13" s="16"/>
      <c r="D13" s="16"/>
      <c r="E13" s="33">
        <v>3.9</v>
      </c>
      <c r="F13" s="27">
        <v>4.5</v>
      </c>
      <c r="G13" s="19">
        <v>4.2</v>
      </c>
      <c r="H13" s="19">
        <v>4.0999999999999996</v>
      </c>
      <c r="I13" s="19">
        <v>4.4000000000000004</v>
      </c>
      <c r="J13" s="20" t="s">
        <v>18</v>
      </c>
      <c r="K13" s="20">
        <v>1.8</v>
      </c>
      <c r="L13" s="17">
        <f t="shared" si="0"/>
        <v>-0.74757999999999969</v>
      </c>
      <c r="M13" s="21">
        <f t="shared" si="0"/>
        <v>-0.1475799999999996</v>
      </c>
      <c r="N13" s="22">
        <f t="shared" si="3"/>
        <v>-0.44757999999999964</v>
      </c>
      <c r="O13" s="17">
        <f t="shared" si="1"/>
        <v>-0.44757999999999942</v>
      </c>
      <c r="P13" s="23">
        <f t="shared" si="1"/>
        <v>-0.54757999999999996</v>
      </c>
      <c r="Q13" s="23">
        <f t="shared" si="1"/>
        <v>-0.24757999999999925</v>
      </c>
      <c r="R13" s="24">
        <f t="shared" si="4"/>
        <v>-0.41424666666666621</v>
      </c>
      <c r="S13" s="18" t="s">
        <v>18</v>
      </c>
      <c r="T13" s="25">
        <f t="shared" si="2"/>
        <v>-2.8475799999999998</v>
      </c>
      <c r="V13" s="30"/>
      <c r="X13" t="str">
        <f>T6</f>
        <v>Dissolution</v>
      </c>
      <c r="Y13" s="30" t="str">
        <f>X13</f>
        <v>Dissolution</v>
      </c>
      <c r="Z13" s="30"/>
      <c r="AA13" s="30">
        <v>-3.7371660000000002</v>
      </c>
    </row>
    <row r="14" spans="1:32" x14ac:dyDescent="0.25">
      <c r="A14" s="15" t="s">
        <v>25</v>
      </c>
      <c r="B14" s="16">
        <v>3.7391999999999999</v>
      </c>
      <c r="C14" s="16"/>
      <c r="D14" s="16"/>
      <c r="E14" s="33">
        <v>2.5</v>
      </c>
      <c r="F14" s="27">
        <v>3.6</v>
      </c>
      <c r="G14" s="19">
        <v>1.7</v>
      </c>
      <c r="H14" s="19">
        <v>3.1</v>
      </c>
      <c r="I14" s="19">
        <v>3.4</v>
      </c>
      <c r="J14" s="20" t="s">
        <v>18</v>
      </c>
      <c r="K14" s="20">
        <v>1.9</v>
      </c>
      <c r="L14" s="17">
        <f t="shared" si="0"/>
        <v>-1.2391999999999999</v>
      </c>
      <c r="M14" s="21">
        <f t="shared" si="0"/>
        <v>-0.13919999999999977</v>
      </c>
      <c r="N14" s="22">
        <f t="shared" si="3"/>
        <v>-0.68919999999999981</v>
      </c>
      <c r="O14" s="17">
        <f t="shared" si="1"/>
        <v>-2.0392000000000001</v>
      </c>
      <c r="P14" s="23">
        <f t="shared" si="1"/>
        <v>-0.63919999999999977</v>
      </c>
      <c r="Q14" s="23">
        <f t="shared" si="1"/>
        <v>-0.33919999999999995</v>
      </c>
      <c r="R14" s="24">
        <f t="shared" si="4"/>
        <v>-1.0058666666666667</v>
      </c>
      <c r="S14" s="18" t="s">
        <v>18</v>
      </c>
      <c r="T14" s="25">
        <f t="shared" si="2"/>
        <v>-1.8391999999999999</v>
      </c>
      <c r="V14" s="30"/>
      <c r="X14" s="32" t="str">
        <f>O6</f>
        <v>Pyrolysis (Monomers)</v>
      </c>
      <c r="Y14" s="32" t="str">
        <f>T6</f>
        <v>Dissolution</v>
      </c>
      <c r="Z14" s="30"/>
      <c r="AA14" s="30">
        <v>-2.8726229999999999</v>
      </c>
    </row>
    <row r="15" spans="1:32" x14ac:dyDescent="0.25">
      <c r="A15" s="15" t="s">
        <v>26</v>
      </c>
      <c r="B15" s="16">
        <v>8.7691999999999997</v>
      </c>
      <c r="C15" s="16"/>
      <c r="D15" s="16"/>
      <c r="E15" s="33">
        <f>AVERAGE(6.9,7.4)</f>
        <v>7.15</v>
      </c>
      <c r="F15" s="27">
        <f>AVERAGE(7.2,7.7)</f>
        <v>7.45</v>
      </c>
      <c r="G15" s="19">
        <f>AVERAGE(2.9,7.6)</f>
        <v>5.25</v>
      </c>
      <c r="H15" s="19">
        <f>AVERAGE(7.2,7.8)</f>
        <v>7.5</v>
      </c>
      <c r="I15" s="19">
        <f>AVERAGE(7.5,8.1)</f>
        <v>7.8</v>
      </c>
      <c r="J15" s="31">
        <v>1.6</v>
      </c>
      <c r="K15" s="20">
        <f>AVERAGE(2.2,2.2)</f>
        <v>2.2000000000000002</v>
      </c>
      <c r="L15" s="17">
        <f t="shared" si="0"/>
        <v>-1.6191999999999993</v>
      </c>
      <c r="M15" s="21">
        <f t="shared" si="0"/>
        <v>-1.3191999999999995</v>
      </c>
      <c r="N15" s="22">
        <f t="shared" si="3"/>
        <v>-1.4691999999999994</v>
      </c>
      <c r="O15" s="17">
        <f t="shared" si="1"/>
        <v>-3.5191999999999997</v>
      </c>
      <c r="P15" s="23">
        <f t="shared" si="1"/>
        <v>-1.2691999999999997</v>
      </c>
      <c r="Q15" s="23">
        <f t="shared" si="1"/>
        <v>-0.96919999999999984</v>
      </c>
      <c r="R15" s="24">
        <f t="shared" si="4"/>
        <v>-1.9191999999999998</v>
      </c>
      <c r="S15" s="18">
        <f t="shared" si="2"/>
        <v>-7.1692</v>
      </c>
      <c r="T15" s="25">
        <f t="shared" si="2"/>
        <v>-6.5691999999999995</v>
      </c>
      <c r="V15" s="30"/>
      <c r="X15" t="str">
        <f>S6</f>
        <v>Depolymerization</v>
      </c>
      <c r="Y15" s="30" t="str">
        <f>X15</f>
        <v>Depolymerization</v>
      </c>
      <c r="Z15" s="30"/>
      <c r="AA15" s="30">
        <v>-7.3433810000000008</v>
      </c>
    </row>
    <row r="16" spans="1:32" x14ac:dyDescent="0.25">
      <c r="A16" s="15" t="s">
        <v>27</v>
      </c>
      <c r="B16" s="16">
        <v>8.2098800000000001</v>
      </c>
      <c r="C16" s="16"/>
      <c r="D16" s="16"/>
      <c r="E16" s="33">
        <v>7.2</v>
      </c>
      <c r="F16" s="27">
        <v>7.8</v>
      </c>
      <c r="G16" s="19">
        <v>7.4</v>
      </c>
      <c r="H16" s="19">
        <v>7.7</v>
      </c>
      <c r="I16" s="19">
        <v>8</v>
      </c>
      <c r="J16" s="31" t="s">
        <v>18</v>
      </c>
      <c r="K16" s="20">
        <v>2.2999999999999998</v>
      </c>
      <c r="L16" s="17">
        <f t="shared" si="0"/>
        <v>-1.0098799999999999</v>
      </c>
      <c r="M16" s="21">
        <f t="shared" si="0"/>
        <v>-0.40988000000000024</v>
      </c>
      <c r="N16" s="22">
        <f t="shared" si="3"/>
        <v>-0.70988000000000007</v>
      </c>
      <c r="O16" s="17">
        <f t="shared" si="1"/>
        <v>-0.80987999999999971</v>
      </c>
      <c r="P16" s="23">
        <f t="shared" si="1"/>
        <v>-0.50987999999999989</v>
      </c>
      <c r="Q16" s="23">
        <f t="shared" si="1"/>
        <v>-0.20988000000000007</v>
      </c>
      <c r="R16" s="24">
        <f t="shared" si="4"/>
        <v>-0.50987999999999989</v>
      </c>
      <c r="S16" s="18" t="s">
        <v>18</v>
      </c>
      <c r="T16" s="25">
        <f t="shared" si="2"/>
        <v>-5.9098800000000002</v>
      </c>
      <c r="V16" s="30"/>
      <c r="X16" t="str">
        <f>T6</f>
        <v>Dissolution</v>
      </c>
      <c r="Y16" s="30" t="str">
        <f>X16</f>
        <v>Dissolution</v>
      </c>
      <c r="Z16" s="30"/>
      <c r="AA16" s="30">
        <v>-6.8703579999999995</v>
      </c>
    </row>
    <row r="17" spans="1:27" x14ac:dyDescent="0.25">
      <c r="A17" s="34" t="s">
        <v>28</v>
      </c>
      <c r="B17" s="35">
        <v>5.1051599999999997</v>
      </c>
      <c r="C17" s="35"/>
      <c r="D17" s="35"/>
      <c r="E17" s="34">
        <v>4</v>
      </c>
      <c r="F17" s="36">
        <v>4.4000000000000004</v>
      </c>
      <c r="G17" s="37">
        <v>4.3</v>
      </c>
      <c r="H17" s="37">
        <v>4.3</v>
      </c>
      <c r="I17" s="37">
        <v>4.7</v>
      </c>
      <c r="J17" s="38">
        <v>1.8</v>
      </c>
      <c r="K17" s="38" t="s">
        <v>18</v>
      </c>
      <c r="L17" s="39">
        <f t="shared" si="0"/>
        <v>-1.1051599999999997</v>
      </c>
      <c r="M17" s="40">
        <f t="shared" si="0"/>
        <v>-0.70515999999999934</v>
      </c>
      <c r="N17" s="41">
        <f t="shared" si="3"/>
        <v>-0.90515999999999952</v>
      </c>
      <c r="O17" s="39">
        <f t="shared" si="1"/>
        <v>-0.80515999999999988</v>
      </c>
      <c r="P17" s="42">
        <f t="shared" si="1"/>
        <v>-0.80515999999999988</v>
      </c>
      <c r="Q17" s="42">
        <f t="shared" si="1"/>
        <v>-0.40515999999999952</v>
      </c>
      <c r="R17" s="43">
        <f t="shared" si="4"/>
        <v>-0.67182666666666646</v>
      </c>
      <c r="S17" s="44">
        <f t="shared" si="2"/>
        <v>-3.3051599999999999</v>
      </c>
      <c r="T17" s="45" t="s">
        <v>18</v>
      </c>
      <c r="V17" s="30"/>
      <c r="X17" t="str">
        <f>S6</f>
        <v>Depolymerization</v>
      </c>
      <c r="Y17" s="30" t="str">
        <f>X17</f>
        <v>Depolymerization</v>
      </c>
      <c r="Z17" s="30"/>
      <c r="AA17" s="30"/>
    </row>
    <row r="18" spans="1:27" x14ac:dyDescent="0.25">
      <c r="N18" s="46">
        <f>AVERAGE(N7:N17)</f>
        <v>-0.82310181818181793</v>
      </c>
      <c r="O18" s="47"/>
      <c r="P18" s="47"/>
      <c r="Q18" s="47"/>
      <c r="R18" s="46">
        <f>AVERAGE(R7:R17)</f>
        <v>-0.76855636363636359</v>
      </c>
      <c r="S18" s="46">
        <f>AVERAGE(S9,S15,S17)</f>
        <v>-4.0602733333333338</v>
      </c>
      <c r="T18" s="46">
        <f>AVERAGE(T7:T16)</f>
        <v>-2.319896</v>
      </c>
      <c r="U18" s="46"/>
      <c r="V18" s="30"/>
      <c r="W18" s="30"/>
    </row>
    <row r="19" spans="1:27" ht="52.5" customHeight="1" x14ac:dyDescent="0.25">
      <c r="A19" s="1668" t="s">
        <v>1858</v>
      </c>
      <c r="B19" s="1668"/>
      <c r="C19" s="1668"/>
      <c r="D19" s="1668"/>
      <c r="E19" s="1668"/>
      <c r="F19" s="1668"/>
      <c r="G19" s="1668"/>
      <c r="H19" s="1668"/>
      <c r="I19" s="1668"/>
      <c r="J19" s="1668"/>
      <c r="K19" s="1668"/>
      <c r="L19" s="1668"/>
      <c r="M19" s="1668"/>
      <c r="N19" s="1668"/>
      <c r="O19" s="1668"/>
      <c r="P19" s="1668"/>
      <c r="Q19" s="1668"/>
      <c r="R19" s="1668"/>
      <c r="S19" s="1668"/>
      <c r="T19" s="1668"/>
      <c r="U19" s="1668"/>
    </row>
    <row r="20" spans="1:27" x14ac:dyDescent="0.25">
      <c r="A20" s="48"/>
      <c r="B20" s="48"/>
      <c r="C20" s="48"/>
      <c r="D20" s="48"/>
      <c r="E20" s="48"/>
      <c r="F20" s="48"/>
      <c r="G20" s="48"/>
      <c r="H20" s="48"/>
      <c r="I20" s="48"/>
    </row>
    <row r="21" spans="1:27" x14ac:dyDescent="0.25">
      <c r="A21" s="49"/>
      <c r="B21" s="50"/>
      <c r="C21" s="50"/>
      <c r="D21" s="50"/>
      <c r="E21" s="50"/>
      <c r="F21" s="50"/>
      <c r="G21" s="50"/>
      <c r="H21" s="50"/>
      <c r="I21" s="50"/>
    </row>
    <row r="22" spans="1:27" x14ac:dyDescent="0.25">
      <c r="A22" s="52"/>
      <c r="B22" s="53"/>
      <c r="C22" s="53"/>
      <c r="D22" s="53"/>
      <c r="E22" s="50"/>
      <c r="F22" s="50"/>
      <c r="G22" s="50"/>
      <c r="H22" s="50"/>
      <c r="I22" s="50"/>
    </row>
    <row r="23" spans="1:27" x14ac:dyDescent="0.25">
      <c r="A23" s="52"/>
      <c r="B23" s="53"/>
      <c r="C23" s="53"/>
      <c r="D23" s="53"/>
      <c r="E23" s="50"/>
      <c r="F23" s="50"/>
      <c r="G23" s="50"/>
      <c r="H23" s="50"/>
      <c r="I23" s="50"/>
    </row>
    <row r="24" spans="1:27" x14ac:dyDescent="0.25">
      <c r="A24" s="52"/>
      <c r="B24" s="53"/>
      <c r="C24" s="53"/>
      <c r="D24" s="53"/>
      <c r="E24" s="50"/>
      <c r="F24" s="50"/>
      <c r="G24" s="50"/>
      <c r="H24" s="50"/>
      <c r="I24" s="50"/>
    </row>
    <row r="25" spans="1:27" x14ac:dyDescent="0.25">
      <c r="B25" s="50"/>
      <c r="C25" s="50"/>
      <c r="D25" s="50"/>
      <c r="E25" s="50"/>
      <c r="F25" s="50"/>
      <c r="G25" s="50"/>
      <c r="H25" s="50"/>
      <c r="I25" s="50"/>
    </row>
    <row r="26" spans="1:27" x14ac:dyDescent="0.25">
      <c r="B26" s="50"/>
      <c r="C26" s="50"/>
      <c r="D26" s="50"/>
      <c r="E26" s="50"/>
      <c r="F26" s="50"/>
      <c r="G26" s="50"/>
      <c r="H26" s="50"/>
      <c r="I26" s="50"/>
    </row>
    <row r="27" spans="1:27" x14ac:dyDescent="0.25">
      <c r="A27" s="49"/>
      <c r="B27" s="50"/>
      <c r="C27" s="50"/>
      <c r="D27" s="50"/>
      <c r="E27" s="50"/>
      <c r="F27" s="50"/>
      <c r="G27" s="50"/>
      <c r="H27" s="50"/>
      <c r="I27" s="50"/>
    </row>
    <row r="28" spans="1:27" x14ac:dyDescent="0.25">
      <c r="A28" s="49"/>
      <c r="B28" s="50"/>
      <c r="C28" s="50"/>
      <c r="D28" s="50"/>
      <c r="E28" s="50"/>
      <c r="F28" s="50"/>
      <c r="G28" s="50"/>
      <c r="H28" s="50"/>
      <c r="I28" s="50"/>
    </row>
    <row r="29" spans="1:27" x14ac:dyDescent="0.25">
      <c r="A29" s="49"/>
      <c r="B29" s="50"/>
      <c r="C29" s="50"/>
      <c r="D29" s="50"/>
      <c r="E29" s="50"/>
      <c r="F29" s="50"/>
      <c r="G29" s="50"/>
      <c r="H29" s="50"/>
      <c r="I29" s="50"/>
    </row>
    <row r="30" spans="1:27" x14ac:dyDescent="0.25">
      <c r="A30" s="49"/>
      <c r="B30" s="50"/>
      <c r="C30" s="50"/>
      <c r="D30" s="50"/>
      <c r="E30" s="50"/>
      <c r="F30" s="50"/>
      <c r="G30" s="50"/>
      <c r="H30" s="50"/>
      <c r="I30" s="50"/>
    </row>
    <row r="31" spans="1:27" x14ac:dyDescent="0.25">
      <c r="A31" s="49"/>
      <c r="B31" s="50"/>
      <c r="C31" s="50"/>
      <c r="D31" s="50"/>
      <c r="E31" s="50"/>
      <c r="F31" s="50"/>
      <c r="G31" s="50"/>
      <c r="H31" s="50"/>
      <c r="I31" s="50"/>
    </row>
    <row r="32" spans="1:27" x14ac:dyDescent="0.25">
      <c r="A32" s="49"/>
      <c r="B32" s="50"/>
      <c r="C32" s="50"/>
      <c r="D32" s="50"/>
      <c r="E32" s="50"/>
      <c r="F32" s="50"/>
      <c r="G32" s="50"/>
      <c r="H32" s="50"/>
      <c r="I32" s="50"/>
    </row>
    <row r="33" spans="1:9" x14ac:dyDescent="0.25">
      <c r="A33" s="49"/>
      <c r="B33" s="50"/>
      <c r="C33" s="50"/>
      <c r="D33" s="50"/>
      <c r="E33" s="50"/>
      <c r="F33" s="50"/>
      <c r="G33" s="50"/>
      <c r="H33" s="50"/>
      <c r="I33" s="50"/>
    </row>
    <row r="34" spans="1:9" x14ac:dyDescent="0.25">
      <c r="A34" s="49"/>
      <c r="B34" s="50"/>
      <c r="C34" s="50"/>
      <c r="D34" s="50"/>
      <c r="E34" s="50"/>
      <c r="F34" s="50"/>
      <c r="G34" s="50"/>
      <c r="H34" s="50"/>
      <c r="I34" s="50"/>
    </row>
    <row r="35" spans="1:9" x14ac:dyDescent="0.25">
      <c r="A35" s="49"/>
      <c r="B35" s="50"/>
      <c r="C35" s="50"/>
      <c r="D35" s="50"/>
      <c r="E35" s="50"/>
      <c r="F35" s="50"/>
      <c r="G35" s="50"/>
      <c r="H35" s="50"/>
      <c r="I35" s="50"/>
    </row>
    <row r="36" spans="1:9" x14ac:dyDescent="0.25">
      <c r="A36" s="49"/>
      <c r="B36" s="50"/>
      <c r="C36" s="50"/>
      <c r="D36" s="50"/>
      <c r="E36" s="50"/>
      <c r="F36" s="50"/>
      <c r="G36" s="50"/>
      <c r="H36" s="50"/>
      <c r="I36" s="50"/>
    </row>
    <row r="37" spans="1:9" x14ac:dyDescent="0.25">
      <c r="A37" s="49"/>
      <c r="B37" s="50"/>
      <c r="C37" s="50"/>
      <c r="D37" s="50"/>
      <c r="E37" s="50"/>
      <c r="F37" s="50"/>
      <c r="G37" s="50"/>
      <c r="H37" s="50"/>
      <c r="I37" s="50"/>
    </row>
    <row r="38" spans="1:9" x14ac:dyDescent="0.25">
      <c r="A38" s="49"/>
      <c r="B38" s="50"/>
      <c r="C38" s="50"/>
      <c r="D38" s="50"/>
      <c r="E38" s="50"/>
      <c r="F38" s="50"/>
      <c r="G38" s="50"/>
      <c r="H38" s="50"/>
      <c r="I38" s="50"/>
    </row>
    <row r="39" spans="1:9" x14ac:dyDescent="0.25">
      <c r="A39" s="49"/>
      <c r="B39" s="50"/>
      <c r="C39" s="50"/>
      <c r="D39" s="50"/>
      <c r="E39" s="50"/>
      <c r="F39" s="50"/>
      <c r="G39" s="50"/>
      <c r="H39" s="50"/>
      <c r="I39" s="50"/>
    </row>
    <row r="40" spans="1:9" x14ac:dyDescent="0.25">
      <c r="A40" s="49"/>
      <c r="B40" s="50"/>
      <c r="C40" s="50"/>
      <c r="D40" s="50"/>
      <c r="E40" s="50"/>
      <c r="F40" s="50"/>
      <c r="G40" s="50"/>
      <c r="H40" s="50"/>
      <c r="I40" s="50"/>
    </row>
    <row r="41" spans="1:9" x14ac:dyDescent="0.25">
      <c r="A41" s="49"/>
      <c r="B41" s="50"/>
      <c r="C41" s="50"/>
      <c r="D41" s="50"/>
      <c r="E41" s="50"/>
      <c r="F41" s="50"/>
      <c r="G41" s="50"/>
      <c r="H41" s="50"/>
      <c r="I41" s="50"/>
    </row>
    <row r="42" spans="1:9" x14ac:dyDescent="0.25">
      <c r="A42" s="49"/>
      <c r="B42" s="50"/>
      <c r="C42" s="50"/>
      <c r="D42" s="50"/>
      <c r="E42" s="50"/>
      <c r="F42" s="50"/>
      <c r="G42" s="50"/>
      <c r="H42" s="50"/>
      <c r="I42" s="50"/>
    </row>
    <row r="43" spans="1:9" x14ac:dyDescent="0.25">
      <c r="A43" s="49"/>
      <c r="B43" s="50"/>
      <c r="C43" s="50"/>
      <c r="D43" s="50"/>
      <c r="E43" s="50"/>
      <c r="F43" s="50"/>
      <c r="G43" s="50"/>
      <c r="H43" s="50"/>
      <c r="I43" s="50"/>
    </row>
    <row r="44" spans="1:9" x14ac:dyDescent="0.25">
      <c r="A44" s="49"/>
      <c r="B44" s="50"/>
      <c r="C44" s="50"/>
      <c r="D44" s="50"/>
      <c r="E44" s="50"/>
      <c r="F44" s="50"/>
      <c r="G44" s="50"/>
      <c r="H44" s="50"/>
      <c r="I44" s="50"/>
    </row>
    <row r="45" spans="1:9" x14ac:dyDescent="0.25">
      <c r="A45" s="49"/>
      <c r="B45" s="50"/>
      <c r="C45" s="50"/>
      <c r="D45" s="50"/>
      <c r="E45" s="50"/>
      <c r="F45" s="50"/>
      <c r="G45" s="50"/>
      <c r="H45" s="50"/>
      <c r="I45" s="50"/>
    </row>
    <row r="46" spans="1:9" x14ac:dyDescent="0.25">
      <c r="A46" s="49"/>
      <c r="B46" s="50"/>
      <c r="C46" s="50"/>
      <c r="D46" s="50"/>
      <c r="E46" s="50"/>
      <c r="F46" s="50"/>
      <c r="G46" s="50"/>
      <c r="H46" s="50"/>
      <c r="I46" s="50"/>
    </row>
    <row r="47" spans="1:9" x14ac:dyDescent="0.25">
      <c r="A47" s="49"/>
      <c r="B47" s="50"/>
      <c r="C47" s="50"/>
      <c r="D47" s="50"/>
      <c r="E47" s="50"/>
      <c r="F47" s="50"/>
      <c r="G47" s="50"/>
      <c r="H47" s="50"/>
      <c r="I47" s="50"/>
    </row>
    <row r="48" spans="1:9" x14ac:dyDescent="0.25">
      <c r="A48" s="49"/>
      <c r="B48" s="50"/>
      <c r="C48" s="50"/>
      <c r="D48" s="50"/>
      <c r="E48" s="50"/>
      <c r="F48" s="50"/>
      <c r="G48" s="50"/>
      <c r="H48" s="50"/>
      <c r="I48" s="50"/>
    </row>
    <row r="49" spans="1:9" x14ac:dyDescent="0.25">
      <c r="A49" s="49"/>
      <c r="B49" s="50"/>
      <c r="C49" s="50"/>
      <c r="D49" s="50"/>
      <c r="E49" s="50"/>
      <c r="F49" s="50"/>
      <c r="G49" s="50"/>
      <c r="H49" s="50"/>
      <c r="I49" s="50"/>
    </row>
    <row r="50" spans="1:9" x14ac:dyDescent="0.25">
      <c r="A50" s="49"/>
      <c r="B50" s="50"/>
      <c r="C50" s="50"/>
      <c r="D50" s="50"/>
      <c r="E50" s="50"/>
      <c r="F50" s="50"/>
      <c r="G50" s="50"/>
      <c r="H50" s="50"/>
      <c r="I50" s="50"/>
    </row>
    <row r="51" spans="1:9" x14ac:dyDescent="0.25">
      <c r="A51" s="49"/>
      <c r="B51" s="50"/>
      <c r="C51" s="50"/>
      <c r="D51" s="50"/>
      <c r="E51" s="50"/>
      <c r="F51" s="50"/>
      <c r="G51" s="50"/>
      <c r="H51" s="50"/>
      <c r="I51" s="50"/>
    </row>
    <row r="52" spans="1:9" x14ac:dyDescent="0.25">
      <c r="A52" s="49"/>
      <c r="B52" s="50"/>
      <c r="C52" s="50"/>
      <c r="D52" s="50"/>
      <c r="E52" s="50"/>
      <c r="F52" s="50"/>
      <c r="G52" s="50"/>
      <c r="H52" s="50"/>
      <c r="I52" s="50"/>
    </row>
    <row r="53" spans="1:9" x14ac:dyDescent="0.25">
      <c r="A53" s="49"/>
      <c r="B53" s="50"/>
      <c r="C53" s="50"/>
      <c r="D53" s="50"/>
      <c r="E53" s="50"/>
      <c r="F53" s="50"/>
      <c r="G53" s="50"/>
      <c r="H53" s="50"/>
      <c r="I53" s="50"/>
    </row>
    <row r="54" spans="1:9" x14ac:dyDescent="0.25">
      <c r="A54" s="49"/>
      <c r="B54" s="50"/>
      <c r="C54" s="50"/>
      <c r="D54" s="50"/>
      <c r="E54" s="50"/>
      <c r="F54" s="50"/>
      <c r="G54" s="50"/>
      <c r="H54" s="50"/>
      <c r="I54" s="50"/>
    </row>
    <row r="55" spans="1:9" x14ac:dyDescent="0.25">
      <c r="A55" s="49"/>
      <c r="B55" s="50"/>
      <c r="C55" s="50"/>
      <c r="D55" s="50"/>
      <c r="E55" s="50"/>
      <c r="F55" s="50"/>
      <c r="G55" s="50"/>
      <c r="H55" s="50"/>
      <c r="I55" s="50"/>
    </row>
    <row r="56" spans="1:9" x14ac:dyDescent="0.25">
      <c r="A56" s="49"/>
      <c r="B56" s="50"/>
      <c r="C56" s="50"/>
      <c r="D56" s="50"/>
      <c r="E56" s="50"/>
      <c r="F56" s="50"/>
      <c r="G56" s="50"/>
      <c r="H56" s="50"/>
      <c r="I56" s="50"/>
    </row>
    <row r="57" spans="1:9" x14ac:dyDescent="0.25">
      <c r="A57" s="49"/>
      <c r="B57" s="50"/>
      <c r="C57" s="50"/>
      <c r="D57" s="50"/>
      <c r="E57" s="50"/>
      <c r="F57" s="50"/>
      <c r="G57" s="50"/>
      <c r="H57" s="50"/>
      <c r="I57" s="50"/>
    </row>
    <row r="58" spans="1:9" x14ac:dyDescent="0.25">
      <c r="A58" s="49"/>
      <c r="B58" s="50"/>
      <c r="C58" s="50"/>
      <c r="D58" s="50"/>
      <c r="E58" s="50"/>
      <c r="F58" s="50"/>
      <c r="G58" s="50"/>
      <c r="H58" s="50"/>
      <c r="I58" s="50"/>
    </row>
    <row r="59" spans="1:9" x14ac:dyDescent="0.25">
      <c r="A59" s="49"/>
      <c r="B59" s="50"/>
      <c r="C59" s="50"/>
      <c r="D59" s="50"/>
      <c r="E59" s="50"/>
      <c r="F59" s="50"/>
      <c r="G59" s="50"/>
      <c r="I59" s="50"/>
    </row>
    <row r="60" spans="1:9" x14ac:dyDescent="0.25">
      <c r="A60" s="49"/>
      <c r="B60" s="50"/>
      <c r="C60" s="50"/>
      <c r="D60" s="50"/>
      <c r="E60" s="50"/>
      <c r="F60" s="50"/>
      <c r="G60" s="50"/>
      <c r="H60" s="50"/>
      <c r="I60" s="50"/>
    </row>
    <row r="61" spans="1:9" x14ac:dyDescent="0.25">
      <c r="A61" s="49"/>
      <c r="B61" s="50"/>
      <c r="C61" s="50"/>
      <c r="D61" s="50"/>
      <c r="E61" s="50"/>
      <c r="F61" s="50"/>
      <c r="G61" s="50"/>
      <c r="H61" s="50"/>
      <c r="I61" s="50"/>
    </row>
    <row r="62" spans="1:9" x14ac:dyDescent="0.25">
      <c r="A62" s="49"/>
      <c r="B62" s="50"/>
      <c r="C62" s="50"/>
      <c r="D62" s="50"/>
      <c r="E62" s="50"/>
      <c r="F62" s="50"/>
      <c r="G62" s="50"/>
      <c r="H62" s="50"/>
      <c r="I62" s="50"/>
    </row>
    <row r="63" spans="1:9" x14ac:dyDescent="0.25">
      <c r="A63" s="49"/>
      <c r="B63" s="50"/>
      <c r="C63" s="50"/>
      <c r="D63" s="50"/>
      <c r="E63" s="50"/>
      <c r="F63" s="50"/>
      <c r="G63" s="50"/>
      <c r="H63" s="50"/>
      <c r="I63" s="50"/>
    </row>
    <row r="64" spans="1:9" x14ac:dyDescent="0.25">
      <c r="A64" s="49"/>
      <c r="B64" s="50"/>
      <c r="C64" s="50"/>
      <c r="D64" s="50"/>
      <c r="E64" s="50"/>
      <c r="F64" s="50"/>
      <c r="G64" s="50"/>
      <c r="H64" s="50"/>
      <c r="I64" s="50"/>
    </row>
    <row r="65" spans="1:9" x14ac:dyDescent="0.25">
      <c r="A65" s="49"/>
      <c r="B65" s="50"/>
      <c r="C65" s="50"/>
      <c r="D65" s="50"/>
      <c r="E65" s="50"/>
      <c r="F65" s="50"/>
      <c r="G65" s="50"/>
      <c r="H65" s="50"/>
      <c r="I65" s="50"/>
    </row>
    <row r="66" spans="1:9" x14ac:dyDescent="0.25">
      <c r="A66" s="49"/>
      <c r="B66" s="50"/>
      <c r="C66" s="50"/>
      <c r="D66" s="50"/>
      <c r="E66" s="50"/>
      <c r="F66" s="50"/>
      <c r="G66" s="50"/>
      <c r="H66" s="50"/>
      <c r="I66" s="50"/>
    </row>
    <row r="76" spans="1:9" ht="28.9" customHeight="1" x14ac:dyDescent="0.25"/>
    <row r="87" spans="1:9" x14ac:dyDescent="0.25">
      <c r="A87" s="49"/>
      <c r="B87" s="50"/>
      <c r="C87" s="50"/>
      <c r="D87" s="50"/>
      <c r="E87" s="50"/>
      <c r="F87" s="50"/>
      <c r="G87" s="50"/>
      <c r="H87" s="50"/>
      <c r="I87" s="50"/>
    </row>
    <row r="88" spans="1:9" x14ac:dyDescent="0.25">
      <c r="A88" s="49"/>
      <c r="B88" s="50"/>
      <c r="C88" s="50"/>
      <c r="D88" s="50"/>
      <c r="E88" s="50"/>
      <c r="F88" s="50"/>
      <c r="G88" s="50"/>
      <c r="H88" s="50"/>
      <c r="I88" s="50"/>
    </row>
    <row r="89" spans="1:9" x14ac:dyDescent="0.25">
      <c r="A89" s="49"/>
      <c r="B89" s="50"/>
      <c r="C89" s="50"/>
      <c r="D89" s="50"/>
      <c r="E89" s="50"/>
      <c r="F89" s="50"/>
      <c r="G89" s="50"/>
      <c r="H89" s="50"/>
      <c r="I89" s="50"/>
    </row>
    <row r="90" spans="1:9" x14ac:dyDescent="0.25">
      <c r="A90" s="49"/>
      <c r="B90" s="50"/>
      <c r="C90" s="50"/>
      <c r="D90" s="50"/>
      <c r="E90" s="50"/>
      <c r="F90" s="50"/>
      <c r="G90" s="50"/>
      <c r="H90" s="50"/>
      <c r="I90" s="50"/>
    </row>
    <row r="91" spans="1:9" x14ac:dyDescent="0.25">
      <c r="A91" s="49"/>
      <c r="B91" s="50"/>
      <c r="C91" s="50"/>
      <c r="D91" s="50"/>
      <c r="E91" s="50"/>
      <c r="F91" s="50"/>
      <c r="G91" s="50"/>
      <c r="H91" s="50"/>
      <c r="I91" s="50"/>
    </row>
    <row r="92" spans="1:9" x14ac:dyDescent="0.25">
      <c r="A92" s="49"/>
      <c r="B92" s="50"/>
      <c r="C92" s="50"/>
      <c r="D92" s="50"/>
      <c r="E92" s="50"/>
      <c r="F92" s="50"/>
      <c r="G92" s="50"/>
      <c r="H92" s="50"/>
      <c r="I92" s="50"/>
    </row>
    <row r="93" spans="1:9" x14ac:dyDescent="0.25">
      <c r="A93" s="49"/>
      <c r="B93" s="50"/>
      <c r="C93" s="50"/>
      <c r="D93" s="50"/>
      <c r="E93" s="50"/>
      <c r="F93" s="50"/>
      <c r="G93" s="50"/>
      <c r="H93" s="50"/>
      <c r="I93" s="50"/>
    </row>
    <row r="94" spans="1:9" x14ac:dyDescent="0.25">
      <c r="A94" s="49"/>
      <c r="B94" s="50"/>
      <c r="C94" s="50"/>
      <c r="D94" s="50"/>
      <c r="E94" s="50"/>
      <c r="F94" s="50"/>
      <c r="G94" s="50"/>
      <c r="H94" s="50"/>
      <c r="I94" s="50"/>
    </row>
    <row r="95" spans="1:9" x14ac:dyDescent="0.25">
      <c r="A95" s="49"/>
      <c r="B95" s="50"/>
      <c r="C95" s="50"/>
      <c r="D95" s="50"/>
      <c r="E95" s="50"/>
      <c r="F95" s="50"/>
      <c r="G95" s="50"/>
      <c r="H95" s="50"/>
      <c r="I95" s="50"/>
    </row>
    <row r="96" spans="1:9" x14ac:dyDescent="0.25">
      <c r="A96" s="49"/>
      <c r="B96" s="50"/>
      <c r="C96" s="50"/>
      <c r="D96" s="50"/>
      <c r="E96" s="50"/>
      <c r="F96" s="50"/>
      <c r="G96" s="50"/>
      <c r="H96" s="50"/>
      <c r="I96" s="50"/>
    </row>
    <row r="97" spans="1:9" x14ac:dyDescent="0.25">
      <c r="A97" s="49"/>
      <c r="B97" s="50"/>
      <c r="C97" s="50"/>
      <c r="D97" s="50"/>
      <c r="E97" s="50"/>
      <c r="F97" s="50"/>
      <c r="G97" s="50"/>
      <c r="H97" s="50"/>
      <c r="I97" s="50"/>
    </row>
    <row r="98" spans="1:9" x14ac:dyDescent="0.25">
      <c r="A98" s="49"/>
      <c r="B98" s="50"/>
      <c r="C98" s="50"/>
      <c r="D98" s="50"/>
      <c r="E98" s="50"/>
      <c r="F98" s="50"/>
      <c r="G98" s="50"/>
      <c r="H98" s="50"/>
      <c r="I98" s="50"/>
    </row>
    <row r="99" spans="1:9" x14ac:dyDescent="0.25">
      <c r="A99" s="49"/>
      <c r="B99" s="50"/>
      <c r="C99" s="50"/>
      <c r="D99" s="50"/>
      <c r="E99" s="50"/>
      <c r="F99" s="50"/>
      <c r="G99" s="50"/>
      <c r="H99" s="50"/>
      <c r="I99" s="50"/>
    </row>
    <row r="100" spans="1:9" x14ac:dyDescent="0.25">
      <c r="A100" s="49"/>
      <c r="B100" s="50"/>
      <c r="C100" s="50"/>
      <c r="D100" s="50"/>
      <c r="E100" s="50"/>
      <c r="F100" s="50"/>
      <c r="G100" s="50"/>
      <c r="H100" s="50"/>
      <c r="I100" s="50"/>
    </row>
    <row r="101" spans="1:9" x14ac:dyDescent="0.25">
      <c r="A101" s="49"/>
      <c r="B101" s="50"/>
      <c r="C101" s="50"/>
      <c r="D101" s="50"/>
      <c r="E101" s="50"/>
      <c r="F101" s="50"/>
      <c r="G101" s="50"/>
      <c r="H101" s="50"/>
      <c r="I101" s="50"/>
    </row>
    <row r="102" spans="1:9" x14ac:dyDescent="0.25">
      <c r="A102" s="49"/>
      <c r="B102" s="50"/>
      <c r="C102" s="50"/>
      <c r="D102" s="50"/>
      <c r="E102" s="50"/>
      <c r="F102" s="50"/>
      <c r="G102" s="50"/>
      <c r="H102" s="50"/>
      <c r="I102" s="50"/>
    </row>
  </sheetData>
  <mergeCells count="3">
    <mergeCell ref="E5:K5"/>
    <mergeCell ref="L5:T5"/>
    <mergeCell ref="A19:U19"/>
  </mergeCells>
  <conditionalFormatting sqref="L7:T17">
    <cfRule type="colorScale" priority="2">
      <colorScale>
        <cfvo type="min"/>
        <cfvo type="max"/>
        <color rgb="FFFCFCFF"/>
        <color rgb="FFF8696B"/>
      </colorScale>
    </cfRule>
  </conditionalFormatting>
  <conditionalFormatting sqref="L7:T17">
    <cfRule type="colorScale" priority="1">
      <colorScale>
        <cfvo type="min"/>
        <cfvo type="max"/>
        <color rgb="FF63BE7B"/>
        <color rgb="FFFCFCFF"/>
      </colorScale>
    </cfRule>
  </conditionalFormatting>
  <pageMargins left="0.7" right="0.7" top="0.75" bottom="0.75" header="0.3" footer="0.3"/>
  <pageSetup paperSize="9" orientation="portrait" r:id="rId1"/>
  <drawing r:id="rId2"/>
  <legacyDrawing r:id="rId3"/>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C76A2-6659-4E06-9FD5-FA2C5D4F9C7A}">
  <sheetPr>
    <tabColor theme="0"/>
  </sheetPr>
  <dimension ref="A1:AA79"/>
  <sheetViews>
    <sheetView zoomScale="40" zoomScaleNormal="40" workbookViewId="0">
      <selection activeCell="M24" sqref="M24"/>
    </sheetView>
  </sheetViews>
  <sheetFormatPr defaultRowHeight="15" x14ac:dyDescent="0.25"/>
  <cols>
    <col min="1" max="1" width="22.140625" customWidth="1"/>
    <col min="2" max="14" width="15" customWidth="1"/>
    <col min="15" max="16" width="15.140625" customWidth="1"/>
    <col min="17" max="32" width="13.28515625" customWidth="1"/>
  </cols>
  <sheetData>
    <row r="1" spans="1:20" ht="27.75" x14ac:dyDescent="0.25">
      <c r="A1" s="151" t="s">
        <v>78</v>
      </c>
    </row>
    <row r="2" spans="1:20" ht="14.25" customHeight="1" x14ac:dyDescent="0.25">
      <c r="A2" s="151"/>
    </row>
    <row r="3" spans="1:20" x14ac:dyDescent="0.25">
      <c r="A3" s="69"/>
    </row>
    <row r="4" spans="1:20" ht="132.75" customHeight="1" x14ac:dyDescent="0.25">
      <c r="A4" t="s">
        <v>37</v>
      </c>
      <c r="B4" s="70" t="s">
        <v>6</v>
      </c>
      <c r="C4" s="71" t="s">
        <v>7</v>
      </c>
      <c r="D4" s="72" t="s">
        <v>38</v>
      </c>
      <c r="E4" s="73" t="s">
        <v>8</v>
      </c>
      <c r="F4" s="74" t="s">
        <v>10</v>
      </c>
      <c r="G4" s="75" t="s">
        <v>39</v>
      </c>
      <c r="H4" s="76" t="s">
        <v>79</v>
      </c>
      <c r="I4" s="71" t="s">
        <v>80</v>
      </c>
      <c r="J4" s="77" t="s">
        <v>40</v>
      </c>
      <c r="K4" s="78" t="s">
        <v>81</v>
      </c>
      <c r="L4" s="71" t="s">
        <v>82</v>
      </c>
      <c r="M4" s="79" t="s">
        <v>41</v>
      </c>
      <c r="N4" s="78" t="s">
        <v>42</v>
      </c>
      <c r="O4" s="76" t="s">
        <v>43</v>
      </c>
      <c r="P4" s="79" t="s">
        <v>44</v>
      </c>
      <c r="R4" s="152" t="s">
        <v>83</v>
      </c>
    </row>
    <row r="5" spans="1:20" ht="21" x14ac:dyDescent="0.25">
      <c r="A5" s="80" t="s">
        <v>17</v>
      </c>
      <c r="B5" s="81">
        <f>SUM('S1.2.1 mass flows'!G5:H5)*('S3.1 LCA data coll,sort,transp'!$C$9+'S4.1 LCA chem rec Schwarz'!L7)+SUM('S1.2.1 mass flows'!K5:L5)*('S3.1 LCA data coll,sort,transp'!$C$10+'S4.1 LCA chem rec Schwarz'!L7)</f>
        <v>-87657.444152818265</v>
      </c>
      <c r="C5" s="82">
        <f>SUM('S1.2.1 mass flows'!G5:H5)*('S3.1 LCA data coll,sort,transp'!$C$9+'S4.1 LCA chem rec Schwarz'!M7)+SUM('S1.2.1 mass flows'!K5:L5)*('S3.1 LCA data coll,sort,transp'!$C$10+'S4.1 LCA chem rec Schwarz'!M7)</f>
        <v>-48898.007570977803</v>
      </c>
      <c r="D5" s="83">
        <f>SUM('S1.2.1 mass flows'!G5:H5)*('S3.1 LCA data coll,sort,transp'!$C$9+'S4.1 LCA chem rec Schwarz'!N7)+SUM('S1.2.1 mass flows'!K5:L5)*('S3.1 LCA data coll,sort,transp'!$C$10+'S4.1 LCA chem rec Schwarz'!N7)</f>
        <v>-68277.725861898041</v>
      </c>
      <c r="E5" s="81">
        <f>SUM('S1.2.1 mass flows'!G5:H5)*('S3.1 LCA data coll,sort,transp'!$D$9+'S4.1 LCA chem rec Schwarz'!O7)+SUM('S1.2.1 mass flows'!K5:L5)*('S3.1 LCA data coll,sort,transp'!$D$10+'S4.1 LCA chem rec Schwarz'!O7)</f>
        <v>-62556.685982101</v>
      </c>
      <c r="F5" s="82">
        <f>SUM('S1.2.1 mass flows'!G5:H5)*('S3.1 LCA data coll,sort,transp'!$D$9+'S4.1 LCA chem rec Schwarz'!Q7)+SUM('S1.2.1 mass flows'!K5:L5)*('S3.1 LCA data coll,sort,transp'!$D$10+'S4.1 LCA chem rec Schwarz'!Q7)</f>
        <v>-30257.155497233944</v>
      </c>
      <c r="G5" s="83">
        <f>SUM('S1.2.1 mass flows'!G5:H5)*('S3.1 LCA data coll,sort,transp'!$D$9+'S4.1 LCA chem rec Schwarz'!R7)+SUM('S1.2.1 mass flows'!K5:L5)*('S3.1 LCA data coll,sort,transp'!$D$10+'S4.1 LCA chem rec Schwarz'!R7)</f>
        <v>-47483.571755829704</v>
      </c>
      <c r="H5" s="84">
        <f>K5</f>
        <v>-53570.807942709696</v>
      </c>
      <c r="I5" s="84">
        <f>L5</f>
        <v>-44741.76919501651</v>
      </c>
      <c r="J5" s="84">
        <f>AVERAGE(H5:I5)</f>
        <v>-49156.288568863107</v>
      </c>
      <c r="K5" s="85">
        <f>('S1.2.1 mass flows'!H5*('S3.1 LCA data coll,sort,transp'!$C$9+'S4.1 LCA chem rec Schwarz'!N7)+'S1.2.1 mass flows'!L5*('S3.1 LCA data coll,sort,transp'!$C$10+'S4.1 LCA chem rec Schwarz'!N7))+('S1.2.1 mass flows'!G5*('S3.1 LCA data coll,sort,transp'!$F$9+'S4.1 LCA chem rec Schwarz'!T7)+'S1.2.1 mass flows'!K5*('S3.1 LCA data coll,sort,transp'!$F$10+'S4.1 LCA chem rec Schwarz'!T7))</f>
        <v>-53570.807942709696</v>
      </c>
      <c r="L5" s="86">
        <f>('S1.2.1 mass flows'!H5*('S3.1 LCA data coll,sort,transp'!$D$9+'S4.1 LCA chem rec Schwarz'!R7)+'S1.2.1 mass flows'!L5*('S3.1 LCA data coll,sort,transp'!$D$10+'S4.1 LCA chem rec Schwarz'!R7))+('S1.2.1 mass flows'!G5*('S3.1 LCA data coll,sort,transp'!$F$9+'S4.1 LCA chem rec Schwarz'!T7)+'S1.2.1 mass flows'!K5*('S3.1 LCA data coll,sort,transp'!$F$10+'S4.1 LCA chem rec Schwarz'!T7))</f>
        <v>-44741.76919501651</v>
      </c>
      <c r="M5" s="87">
        <f>AVERAGE(K5:L5)</f>
        <v>-49156.288568863107</v>
      </c>
      <c r="N5" s="66">
        <f t="shared" ref="N5:P6" si="0">B5</f>
        <v>-87657.444152818265</v>
      </c>
      <c r="O5" s="66">
        <f t="shared" si="0"/>
        <v>-48898.007570977803</v>
      </c>
      <c r="P5" s="88">
        <f t="shared" si="0"/>
        <v>-68277.725861898041</v>
      </c>
      <c r="R5" s="89">
        <f>'S1.2.1 mass flows'!E5*'S3.2 LCA data waste-to-energy'!D9</f>
        <v>24733.407539279535</v>
      </c>
      <c r="T5" s="55"/>
    </row>
    <row r="6" spans="1:20" ht="21" x14ac:dyDescent="0.35">
      <c r="A6" s="90" t="s">
        <v>19</v>
      </c>
      <c r="B6" s="91">
        <f>SUM('S1.2.1 mass flows'!G6:H6)*('S3.1 LCA data coll,sort,transp'!$C$9+'S4.1 LCA chem rec Schwarz'!L8)+SUM('S1.2.1 mass flows'!K6:L6)*('S3.1 LCA data coll,sort,transp'!$C$10+'S4.1 LCA chem rec Schwarz'!L8)</f>
        <v>-95613.376099344925</v>
      </c>
      <c r="C6" s="92">
        <f>SUM('S1.2.1 mass flows'!G6:H6)*('S3.1 LCA data coll,sort,transp'!$C$9+'S4.1 LCA chem rec Schwarz'!M8)+SUM('S1.2.1 mass flows'!K6:L6)*('S3.1 LCA data coll,sort,transp'!$C$10+'S4.1 LCA chem rec Schwarz'!M8)</f>
        <v>-56726.755122416624</v>
      </c>
      <c r="D6" s="93">
        <f>SUM('S1.2.1 mass flows'!G6:H6)*('S3.1 LCA data coll,sort,transp'!$C$9+'S4.1 LCA chem rec Schwarz'!N8)+SUM('S1.2.1 mass flows'!K6:L6)*('S3.1 LCA data coll,sort,transp'!$C$10+'S4.1 LCA chem rec Schwarz'!N8)</f>
        <v>-76170.065610880789</v>
      </c>
      <c r="E6" s="91">
        <f>SUM('S1.2.1 mass flows'!G6:H6)*('S3.1 LCA data coll,sort,transp'!$D$9+'S4.1 LCA chem rec Schwarz'!O8)+SUM('S1.2.1 mass flows'!K6:L6)*('S3.1 LCA data coll,sort,transp'!$D$10+'S4.1 LCA chem rec Schwarz'!O8)</f>
        <v>-73550.063804350793</v>
      </c>
      <c r="F6" s="92">
        <f>SUM('S1.2.1 mass flows'!G6:H6)*('S3.1 LCA data coll,sort,transp'!$D$9+'S4.1 LCA chem rec Schwarz'!Q8)+SUM('S1.2.1 mass flows'!K6:L6)*('S3.1 LCA data coll,sort,transp'!$D$10+'S4.1 LCA chem rec Schwarz'!Q8)</f>
        <v>-41144.546323577182</v>
      </c>
      <c r="G6" s="93">
        <f>SUM('S1.2.1 mass flows'!G6:H6)*('S3.1 LCA data coll,sort,transp'!$D$9+'S4.1 LCA chem rec Schwarz'!R8)+SUM('S1.2.1 mass flows'!K6:L6)*('S3.1 LCA data coll,sort,transp'!$D$10+'S4.1 LCA chem rec Schwarz'!R8)</f>
        <v>-57347.305063963984</v>
      </c>
      <c r="H6" s="94">
        <f>K6</f>
        <v>-63497.170101502234</v>
      </c>
      <c r="I6" s="94">
        <f>L6</f>
        <v>-55264.834716983816</v>
      </c>
      <c r="J6" s="94">
        <f t="shared" ref="J6:J15" si="1">AVERAGE(H6:I6)</f>
        <v>-59381.002409243025</v>
      </c>
      <c r="K6" s="95">
        <f>('S1.2.1 mass flows'!H6*('S3.1 LCA data coll,sort,transp'!$C$9+'S4.1 LCA chem rec Schwarz'!N8)+'S1.2.1 mass flows'!L6*('S3.1 LCA data coll,sort,transp'!$C$10+'S4.1 LCA chem rec Schwarz'!N8))+('S1.2.1 mass flows'!G6*('S3.1 LCA data coll,sort,transp'!$F$9+'S4.1 LCA chem rec Schwarz'!T8)+'S1.2.1 mass flows'!K6*('S3.1 LCA data coll,sort,transp'!$F$10+'S4.1 LCA chem rec Schwarz'!T8))</f>
        <v>-63497.170101502234</v>
      </c>
      <c r="L6" s="96">
        <f>('S1.2.1 mass flows'!H6*('S3.1 LCA data coll,sort,transp'!$D$9+'S4.1 LCA chem rec Schwarz'!R8)+'S1.2.1 mass flows'!L6*('S3.1 LCA data coll,sort,transp'!$D$10+'S4.1 LCA chem rec Schwarz'!R8))+('S1.2.1 mass flows'!G6*('S3.1 LCA data coll,sort,transp'!$F$9+'S4.1 LCA chem rec Schwarz'!T8)+'S1.2.1 mass flows'!K6*('S3.1 LCA data coll,sort,transp'!$F$10+'S4.1 LCA chem rec Schwarz'!T8))</f>
        <v>-55264.834716983816</v>
      </c>
      <c r="M6" s="97">
        <f t="shared" ref="M6:M15" si="2">AVERAGE(K6:L6)</f>
        <v>-59381.002409243025</v>
      </c>
      <c r="N6" s="66">
        <f t="shared" si="0"/>
        <v>-95613.376099344925</v>
      </c>
      <c r="O6" s="66">
        <f t="shared" si="0"/>
        <v>-56726.755122416624</v>
      </c>
      <c r="P6" s="88">
        <f t="shared" si="0"/>
        <v>-76170.065610880789</v>
      </c>
      <c r="R6" s="98">
        <f>'S1.2.1 mass flows'!E6*'S3.2 LCA data waste-to-energy'!D10</f>
        <v>20772.792483897098</v>
      </c>
    </row>
    <row r="7" spans="1:20" ht="21" x14ac:dyDescent="0.35">
      <c r="A7" s="90" t="s">
        <v>20</v>
      </c>
      <c r="B7" s="91">
        <f>SUM('S1.2.1 mass flows'!G7:H7)*('S3.1 LCA data coll,sort,transp'!$C$9+'S4.1 LCA chem rec Schwarz'!L9)+SUM('S1.2.1 mass flows'!K7:L7)*('S3.1 LCA data coll,sort,transp'!$C$10+'S4.1 LCA chem rec Schwarz'!L9)</f>
        <v>-20862.832983874592</v>
      </c>
      <c r="C7" s="92">
        <f>SUM('S1.2.1 mass flows'!G7:H7)*('S3.1 LCA data coll,sort,transp'!$C$9+'S4.1 LCA chem rec Schwarz'!M9)+SUM('S1.2.1 mass flows'!K7:L7)*('S3.1 LCA data coll,sort,transp'!$C$10+'S4.1 LCA chem rec Schwarz'!M9)</f>
        <v>20722.329143449329</v>
      </c>
      <c r="D7" s="93">
        <f>SUM('S1.2.1 mass flows'!G7:H7)*('S3.1 LCA data coll,sort,transp'!$C$9+'S4.1 LCA chem rec Schwarz'!N9)+SUM('S1.2.1 mass flows'!K7:L7)*('S3.1 LCA data coll,sort,transp'!$C$10+'S4.1 LCA chem rec Schwarz'!N9)</f>
        <v>-70.251920212631376</v>
      </c>
      <c r="E7" s="91">
        <f>SUM('S1.2.1 mass flows'!G7:H7)*('S3.1 LCA data coll,sort,transp'!$D$9+'S4.1 LCA chem rec Schwarz'!O9)+SUM('S1.2.1 mass flows'!K7:L7)*('S3.1 LCA data coll,sort,transp'!$D$10+'S4.1 LCA chem rec Schwarz'!O9)</f>
        <v>-3670.4360311195815</v>
      </c>
      <c r="F7" s="92">
        <f>SUM('S1.2.1 mass flows'!G7:H7)*('S3.1 LCA data coll,sort,transp'!$D$9+'S4.1 LCA chem rec Schwarz'!Q9)+SUM('S1.2.1 mass flows'!K7:L7)*('S3.1 LCA data coll,sort,transp'!$D$10+'S4.1 LCA chem rec Schwarz'!Q9)</f>
        <v>26033.251202683234</v>
      </c>
      <c r="G7" s="93">
        <f>SUM('S1.2.1 mass flows'!G7:H7)*('S3.1 LCA data coll,sort,transp'!$D$9+'S4.1 LCA chem rec Schwarz'!R9)+SUM('S1.2.1 mass flows'!K7:L7)*('S3.1 LCA data coll,sort,transp'!$D$10+'S4.1 LCA chem rec Schwarz'!R9)</f>
        <v>8211.0388624015468</v>
      </c>
      <c r="H7" s="96">
        <f>('S1.2.1 mass flows'!H7*('S3.1 LCA data coll,sort,transp'!$C$9+'S4.1 LCA chem rec Schwarz'!N9)+'S1.2.1 mass flows'!L7*('S3.1 LCA data coll,sort,transp'!$C$10+'S4.1 LCA chem rec Schwarz'!N9))+('S1.2.1 mass flows'!G7*('S3.1 LCA data coll,sort,transp'!$E$9+'S4.1 LCA chem rec Schwarz'!S9)+'S1.2.1 mass flows'!K7*('S3.1 LCA data coll,sort,transp'!$E$10+'S4.1 LCA chem rec Schwarz'!S9))</f>
        <v>-56150.297546369133</v>
      </c>
      <c r="I7" s="96">
        <f>('S1.2.1 mass flows'!H7*('S3.1 LCA data coll,sort,transp'!$D$9+'S4.1 LCA chem rec Schwarz'!R9)+'S1.2.1 mass flows'!L7*('S3.1 LCA data coll,sort,transp'!$D$10+'S4.1 LCA chem rec Schwarz'!R9))+('S1.2.1 mass flows'!G7*('S3.1 LCA data coll,sort,transp'!$E$9+'S4.1 LCA chem rec Schwarz'!S9)+'S1.2.1 mass flows'!K7*('S3.1 LCA data coll,sort,transp'!$E$10+'S4.1 LCA chem rec Schwarz'!S9))</f>
        <v>-52576.486003836042</v>
      </c>
      <c r="J7" s="96">
        <f>AVERAGE(H7:I7)</f>
        <v>-54363.391775102587</v>
      </c>
      <c r="K7" s="95">
        <f>('S1.2.1 mass flows'!H7*('S3.1 LCA data coll,sort,transp'!$C$9+'S4.1 LCA chem rec Schwarz'!N9)+'S1.2.1 mass flows'!L7*('S3.1 LCA data coll,sort,transp'!$C$10+'S4.1 LCA chem rec Schwarz'!N9))+('S1.2.1 mass flows'!G7*('S3.1 LCA data coll,sort,transp'!$F$9+'S4.1 LCA chem rec Schwarz'!T9)+'S1.2.1 mass flows'!K7*('S3.1 LCA data coll,sort,transp'!$F$10+'S4.1 LCA chem rec Schwarz'!T9))</f>
        <v>-22247.841062388557</v>
      </c>
      <c r="L7" s="96">
        <f>('S1.2.1 mass flows'!H7*('S3.1 LCA data coll,sort,transp'!$D$9+'S4.1 LCA chem rec Schwarz'!R9)+'S1.2.1 mass flows'!L7*('S3.1 LCA data coll,sort,transp'!$D$10+'S4.1 LCA chem rec Schwarz'!R9))+('S1.2.1 mass flows'!G7*('S3.1 LCA data coll,sort,transp'!$F$9+'S4.1 LCA chem rec Schwarz'!T9)+'S1.2.1 mass flows'!K7*('S3.1 LCA data coll,sort,transp'!$F$10+'S4.1 LCA chem rec Schwarz'!T9))</f>
        <v>-18674.029519855467</v>
      </c>
      <c r="M7" s="97">
        <f t="shared" si="2"/>
        <v>-20460.935291122012</v>
      </c>
      <c r="N7" s="61">
        <f>H7</f>
        <v>-56150.297546369133</v>
      </c>
      <c r="O7" s="61">
        <f>I7</f>
        <v>-52576.486003836042</v>
      </c>
      <c r="P7" s="88">
        <f>J7</f>
        <v>-54363.391775102587</v>
      </c>
      <c r="R7" s="98">
        <f>'S1.2.1 mass flows'!E7*'S3.2 LCA data waste-to-energy'!D11</f>
        <v>14569.424516866598</v>
      </c>
    </row>
    <row r="8" spans="1:20" ht="21" x14ac:dyDescent="0.35">
      <c r="A8" s="90" t="s">
        <v>21</v>
      </c>
      <c r="B8" s="91">
        <f>SUM('S1.2.1 mass flows'!G8:H8)*('S3.1 LCA data coll,sort,transp'!$C$9+'S4.1 LCA chem rec Schwarz'!L10)+SUM('S1.2.1 mass flows'!K8:L8)*('S3.1 LCA data coll,sort,transp'!$C$10+'S4.1 LCA chem rec Schwarz'!L10)</f>
        <v>-148390.07525703218</v>
      </c>
      <c r="C8" s="92">
        <f>SUM('S1.2.1 mass flows'!G8:H8)*('S3.1 LCA data coll,sort,transp'!$C$9+'S4.1 LCA chem rec Schwarz'!M10)+SUM('S1.2.1 mass flows'!K8:L8)*('S3.1 LCA data coll,sort,transp'!$C$10+'S4.1 LCA chem rec Schwarz'!M10)</f>
        <v>-88352.475286262372</v>
      </c>
      <c r="D8" s="93">
        <f>SUM('S1.2.1 mass flows'!G8:H8)*('S3.1 LCA data coll,sort,transp'!$C$9+'S4.1 LCA chem rec Schwarz'!N10)+SUM('S1.2.1 mass flows'!K8:L8)*('S3.1 LCA data coll,sort,transp'!$C$10+'S4.1 LCA chem rec Schwarz'!N10)</f>
        <v>-118371.27527164728</v>
      </c>
      <c r="E8" s="91">
        <f>SUM('S1.2.1 mass flows'!G8:H8)*('S3.1 LCA data coll,sort,transp'!$D$9+'S4.1 LCA chem rec Schwarz'!O10)+SUM('S1.2.1 mass flows'!K8:L8)*('S3.1 LCA data coll,sort,transp'!$D$10+'S4.1 LCA chem rec Schwarz'!O10)</f>
        <v>-113579.60566804533</v>
      </c>
      <c r="F8" s="92">
        <f>SUM('S1.2.1 mass flows'!G8:H8)*('S3.1 LCA data coll,sort,transp'!$D$9+'S4.1 LCA chem rec Schwarz'!Q10)+SUM('S1.2.1 mass flows'!K8:L8)*('S3.1 LCA data coll,sort,transp'!$D$10+'S4.1 LCA chem rec Schwarz'!Q10)</f>
        <v>-41534.48570312158</v>
      </c>
      <c r="G8" s="93">
        <f>SUM('S1.2.1 mass flows'!G8:H8)*('S3.1 LCA data coll,sort,transp'!$D$9+'S4.1 LCA chem rec Schwarz'!R10)+SUM('S1.2.1 mass flows'!K8:L8)*('S3.1 LCA data coll,sort,transp'!$D$10+'S4.1 LCA chem rec Schwarz'!R10)</f>
        <v>-77557.045685583464</v>
      </c>
      <c r="H8" s="94">
        <f t="shared" ref="H8:I12" si="3">K8</f>
        <v>-94781.175847409002</v>
      </c>
      <c r="I8" s="94">
        <f t="shared" si="3"/>
        <v>-77081.062933138048</v>
      </c>
      <c r="J8" s="94">
        <f>AVERAGE(H8:I8)</f>
        <v>-85931.119390273525</v>
      </c>
      <c r="K8" s="95">
        <f>('S1.2.1 mass flows'!H8*('S3.1 LCA data coll,sort,transp'!$C$9+'S4.1 LCA chem rec Schwarz'!N10)+'S1.2.1 mass flows'!L8*('S3.1 LCA data coll,sort,transp'!$C$10+'S4.1 LCA chem rec Schwarz'!N10))+('S1.2.1 mass flows'!G8*('S3.1 LCA data coll,sort,transp'!$F$9+'S4.1 LCA chem rec Schwarz'!T10)+'S1.2.1 mass flows'!K8*('S3.1 LCA data coll,sort,transp'!$F$10+'S4.1 LCA chem rec Schwarz'!T10))</f>
        <v>-94781.175847409002</v>
      </c>
      <c r="L8" s="96">
        <f>('S1.2.1 mass flows'!H8*('S3.1 LCA data coll,sort,transp'!$D$9+'S4.1 LCA chem rec Schwarz'!R10)+'S1.2.1 mass flows'!L8*('S3.1 LCA data coll,sort,transp'!$D$10+'S4.1 LCA chem rec Schwarz'!R10))+('S1.2.1 mass flows'!G8*('S3.1 LCA data coll,sort,transp'!$F$9+'S4.1 LCA chem rec Schwarz'!T10)+'S1.2.1 mass flows'!K8*('S3.1 LCA data coll,sort,transp'!$F$10+'S4.1 LCA chem rec Schwarz'!T10))</f>
        <v>-77081.062933138048</v>
      </c>
      <c r="M8" s="97">
        <f t="shared" si="2"/>
        <v>-85931.119390273525</v>
      </c>
      <c r="N8" s="66">
        <f>B8</f>
        <v>-148390.07525703218</v>
      </c>
      <c r="O8" s="66">
        <f>C8</f>
        <v>-88352.475286262372</v>
      </c>
      <c r="P8" s="99">
        <f>D8</f>
        <v>-118371.27527164728</v>
      </c>
      <c r="R8" s="98">
        <f>'S1.2.1 mass flows'!E8*'S3.2 LCA data waste-to-energy'!D12</f>
        <v>34474.389050313373</v>
      </c>
    </row>
    <row r="9" spans="1:20" ht="21" x14ac:dyDescent="0.35">
      <c r="A9" s="90" t="s">
        <v>22</v>
      </c>
      <c r="B9" s="91">
        <f>SUM('S1.2.1 mass flows'!G9:H9)*('S3.1 LCA data coll,sort,transp'!$C$9+'S4.1 LCA chem rec Schwarz'!L11)+SUM('S1.2.1 mass flows'!K9:L9)*('S3.1 LCA data coll,sort,transp'!$C$10+'S4.1 LCA chem rec Schwarz'!L11)</f>
        <v>-79540.34017840591</v>
      </c>
      <c r="C9" s="92">
        <f>SUM('S1.2.1 mass flows'!G9:H9)*('S3.1 LCA data coll,sort,transp'!$C$9+'S4.1 LCA chem rec Schwarz'!M11)+SUM('S1.2.1 mass flows'!K9:L9)*('S3.1 LCA data coll,sort,transp'!$C$10+'S4.1 LCA chem rec Schwarz'!M11)</f>
        <v>-5186.8253283235754</v>
      </c>
      <c r="D9" s="93">
        <f>SUM('S1.2.1 mass flows'!G9:H9)*('S3.1 LCA data coll,sort,transp'!$C$9+'S4.1 LCA chem rec Schwarz'!N11)+SUM('S1.2.1 mass flows'!K9:L9)*('S3.1 LCA data coll,sort,transp'!$C$10+'S4.1 LCA chem rec Schwarz'!N11)</f>
        <v>-42363.582753364739</v>
      </c>
      <c r="E9" s="91">
        <f>SUM('S1.2.1 mass flows'!G9:H9)*('S3.1 LCA data coll,sort,transp'!$D$9+'S4.1 LCA chem rec Schwarz'!O11)+SUM('S1.2.1 mass flows'!K9:L9)*('S3.1 LCA data coll,sort,transp'!$D$10+'S4.1 LCA chem rec Schwarz'!O11)</f>
        <v>-136046.22495659359</v>
      </c>
      <c r="F9" s="92">
        <f>SUM('S1.2.1 mass flows'!G9:H9)*('S3.1 LCA data coll,sort,transp'!$D$9+'S4.1 LCA chem rec Schwarz'!Q11)+SUM('S1.2.1 mass flows'!K9:L9)*('S3.1 LCA data coll,sort,transp'!$D$10+'S4.1 LCA chem rec Schwarz'!Q11)</f>
        <v>-18319.826443963258</v>
      </c>
      <c r="G9" s="93">
        <f>SUM('S1.2.1 mass flows'!G9:H9)*('S3.1 LCA data coll,sort,transp'!$D$9+'S4.1 LCA chem rec Schwarz'!R11)+SUM('S1.2.1 mass flows'!K9:L9)*('S3.1 LCA data coll,sort,transp'!$D$10+'S4.1 LCA chem rec Schwarz'!R11)</f>
        <v>-63758.085519013555</v>
      </c>
      <c r="H9" s="94">
        <f t="shared" si="3"/>
        <v>-83863.843421709447</v>
      </c>
      <c r="I9" s="94">
        <f t="shared" si="3"/>
        <v>-92840.911850191362</v>
      </c>
      <c r="J9" s="94">
        <f t="shared" si="1"/>
        <v>-88352.377635950397</v>
      </c>
      <c r="K9" s="95">
        <f>('S1.2.1 mass flows'!H9*('S3.1 LCA data coll,sort,transp'!$C$9+'S4.1 LCA chem rec Schwarz'!N11)+'S1.2.1 mass flows'!L9*('S3.1 LCA data coll,sort,transp'!$C$10+'S4.1 LCA chem rec Schwarz'!N11))+('S1.2.1 mass flows'!G9*('S3.1 LCA data coll,sort,transp'!$F$9+'S4.1 LCA chem rec Schwarz'!T11)+'S1.2.1 mass flows'!K9*('S3.1 LCA data coll,sort,transp'!$F$10+'S4.1 LCA chem rec Schwarz'!T11))</f>
        <v>-83863.843421709447</v>
      </c>
      <c r="L9" s="96">
        <f>('S1.2.1 mass flows'!H9*('S3.1 LCA data coll,sort,transp'!$D$9+'S4.1 LCA chem rec Schwarz'!R11)+'S1.2.1 mass flows'!L9*('S3.1 LCA data coll,sort,transp'!$D$10+'S4.1 LCA chem rec Schwarz'!R11))+('S1.2.1 mass flows'!G9*('S3.1 LCA data coll,sort,transp'!$F$9+'S4.1 LCA chem rec Schwarz'!T11)+'S1.2.1 mass flows'!K9*('S3.1 LCA data coll,sort,transp'!$F$10+'S4.1 LCA chem rec Schwarz'!T11))</f>
        <v>-92840.911850191362</v>
      </c>
      <c r="M9" s="97">
        <f t="shared" si="2"/>
        <v>-88352.377635950397</v>
      </c>
      <c r="N9" s="66">
        <f t="shared" ref="N9:P12" si="4">K9</f>
        <v>-83863.843421709447</v>
      </c>
      <c r="O9" s="66">
        <f t="shared" si="4"/>
        <v>-92840.911850191362</v>
      </c>
      <c r="P9" s="99">
        <f>M9</f>
        <v>-88352.377635950397</v>
      </c>
      <c r="R9" s="98">
        <f>'S1.2.1 mass flows'!E9*'S3.2 LCA data waste-to-energy'!D13</f>
        <v>26612.257668786464</v>
      </c>
    </row>
    <row r="10" spans="1:20" ht="21" x14ac:dyDescent="0.35">
      <c r="A10" s="90" t="s">
        <v>23</v>
      </c>
      <c r="B10" s="91">
        <f>SUM('S1.2.1 mass flows'!G10:H10)*('S3.1 LCA data coll,sort,transp'!$C$9+'S4.1 LCA chem rec Schwarz'!L12)+SUM('S1.2.1 mass flows'!K10:L10)*('S3.1 LCA data coll,sort,transp'!$C$10+'S4.1 LCA chem rec Schwarz'!L12)</f>
        <v>-34341.325308100881</v>
      </c>
      <c r="C10" s="92">
        <f>SUM('S1.2.1 mass flows'!G10:H10)*('S3.1 LCA data coll,sort,transp'!$C$9+'S4.1 LCA chem rec Schwarz'!M12)+SUM('S1.2.1 mass flows'!K10:L10)*('S3.1 LCA data coll,sort,transp'!$C$10+'S4.1 LCA chem rec Schwarz'!M12)</f>
        <v>-34341.325308100881</v>
      </c>
      <c r="D10" s="93">
        <f>SUM('S1.2.1 mass flows'!G10:H10)*('S3.1 LCA data coll,sort,transp'!$C$9+'S4.1 LCA chem rec Schwarz'!N12)+SUM('S1.2.1 mass flows'!K10:L10)*('S3.1 LCA data coll,sort,transp'!$C$10+'S4.1 LCA chem rec Schwarz'!N12)</f>
        <v>-34341.325308100881</v>
      </c>
      <c r="E10" s="91">
        <f>SUM('S1.2.1 mass flows'!G10:H10)*('S3.1 LCA data coll,sort,transp'!$D$9+'S4.1 LCA chem rec Schwarz'!O12)+SUM('S1.2.1 mass flows'!K10:L10)*('S3.1 LCA data coll,sort,transp'!$D$10+'S4.1 LCA chem rec Schwarz'!O12)</f>
        <v>-23411.548917156593</v>
      </c>
      <c r="F10" s="92">
        <f>SUM('S1.2.1 mass flows'!G10:H10)*('S3.1 LCA data coll,sort,transp'!$D$9+'S4.1 LCA chem rec Schwarz'!Q12)+SUM('S1.2.1 mass flows'!K10:L10)*('S3.1 LCA data coll,sort,transp'!$D$10+'S4.1 LCA chem rec Schwarz'!Q12)</f>
        <v>-35041.274201182248</v>
      </c>
      <c r="G10" s="93">
        <f>SUM('S1.2.1 mass flows'!G10:H10)*('S3.1 LCA data coll,sort,transp'!$D$9+'S4.1 LCA chem rec Schwarz'!R12)+SUM('S1.2.1 mass flows'!K10:L10)*('S3.1 LCA data coll,sort,transp'!$D$10+'S4.1 LCA chem rec Schwarz'!R12)</f>
        <v>-29226.411559169421</v>
      </c>
      <c r="H10" s="94">
        <f t="shared" si="3"/>
        <v>-51395.848135697692</v>
      </c>
      <c r="I10" s="94">
        <f t="shared" si="3"/>
        <v>-49235.028967311402</v>
      </c>
      <c r="J10" s="94">
        <f t="shared" si="1"/>
        <v>-50315.438551504543</v>
      </c>
      <c r="K10" s="95">
        <f>('S1.2.1 mass flows'!H10*('S3.1 LCA data coll,sort,transp'!$C$9+'S4.1 LCA chem rec Schwarz'!N12)+'S1.2.1 mass flows'!L10*('S3.1 LCA data coll,sort,transp'!$C$10+'S4.1 LCA chem rec Schwarz'!N12))+('S1.2.1 mass flows'!G10*('S3.1 LCA data coll,sort,transp'!$F$9+'S4.1 LCA chem rec Schwarz'!T12)+'S1.2.1 mass flows'!K10*('S3.1 LCA data coll,sort,transp'!$F$10+'S4.1 LCA chem rec Schwarz'!T12))</f>
        <v>-51395.848135697692</v>
      </c>
      <c r="L10" s="96">
        <f>('S1.2.1 mass flows'!H10*('S3.1 LCA data coll,sort,transp'!$D$9+'S4.1 LCA chem rec Schwarz'!R12)+'S1.2.1 mass flows'!L10*('S3.1 LCA data coll,sort,transp'!$D$10+'S4.1 LCA chem rec Schwarz'!R12))+('S1.2.1 mass flows'!G10*('S3.1 LCA data coll,sort,transp'!$F$9+'S4.1 LCA chem rec Schwarz'!T12)+'S1.2.1 mass flows'!K10*('S3.1 LCA data coll,sort,transp'!$F$10+'S4.1 LCA chem rec Schwarz'!T12))</f>
        <v>-49235.028967311402</v>
      </c>
      <c r="M10" s="97">
        <f t="shared" si="2"/>
        <v>-50315.438551504543</v>
      </c>
      <c r="N10" s="66">
        <f t="shared" si="4"/>
        <v>-51395.848135697692</v>
      </c>
      <c r="O10" s="66">
        <f t="shared" si="4"/>
        <v>-49235.028967311402</v>
      </c>
      <c r="P10" s="99">
        <f>M10</f>
        <v>-50315.438551504543</v>
      </c>
      <c r="R10" s="98">
        <f>'S1.2.1 mass flows'!E10*'S3.2 LCA data waste-to-energy'!D14</f>
        <v>14432.405979486166</v>
      </c>
    </row>
    <row r="11" spans="1:20" ht="21" x14ac:dyDescent="0.35">
      <c r="A11" s="90" t="s">
        <v>24</v>
      </c>
      <c r="B11" s="91">
        <f>SUM('S1.2.1 mass flows'!G11:H11)*('S3.1 LCA data coll,sort,transp'!$C$9+'S4.1 LCA chem rec Schwarz'!L13)+SUM('S1.2.1 mass flows'!K11:L11)*('S3.1 LCA data coll,sort,transp'!$C$10+'S4.1 LCA chem rec Schwarz'!L13)</f>
        <v>-12046.312778522899</v>
      </c>
      <c r="C11" s="92">
        <f>SUM('S1.2.1 mass flows'!G11:H11)*('S3.1 LCA data coll,sort,transp'!$C$9+'S4.1 LCA chem rec Schwarz'!M13)+SUM('S1.2.1 mass flows'!K11:L11)*('S3.1 LCA data coll,sort,transp'!$C$10+'S4.1 LCA chem rec Schwarz'!M13)</f>
        <v>-1901.2524376797135</v>
      </c>
      <c r="D11" s="93">
        <f>SUM('S1.2.1 mass flows'!G11:H11)*('S3.1 LCA data coll,sort,transp'!$C$9+'S4.1 LCA chem rec Schwarz'!N13)+SUM('S1.2.1 mass flows'!K11:L11)*('S3.1 LCA data coll,sort,transp'!$C$10+'S4.1 LCA chem rec Schwarz'!N13)</f>
        <v>-6973.7826081013063</v>
      </c>
      <c r="E11" s="91">
        <f>SUM('S1.2.1 mass flows'!G11:H11)*('S3.1 LCA data coll,sort,transp'!$D$9+'S4.1 LCA chem rec Schwarz'!O13)+SUM('S1.2.1 mass flows'!K11:L11)*('S3.1 LCA data coll,sort,transp'!$D$10+'S4.1 LCA chem rec Schwarz'!O13)</f>
        <v>-7063.3988743509599</v>
      </c>
      <c r="F11" s="92">
        <f>SUM('S1.2.1 mass flows'!G11:H11)*('S3.1 LCA data coll,sort,transp'!$D$9+'S4.1 LCA chem rec Schwarz'!Q13)+SUM('S1.2.1 mass flows'!K11:L11)*('S3.1 LCA data coll,sort,transp'!$D$10+'S4.1 LCA chem rec Schwarz'!Q13)</f>
        <v>-3681.7120940698951</v>
      </c>
      <c r="G11" s="93">
        <f>SUM('S1.2.1 mass flows'!G11:H11)*('S3.1 LCA data coll,sort,transp'!$D$9+'S4.1 LCA chem rec Schwarz'!R13)+SUM('S1.2.1 mass flows'!K11:L11)*('S3.1 LCA data coll,sort,transp'!$D$10+'S4.1 LCA chem rec Schwarz'!R13)</f>
        <v>-6499.7844109707839</v>
      </c>
      <c r="H11" s="94">
        <f t="shared" si="3"/>
        <v>-28688.283939020272</v>
      </c>
      <c r="I11" s="94">
        <f t="shared" si="3"/>
        <v>-28462.2379396633</v>
      </c>
      <c r="J11" s="94">
        <f t="shared" si="1"/>
        <v>-28575.260939341788</v>
      </c>
      <c r="K11" s="95">
        <f>('S1.2.1 mass flows'!H11*('S3.1 LCA data coll,sort,transp'!$C$9+'S4.1 LCA chem rec Schwarz'!N13)+'S1.2.1 mass flows'!L11*('S3.1 LCA data coll,sort,transp'!$C$10+'S4.1 LCA chem rec Schwarz'!N13))+('S1.2.1 mass flows'!G11*('S3.1 LCA data coll,sort,transp'!$F$9+'S4.1 LCA chem rec Schwarz'!T13)+'S1.2.1 mass flows'!K11*('S3.1 LCA data coll,sort,transp'!$F$10+'S4.1 LCA chem rec Schwarz'!T13))</f>
        <v>-28688.283939020272</v>
      </c>
      <c r="L11" s="96">
        <f>('S1.2.1 mass flows'!H11*('S3.1 LCA data coll,sort,transp'!$D$9+'S4.1 LCA chem rec Schwarz'!R13)+'S1.2.1 mass flows'!L11*('S3.1 LCA data coll,sort,transp'!$D$10+'S4.1 LCA chem rec Schwarz'!R13))+('S1.2.1 mass flows'!G11*('S3.1 LCA data coll,sort,transp'!$F$9+'S4.1 LCA chem rec Schwarz'!T13)+'S1.2.1 mass flows'!K11*('S3.1 LCA data coll,sort,transp'!$F$10+'S4.1 LCA chem rec Schwarz'!T13))</f>
        <v>-28462.2379396633</v>
      </c>
      <c r="M11" s="97">
        <f t="shared" si="2"/>
        <v>-28575.260939341788</v>
      </c>
      <c r="N11" s="66">
        <f t="shared" si="4"/>
        <v>-28688.283939020272</v>
      </c>
      <c r="O11" s="66">
        <f t="shared" si="4"/>
        <v>-28462.2379396633</v>
      </c>
      <c r="P11" s="99">
        <f t="shared" si="4"/>
        <v>-28575.260939341788</v>
      </c>
      <c r="R11" s="98">
        <f>'S1.2.1 mass flows'!E11*'S3.2 LCA data waste-to-energy'!D15</f>
        <v>3107.6285362844164</v>
      </c>
    </row>
    <row r="12" spans="1:20" ht="21" x14ac:dyDescent="0.35">
      <c r="A12" s="90" t="s">
        <v>25</v>
      </c>
      <c r="B12" s="91">
        <f>SUM('S1.2.1 mass flows'!G12:H12)*('S3.1 LCA data coll,sort,transp'!$C$9+'S4.1 LCA chem rec Schwarz'!L14)+SUM('S1.2.1 mass flows'!K12:L12)*('S3.1 LCA data coll,sort,transp'!$C$10+'S4.1 LCA chem rec Schwarz'!L14)</f>
        <v>-9108.7067340286321</v>
      </c>
      <c r="C12" s="92">
        <f>SUM('S1.2.1 mass flows'!G12:H12)*('S3.1 LCA data coll,sort,transp'!$C$9+'S4.1 LCA chem rec Schwarz'!M14)+SUM('S1.2.1 mass flows'!K12:L12)*('S3.1 LCA data coll,sort,transp'!$C$10+'S4.1 LCA chem rec Schwarz'!M14)</f>
        <v>-858.28595294553008</v>
      </c>
      <c r="D12" s="93">
        <f>SUM('S1.2.1 mass flows'!G12:H12)*('S3.1 LCA data coll,sort,transp'!$C$9+'S4.1 LCA chem rec Schwarz'!N14)+SUM('S1.2.1 mass flows'!K12:L12)*('S3.1 LCA data coll,sort,transp'!$C$10+'S4.1 LCA chem rec Schwarz'!N14)</f>
        <v>-4983.4963434870797</v>
      </c>
      <c r="E12" s="91">
        <f>SUM('S1.2.1 mass flows'!G12:H12)*('S3.1 LCA data coll,sort,transp'!$D$9+'S4.1 LCA chem rec Schwarz'!O14)+SUM('S1.2.1 mass flows'!K12:L12)*('S3.1 LCA data coll,sort,transp'!$D$10+'S4.1 LCA chem rec Schwarz'!O14)</f>
        <v>-15128.296308774996</v>
      </c>
      <c r="F12" s="92">
        <f>SUM('S1.2.1 mass flows'!G12:H12)*('S3.1 LCA data coll,sort,transp'!$D$9+'S4.1 LCA chem rec Schwarz'!Q14)+SUM('S1.2.1 mass flows'!K12:L12)*('S3.1 LCA data coll,sort,transp'!$D$10+'S4.1 LCA chem rec Schwarz'!Q14)</f>
        <v>-2377.6460107374783</v>
      </c>
      <c r="G12" s="93">
        <f>SUM('S1.2.1 mass flows'!G12:H12)*('S3.1 LCA data coll,sort,transp'!$D$9+'S4.1 LCA chem rec Schwarz'!R14)+SUM('S1.2.1 mass flows'!K12:L12)*('S3.1 LCA data coll,sort,transp'!$D$10+'S4.1 LCA chem rec Schwarz'!R14)</f>
        <v>-7377.9010295757207</v>
      </c>
      <c r="H12" s="94">
        <f t="shared" si="3"/>
        <v>-9428.5238534595137</v>
      </c>
      <c r="I12" s="94">
        <f t="shared" si="3"/>
        <v>-10583.088120104341</v>
      </c>
      <c r="J12" s="94">
        <f t="shared" si="1"/>
        <v>-10005.805986781928</v>
      </c>
      <c r="K12" s="95">
        <f>('S1.2.1 mass flows'!H12*('S3.1 LCA data coll,sort,transp'!$C$9+'S4.1 LCA chem rec Schwarz'!N14)+'S1.2.1 mass flows'!L12*('S3.1 LCA data coll,sort,transp'!$C$10+'S4.1 LCA chem rec Schwarz'!N14))+('S1.2.1 mass flows'!G12*('S3.1 LCA data coll,sort,transp'!$F$9+'S4.1 LCA chem rec Schwarz'!T14)+'S1.2.1 mass flows'!K12*('S3.1 LCA data coll,sort,transp'!$F$10+'S4.1 LCA chem rec Schwarz'!T14))</f>
        <v>-9428.5238534595137</v>
      </c>
      <c r="L12" s="96">
        <f>('S1.2.1 mass flows'!H12*('S3.1 LCA data coll,sort,transp'!$D$9+'S4.1 LCA chem rec Schwarz'!R14)+'S1.2.1 mass flows'!L12*('S3.1 LCA data coll,sort,transp'!$D$10+'S4.1 LCA chem rec Schwarz'!R14))+('S1.2.1 mass flows'!G12*('S3.1 LCA data coll,sort,transp'!$F$9+'S4.1 LCA chem rec Schwarz'!T14)+'S1.2.1 mass flows'!K12*('S3.1 LCA data coll,sort,transp'!$F$10+'S4.1 LCA chem rec Schwarz'!T14))</f>
        <v>-10583.088120104341</v>
      </c>
      <c r="M12" s="97">
        <f t="shared" si="2"/>
        <v>-10005.805986781928</v>
      </c>
      <c r="N12" s="66">
        <f t="shared" si="4"/>
        <v>-9428.5238534595137</v>
      </c>
      <c r="O12" s="66">
        <f t="shared" si="4"/>
        <v>-10583.088120104341</v>
      </c>
      <c r="P12" s="99">
        <f t="shared" si="4"/>
        <v>-10005.805986781928</v>
      </c>
      <c r="R12" s="98">
        <f>'S1.2.1 mass flows'!E12*'S3.2 LCA data waste-to-energy'!D16</f>
        <v>687.99108671230329</v>
      </c>
    </row>
    <row r="13" spans="1:20" ht="21" x14ac:dyDescent="0.35">
      <c r="A13" s="90" t="s">
        <v>26</v>
      </c>
      <c r="B13" s="91">
        <f>SUM('S1.2.1 mass flows'!G13:H13)*('S3.1 LCA data coll,sort,transp'!$C$9+'S4.1 LCA chem rec Schwarz'!L15)+SUM('S1.2.1 mass flows'!K13:L13)*('S3.1 LCA data coll,sort,transp'!$C$10+'S4.1 LCA chem rec Schwarz'!L15)</f>
        <v>-20529.805752570664</v>
      </c>
      <c r="C13" s="92">
        <f>SUM('S1.2.1 mass flows'!G13:H13)*('S3.1 LCA data coll,sort,transp'!$C$9+'S4.1 LCA chem rec Schwarz'!M15)+SUM('S1.2.1 mass flows'!K13:L13)*('S3.1 LCA data coll,sort,transp'!$C$10+'S4.1 LCA chem rec Schwarz'!M15)</f>
        <v>-16625.993045452873</v>
      </c>
      <c r="D13" s="93">
        <f>SUM('S1.2.1 mass flows'!G13:H13)*('S3.1 LCA data coll,sort,transp'!$C$9+'S4.1 LCA chem rec Schwarz'!N15)+SUM('S1.2.1 mass flows'!K13:L13)*('S3.1 LCA data coll,sort,transp'!$C$10+'S4.1 LCA chem rec Schwarz'!N15)</f>
        <v>-18577.899399011767</v>
      </c>
      <c r="E13" s="91">
        <f>SUM('S1.2.1 mass flows'!G13:H13)*('S3.1 LCA data coll,sort,transp'!$D$9+'S4.1 LCA chem rec Schwarz'!O15)+SUM('S1.2.1 mass flows'!K13:L13)*('S3.1 LCA data coll,sort,transp'!$D$10+'S4.1 LCA chem rec Schwarz'!O15)</f>
        <v>-45344.810048141691</v>
      </c>
      <c r="F13" s="92">
        <f>SUM('S1.2.1 mass flows'!G13:H13)*('S3.1 LCA data coll,sort,transp'!$D$9+'S4.1 LCA chem rec Schwarz'!Q15)+SUM('S1.2.1 mass flows'!K13:L13)*('S3.1 LCA data coll,sort,transp'!$D$10+'S4.1 LCA chem rec Schwarz'!Q15)</f>
        <v>-12162.402037640437</v>
      </c>
      <c r="G13" s="93">
        <f>SUM('S1.2.1 mass flows'!G13:H13)*('S3.1 LCA data coll,sort,transp'!$D$9+'S4.1 LCA chem rec Schwarz'!R15)+SUM('S1.2.1 mass flows'!K13:L13)*('S3.1 LCA data coll,sort,transp'!$D$10+'S4.1 LCA chem rec Schwarz'!R15)</f>
        <v>-24524.475610180118</v>
      </c>
      <c r="H13" s="96">
        <f>('S1.2.1 mass flows'!H13*('S3.1 LCA data coll,sort,transp'!$C$9+'S4.1 LCA chem rec Schwarz'!N15)+'S1.2.1 mass flows'!L13*('S3.1 LCA data coll,sort,transp'!$C$10+'S4.1 LCA chem rec Schwarz'!N15))+('S1.2.1 mass flows'!G13*('S3.1 LCA data coll,sort,transp'!$E$9+'S4.1 LCA chem rec Schwarz'!S15)+'S1.2.1 mass flows'!K13*('S3.1 LCA data coll,sort,transp'!$E$10+'S4.1 LCA chem rec Schwarz'!S15))</f>
        <v>-59121.509833323107</v>
      </c>
      <c r="I13" s="96">
        <f>('S1.2.1 mass flows'!H13*('S3.1 LCA data coll,sort,transp'!$D$9+'S4.1 LCA chem rec Schwarz'!R15)+'S1.2.1 mass flows'!L13*('S3.1 LCA data coll,sort,transp'!$D$10+'S4.1 LCA chem rec Schwarz'!R15))+('S1.2.1 mass flows'!G13*('S3.1 LCA data coll,sort,transp'!$E$9+'S4.1 LCA chem rec Schwarz'!S15)+'S1.2.1 mass flows'!K13*('S3.1 LCA data coll,sort,transp'!$E$10+'S4.1 LCA chem rec Schwarz'!S15))</f>
        <v>-61813.140772383151</v>
      </c>
      <c r="J13" s="96">
        <f t="shared" si="1"/>
        <v>-60467.325302853133</v>
      </c>
      <c r="K13" s="95">
        <f>('S1.2.1 mass flows'!H13*('S3.1 LCA data coll,sort,transp'!$C$9+'S4.1 LCA chem rec Schwarz'!N15)+'S1.2.1 mass flows'!L13*('S3.1 LCA data coll,sort,transp'!$C$10+'S4.1 LCA chem rec Schwarz'!N15))+('S1.2.1 mass flows'!G13*('S3.1 LCA data coll,sort,transp'!$F$9+'S4.1 LCA chem rec Schwarz'!T15)+'S1.2.1 mass flows'!K13*('S3.1 LCA data coll,sort,transp'!$F$10+'S4.1 LCA chem rec Schwarz'!T15))</f>
        <v>-54854.268524238687</v>
      </c>
      <c r="L13" s="96">
        <f>('S1.2.1 mass flows'!H13*('S3.1 LCA data coll,sort,transp'!$D$9+'S4.1 LCA chem rec Schwarz'!R15)+'S1.2.1 mass flows'!L13*('S3.1 LCA data coll,sort,transp'!$D$10+'S4.1 LCA chem rec Schwarz'!R15))+('S1.2.1 mass flows'!G13*('S3.1 LCA data coll,sort,transp'!$F$9+'S4.1 LCA chem rec Schwarz'!T15)+'S1.2.1 mass flows'!K13*('S3.1 LCA data coll,sort,transp'!$F$10+'S4.1 LCA chem rec Schwarz'!T15))</f>
        <v>-57545.899463298731</v>
      </c>
      <c r="M13" s="97">
        <f t="shared" si="2"/>
        <v>-56200.083993768712</v>
      </c>
      <c r="N13" s="66">
        <f>H13</f>
        <v>-59121.509833323107</v>
      </c>
      <c r="O13" s="66">
        <f>I13</f>
        <v>-61813.140772383151</v>
      </c>
      <c r="P13" s="99">
        <f>J13</f>
        <v>-60467.325302853133</v>
      </c>
      <c r="R13" s="98">
        <f>'S1.2.1 mass flows'!E13*'S3.2 LCA data waste-to-energy'!D17</f>
        <v>2346.2405400061994</v>
      </c>
    </row>
    <row r="14" spans="1:20" ht="21" x14ac:dyDescent="0.35">
      <c r="A14" s="90" t="s">
        <v>27</v>
      </c>
      <c r="B14" s="91">
        <f>SUM('S1.2.1 mass flows'!G14:H14)*('S3.1 LCA data coll,sort,transp'!$C$9+'S4.1 LCA chem rec Schwarz'!L16)+SUM('S1.2.1 mass flows'!K14:L14)*('S3.1 LCA data coll,sort,transp'!$C$10+'S4.1 LCA chem rec Schwarz'!L16)</f>
        <v>-10294.824009956854</v>
      </c>
      <c r="C14" s="92">
        <f>SUM('S1.2.1 mass flows'!G14:H14)*('S3.1 LCA data coll,sort,transp'!$C$9+'S4.1 LCA chem rec Schwarz'!M16)+SUM('S1.2.1 mass flows'!K14:L14)*('S3.1 LCA data coll,sort,transp'!$C$10+'S4.1 LCA chem rec Schwarz'!M16)</f>
        <v>-3859.7498997206958</v>
      </c>
      <c r="D14" s="93">
        <f>SUM('S1.2.1 mass flows'!G14:H14)*('S3.1 LCA data coll,sort,transp'!$C$9+'S4.1 LCA chem rec Schwarz'!N16)+SUM('S1.2.1 mass flows'!K14:L14)*('S3.1 LCA data coll,sort,transp'!$C$10+'S4.1 LCA chem rec Schwarz'!N16)</f>
        <v>-7077.2869548387735</v>
      </c>
      <c r="E14" s="91">
        <f>SUM('S1.2.1 mass flows'!G14:H14)*('S3.1 LCA data coll,sort,transp'!$D$9+'S4.1 LCA chem rec Schwarz'!O16)+SUM('S1.2.1 mass flows'!K14:L14)*('S3.1 LCA data coll,sort,transp'!$D$10+'S4.1 LCA chem rec Schwarz'!O16)</f>
        <v>-8248.6068211697493</v>
      </c>
      <c r="F14" s="92">
        <f>SUM('S1.2.1 mass flows'!G14:H14)*('S3.1 LCA data coll,sort,transp'!$D$9+'S4.1 LCA chem rec Schwarz'!Q16)+SUM('S1.2.1 mass flows'!K14:L14)*('S3.1 LCA data coll,sort,transp'!$D$10+'S4.1 LCA chem rec Schwarz'!Q16)</f>
        <v>-1813.5327109335935</v>
      </c>
      <c r="G14" s="93">
        <f>SUM('S1.2.1 mass flows'!G14:H14)*('S3.1 LCA data coll,sort,transp'!$D$9+'S4.1 LCA chem rec Schwarz'!R16)+SUM('S1.2.1 mass flows'!K14:L14)*('S3.1 LCA data coll,sort,transp'!$D$10+'S4.1 LCA chem rec Schwarz'!R16)</f>
        <v>-5031.0697660516716</v>
      </c>
      <c r="H14" s="94">
        <f>K14</f>
        <v>-38405.145495830293</v>
      </c>
      <c r="I14" s="94">
        <f>L14</f>
        <v>-37503.899502807515</v>
      </c>
      <c r="J14" s="94">
        <f t="shared" si="1"/>
        <v>-37954.522499318904</v>
      </c>
      <c r="K14" s="95">
        <f>('S1.2.1 mass flows'!H14*('S3.1 LCA data coll,sort,transp'!$C$9+'S4.1 LCA chem rec Schwarz'!N16)+'S1.2.1 mass flows'!L14*('S3.1 LCA data coll,sort,transp'!$C$10+'S4.1 LCA chem rec Schwarz'!N16))+('S1.2.1 mass flows'!G14*('S3.1 LCA data coll,sort,transp'!$F$9+'S4.1 LCA chem rec Schwarz'!T16)+'S1.2.1 mass flows'!K14*('S3.1 LCA data coll,sort,transp'!$F$10+'S4.1 LCA chem rec Schwarz'!T16))</f>
        <v>-38405.145495830293</v>
      </c>
      <c r="L14" s="96">
        <f>('S1.2.1 mass flows'!H14*('S3.1 LCA data coll,sort,transp'!$D$9+'S4.1 LCA chem rec Schwarz'!R16)+'S1.2.1 mass flows'!L14*('S3.1 LCA data coll,sort,transp'!$D$10+'S4.1 LCA chem rec Schwarz'!R16))+('S1.2.1 mass flows'!G14*('S3.1 LCA data coll,sort,transp'!$F$9+'S4.1 LCA chem rec Schwarz'!T16)+'S1.2.1 mass flows'!K14*('S3.1 LCA data coll,sort,transp'!$F$10+'S4.1 LCA chem rec Schwarz'!T16))</f>
        <v>-37503.899502807515</v>
      </c>
      <c r="M14" s="97">
        <f t="shared" si="2"/>
        <v>-37954.522499318904</v>
      </c>
      <c r="N14" s="66">
        <f>K14</f>
        <v>-38405.145495830293</v>
      </c>
      <c r="O14" s="66">
        <f>L14</f>
        <v>-37503.899502807515</v>
      </c>
      <c r="P14" s="99">
        <f>M14</f>
        <v>-37954.522499318904</v>
      </c>
      <c r="R14" s="98">
        <f>'S1.2.1 mass flows'!E14*'S3.2 LCA data waste-to-energy'!D18</f>
        <v>3050.0961436057728</v>
      </c>
    </row>
    <row r="15" spans="1:20" ht="21" x14ac:dyDescent="0.35">
      <c r="A15" s="100" t="s">
        <v>28</v>
      </c>
      <c r="B15" s="91">
        <f>SUM('S1.2.1 mass flows'!G15:H15)*('S3.1 LCA data coll,sort,transp'!$C$9+'S4.1 LCA chem rec Schwarz'!L17)+SUM('S1.2.1 mass flows'!K15:L15)*('S3.1 LCA data coll,sort,transp'!$C$10+'S4.1 LCA chem rec Schwarz'!L17)</f>
        <v>-95742.704851070172</v>
      </c>
      <c r="C15" s="92">
        <f>SUM('S1.2.1 mass flows'!G15:H15)*('S3.1 LCA data coll,sort,transp'!$C$9+'S4.1 LCA chem rec Schwarz'!M17)+SUM('S1.2.1 mass flows'!K15:L15)*('S3.1 LCA data coll,sort,transp'!$C$10+'S4.1 LCA chem rec Schwarz'!M17)</f>
        <v>-58930.9888973911</v>
      </c>
      <c r="D15" s="93">
        <f>SUM('S1.2.1 mass flows'!G15:H15)*('S3.1 LCA data coll,sort,transp'!$C$9+'S4.1 LCA chem rec Schwarz'!N17)+SUM('S1.2.1 mass flows'!K15:L15)*('S3.1 LCA data coll,sort,transp'!$C$10+'S4.1 LCA chem rec Schwarz'!N17)</f>
        <v>-77336.846874230629</v>
      </c>
      <c r="E15" s="91">
        <f>SUM('S1.2.1 mass flows'!G15:H15)*('S3.1 LCA data coll,sort,transp'!$D$9+'S4.1 LCA chem rec Schwarz'!O17)+SUM('S1.2.1 mass flows'!K15:L15)*('S3.1 LCA data coll,sort,transp'!$D$10+'S4.1 LCA chem rec Schwarz'!O17)</f>
        <v>-69340.481895109406</v>
      </c>
      <c r="F15" s="92">
        <f>SUM('S1.2.1 mass flows'!G15:H15)*('S3.1 LCA data coll,sort,transp'!$D$9+'S4.1 LCA chem rec Schwarz'!Q17)+SUM('S1.2.1 mass flows'!K15:L15)*('S3.1 LCA data coll,sort,transp'!$D$10+'S4.1 LCA chem rec Schwarz'!Q17)</f>
        <v>-32528.765941430353</v>
      </c>
      <c r="G15" s="93">
        <f>SUM('S1.2.1 mass flows'!G15:H15)*('S3.1 LCA data coll,sort,transp'!$D$9+'S4.1 LCA chem rec Schwarz'!R17)+SUM('S1.2.1 mass flows'!K15:L15)*('S3.1 LCA data coll,sort,transp'!$D$10+'S4.1 LCA chem rec Schwarz'!R17)</f>
        <v>-57069.90991054973</v>
      </c>
      <c r="H15" s="101">
        <f>('S1.2.1 mass flows'!H15*('S3.1 LCA data coll,sort,transp'!$C$9+'S4.1 LCA chem rec Schwarz'!N17)+'S1.2.1 mass flows'!L15*('S3.1 LCA data coll,sort,transp'!$C$10+'S4.1 LCA chem rec Schwarz'!N17))+('S1.2.1 mass flows'!G15*('S3.1 LCA data coll,sort,transp'!$E$9+'S4.1 LCA chem rec Schwarz'!S17)+'S1.2.1 mass flows'!K15*('S3.1 LCA data coll,sort,transp'!$E$10+'S4.1 LCA chem rec Schwarz'!S17))</f>
        <v>-207423.21877881628</v>
      </c>
      <c r="I15" s="101">
        <f>('S1.2.1 mass flows'!H15*('S3.1 LCA data coll,sort,transp'!$D$9+'S4.1 LCA chem rec Schwarz'!R17)+'S1.2.1 mass flows'!L15*('S3.1 LCA data coll,sort,transp'!$D$10+'S4.1 LCA chem rec Schwarz'!R17))+('S1.2.1 mass flows'!G15*('S3.1 LCA data coll,sort,transp'!$E$9+'S4.1 LCA chem rec Schwarz'!S17)+'S1.2.1 mass flows'!K15*('S3.1 LCA data coll,sort,transp'!$E$10+'S4.1 LCA chem rec Schwarz'!S17))</f>
        <v>-199045.97124384364</v>
      </c>
      <c r="J15" s="101">
        <f t="shared" si="1"/>
        <v>-203234.59501132998</v>
      </c>
      <c r="K15" s="102">
        <f>H15</f>
        <v>-207423.21877881628</v>
      </c>
      <c r="L15" s="103">
        <f>I15</f>
        <v>-199045.97124384364</v>
      </c>
      <c r="M15" s="104">
        <f t="shared" si="2"/>
        <v>-203234.59501132998</v>
      </c>
      <c r="N15" s="66">
        <f>H15</f>
        <v>-207423.21877881628</v>
      </c>
      <c r="O15" s="66">
        <f>I15</f>
        <v>-199045.97124384364</v>
      </c>
      <c r="P15" s="105">
        <f>J15</f>
        <v>-203234.59501132998</v>
      </c>
      <c r="R15" s="106">
        <f>'S1.2.1 mass flows'!E15*'S3.2 LCA data waste-to-energy'!D19</f>
        <v>36046.852105939739</v>
      </c>
    </row>
    <row r="16" spans="1:20" ht="21" x14ac:dyDescent="0.35">
      <c r="A16" s="107" t="s">
        <v>45</v>
      </c>
      <c r="B16" s="108">
        <f>SUM(B5:B15)</f>
        <v>-614127.74810572609</v>
      </c>
      <c r="C16" s="109">
        <f>SUM(C5:C15)</f>
        <v>-294959.32970582182</v>
      </c>
      <c r="D16" s="110">
        <f>SUM(D5:D15)</f>
        <v>-454543.53890577389</v>
      </c>
      <c r="E16" s="108">
        <f t="shared" ref="E16:O16" si="5">SUM(E5:E15)</f>
        <v>-557940.15930691361</v>
      </c>
      <c r="F16" s="109">
        <f t="shared" si="5"/>
        <v>-192828.09576120676</v>
      </c>
      <c r="G16" s="110">
        <f t="shared" si="5"/>
        <v>-367664.5214484866</v>
      </c>
      <c r="H16" s="108">
        <f t="shared" si="5"/>
        <v>-746325.82489584666</v>
      </c>
      <c r="I16" s="109">
        <f t="shared" si="5"/>
        <v>-709148.43124527903</v>
      </c>
      <c r="J16" s="110">
        <f t="shared" si="5"/>
        <v>-727737.12807056296</v>
      </c>
      <c r="K16" s="108">
        <f t="shared" si="5"/>
        <v>-708156.12710278167</v>
      </c>
      <c r="L16" s="109">
        <f t="shared" si="5"/>
        <v>-670978.73345221416</v>
      </c>
      <c r="M16" s="110">
        <f t="shared" si="5"/>
        <v>-689567.43027749797</v>
      </c>
      <c r="N16" s="108">
        <f t="shared" si="5"/>
        <v>-866137.56651342113</v>
      </c>
      <c r="O16" s="109">
        <f t="shared" si="5"/>
        <v>-726038.00237979752</v>
      </c>
      <c r="P16" s="110">
        <f>SUM(P5:P15)</f>
        <v>-796087.78444660944</v>
      </c>
      <c r="R16" s="111">
        <f>SUM(R5:R15)</f>
        <v>180833.48565117765</v>
      </c>
    </row>
    <row r="17" spans="1:27" ht="49.9" customHeight="1" x14ac:dyDescent="0.25"/>
    <row r="18" spans="1:27" ht="49.9" customHeight="1" x14ac:dyDescent="0.25">
      <c r="R18" s="1478" t="s">
        <v>1798</v>
      </c>
      <c r="S18" s="1478"/>
      <c r="T18" s="1478"/>
      <c r="U18" s="1478"/>
      <c r="W18" s="1478" t="s">
        <v>1799</v>
      </c>
      <c r="X18" s="1478"/>
      <c r="Y18" s="1478"/>
      <c r="Z18" s="1478"/>
      <c r="AA18" s="1478"/>
    </row>
    <row r="19" spans="1:27" ht="75" x14ac:dyDescent="0.25">
      <c r="A19" s="154" t="s">
        <v>46</v>
      </c>
      <c r="Q19" s="113" t="s">
        <v>47</v>
      </c>
      <c r="R19" s="114" t="s">
        <v>1800</v>
      </c>
      <c r="S19" s="14" t="s">
        <v>1801</v>
      </c>
      <c r="T19" s="14" t="s">
        <v>1802</v>
      </c>
      <c r="U19" s="14" t="s">
        <v>1803</v>
      </c>
      <c r="V19" s="55"/>
      <c r="W19" s="14" t="s">
        <v>1809</v>
      </c>
      <c r="X19" s="14" t="s">
        <v>1810</v>
      </c>
      <c r="Y19" s="14" t="s">
        <v>1811</v>
      </c>
      <c r="Z19" s="14" t="s">
        <v>1812</v>
      </c>
      <c r="AA19" s="14" t="s">
        <v>1804</v>
      </c>
    </row>
    <row r="20" spans="1:27" x14ac:dyDescent="0.25">
      <c r="Q20" s="55" t="s">
        <v>1805</v>
      </c>
      <c r="R20" s="115">
        <f>[1]LCA_future!$BI$39</f>
        <v>2.4041560140200042</v>
      </c>
      <c r="S20" s="841">
        <f>[1]LCA_future!$BM$39</f>
        <v>1.6102706137411509</v>
      </c>
      <c r="T20" s="841">
        <f>[1]LCA_future!$BO$39</f>
        <v>1.225685930388039</v>
      </c>
      <c r="U20" s="30">
        <f>([1]EI!$AG$72-[1]EI!$AH$72)/1000000000</f>
        <v>0.1142348021050115</v>
      </c>
      <c r="W20" s="115">
        <f>R16/1000000</f>
        <v>0.18083348565117766</v>
      </c>
      <c r="X20" s="115">
        <f>W20</f>
        <v>0.18083348565117766</v>
      </c>
      <c r="Y20" s="115">
        <f>W20</f>
        <v>0.18083348565117766</v>
      </c>
      <c r="Z20" s="115">
        <f>W20</f>
        <v>0.18083348565117766</v>
      </c>
      <c r="AA20" s="115">
        <f>W20</f>
        <v>0.18083348565117766</v>
      </c>
    </row>
    <row r="21" spans="1:27" x14ac:dyDescent="0.25">
      <c r="Q21" t="s">
        <v>1806</v>
      </c>
      <c r="R21" s="30">
        <v>0</v>
      </c>
      <c r="S21" s="30">
        <v>0</v>
      </c>
      <c r="T21" s="30">
        <f>[1]LCA_future!$BO$41</f>
        <v>-0.1800017252587984</v>
      </c>
      <c r="U21" s="30">
        <v>0</v>
      </c>
      <c r="W21">
        <v>0</v>
      </c>
      <c r="X21">
        <v>0</v>
      </c>
      <c r="Y21">
        <v>0</v>
      </c>
      <c r="Z21">
        <v>0</v>
      </c>
      <c r="AA21">
        <v>0</v>
      </c>
    </row>
    <row r="22" spans="1:27" x14ac:dyDescent="0.25">
      <c r="Q22" t="s">
        <v>1808</v>
      </c>
      <c r="R22" s="306">
        <f>SUM([1]LCA_future!$BI$28:$BI$34)</f>
        <v>2.9816457264774963</v>
      </c>
      <c r="S22" s="30">
        <f>SUM([1]LCA_future!$BM$28:$BM$34)</f>
        <v>2.3760008153407792</v>
      </c>
      <c r="T22" s="30">
        <f>S22</f>
        <v>2.3760008153407792</v>
      </c>
      <c r="U22" s="30">
        <f>S22</f>
        <v>2.3760008153407792</v>
      </c>
      <c r="W22" s="30">
        <f>S22</f>
        <v>2.3760008153407792</v>
      </c>
      <c r="X22" s="30">
        <f>S22</f>
        <v>2.3760008153407792</v>
      </c>
      <c r="Y22" s="30">
        <f>S22</f>
        <v>2.3760008153407792</v>
      </c>
      <c r="Z22" s="30">
        <f>S22</f>
        <v>2.3760008153407792</v>
      </c>
      <c r="AA22" s="30">
        <f>S22</f>
        <v>2.3760008153407792</v>
      </c>
    </row>
    <row r="23" spans="1:27" x14ac:dyDescent="0.25">
      <c r="Q23" t="s">
        <v>1807</v>
      </c>
      <c r="R23" s="306">
        <v>0</v>
      </c>
      <c r="S23" s="30">
        <v>0</v>
      </c>
      <c r="T23" s="30">
        <v>0</v>
      </c>
      <c r="U23" s="30">
        <v>0</v>
      </c>
      <c r="W23" s="30">
        <f>D16/1000000</f>
        <v>-0.45454353890577387</v>
      </c>
      <c r="X23" s="30">
        <f>G16/1000000</f>
        <v>-0.3676645214484866</v>
      </c>
      <c r="Y23" s="30">
        <f>J16/1000000</f>
        <v>-0.72773712807056301</v>
      </c>
      <c r="Z23" s="30">
        <f>M16/1000000</f>
        <v>-0.68956743027749801</v>
      </c>
      <c r="AA23" s="30">
        <f>P16/1000000</f>
        <v>-0.79608778444660944</v>
      </c>
    </row>
    <row r="24" spans="1:27" x14ac:dyDescent="0.25">
      <c r="Q24" s="851" t="s">
        <v>59</v>
      </c>
      <c r="R24" s="851"/>
      <c r="S24" s="851"/>
      <c r="T24" s="851"/>
      <c r="U24" s="165"/>
      <c r="V24" s="165"/>
      <c r="W24" s="852">
        <f>(C16-D16)/1000000</f>
        <v>0.15958420919995209</v>
      </c>
      <c r="X24" s="852">
        <f>(F16-G16)/1000000</f>
        <v>0.17483642568727983</v>
      </c>
      <c r="Y24" s="852">
        <f>(I16-J16)/1000000</f>
        <v>1.858869682528393E-2</v>
      </c>
      <c r="Z24" s="852">
        <f>(L16-M16)/1000000</f>
        <v>1.8588696825283812E-2</v>
      </c>
      <c r="AA24" s="852">
        <f>(O16-P16)/1000000</f>
        <v>7.0049782066811922E-2</v>
      </c>
    </row>
    <row r="25" spans="1:27" x14ac:dyDescent="0.25">
      <c r="Q25" s="851" t="s">
        <v>60</v>
      </c>
      <c r="R25" s="851"/>
      <c r="S25" s="851"/>
      <c r="T25" s="851"/>
      <c r="U25" s="165"/>
      <c r="V25" s="165"/>
      <c r="W25" s="852">
        <f>(D16-B16)/1000000</f>
        <v>0.1595842091999522</v>
      </c>
      <c r="X25" s="852">
        <f>(G16-E16)/1000000</f>
        <v>0.19027563785842702</v>
      </c>
      <c r="Y25" s="852">
        <f>(J16-H16)/1000000</f>
        <v>1.8588696825283697E-2</v>
      </c>
      <c r="Z25" s="852">
        <f>(M16-K16)/1000000</f>
        <v>1.8588696825283697E-2</v>
      </c>
      <c r="AA25" s="852">
        <f>(P16-N16)/1000000</f>
        <v>7.0049782066811686E-2</v>
      </c>
    </row>
    <row r="26" spans="1:27" x14ac:dyDescent="0.25">
      <c r="R26" s="116">
        <f>SUM(R20:R23)</f>
        <v>5.3858017404975005</v>
      </c>
      <c r="S26" s="116">
        <f>SUM(S20:S23)</f>
        <v>3.9862714290819303</v>
      </c>
      <c r="T26" s="116">
        <f>SUM(T20:T23)</f>
        <v>3.4216850204700195</v>
      </c>
      <c r="U26" s="116">
        <f>SUM(U20:U23)</f>
        <v>2.4902356174457907</v>
      </c>
      <c r="W26" s="116">
        <f>SUM(W20:W23)</f>
        <v>2.102290762086183</v>
      </c>
      <c r="X26" s="116">
        <f>SUM(X20:X23)</f>
        <v>2.1891697795434704</v>
      </c>
      <c r="Y26" s="116">
        <f>SUM(Y20:Y23)</f>
        <v>1.8290971729213941</v>
      </c>
      <c r="Z26" s="116">
        <f>SUM(Z20:Z23)</f>
        <v>1.8672668707144591</v>
      </c>
      <c r="AA26" s="116">
        <f>SUM(AA20:AA23)</f>
        <v>1.7607465165453475</v>
      </c>
    </row>
    <row r="33" spans="1:27" x14ac:dyDescent="0.25">
      <c r="Q33" s="112"/>
    </row>
    <row r="37" spans="1:27" x14ac:dyDescent="0.25">
      <c r="Q37" s="68"/>
    </row>
    <row r="38" spans="1:27" x14ac:dyDescent="0.25">
      <c r="Q38" s="68"/>
    </row>
    <row r="47" spans="1:27" x14ac:dyDescent="0.25">
      <c r="A47" s="117" t="s">
        <v>61</v>
      </c>
      <c r="B47" s="118"/>
      <c r="C47" s="118"/>
      <c r="D47" s="118"/>
      <c r="E47" s="118"/>
      <c r="F47" s="118"/>
      <c r="G47" s="118"/>
      <c r="H47" s="118"/>
      <c r="I47" s="118"/>
      <c r="J47" s="118"/>
      <c r="K47" s="118"/>
      <c r="L47" s="118"/>
      <c r="M47" s="118"/>
      <c r="N47" s="118"/>
      <c r="O47" s="118"/>
      <c r="P47" s="118"/>
      <c r="Q47" s="118"/>
      <c r="R47" s="118"/>
      <c r="S47" s="118"/>
      <c r="T47" s="118"/>
      <c r="U47" s="118"/>
      <c r="V47" s="118"/>
      <c r="W47" s="118"/>
      <c r="X47" s="118"/>
      <c r="Y47" s="118"/>
      <c r="Z47" s="118"/>
      <c r="AA47" s="118"/>
    </row>
    <row r="48" spans="1:27" ht="75" x14ac:dyDescent="0.25">
      <c r="A48" s="118"/>
      <c r="B48" s="118"/>
      <c r="C48" s="118"/>
      <c r="D48" s="118"/>
      <c r="E48" s="118"/>
      <c r="F48" s="118"/>
      <c r="G48" s="118"/>
      <c r="H48" s="118"/>
      <c r="I48" s="118"/>
      <c r="J48" s="118"/>
      <c r="K48" s="118"/>
      <c r="L48" s="118"/>
      <c r="M48" s="118"/>
      <c r="N48" s="118"/>
      <c r="O48" s="118"/>
      <c r="P48" s="118"/>
      <c r="Q48" s="119" t="s">
        <v>62</v>
      </c>
      <c r="R48" s="156" t="s">
        <v>48</v>
      </c>
      <c r="S48" s="156" t="s">
        <v>49</v>
      </c>
      <c r="T48" s="156" t="s">
        <v>50</v>
      </c>
      <c r="U48" s="156" t="s">
        <v>51</v>
      </c>
      <c r="V48" s="118"/>
      <c r="W48" s="120" t="s">
        <v>52</v>
      </c>
      <c r="X48" s="120" t="s">
        <v>53</v>
      </c>
      <c r="Y48" s="120" t="s">
        <v>54</v>
      </c>
      <c r="Z48" s="120" t="s">
        <v>55</v>
      </c>
      <c r="AA48" s="120" t="s">
        <v>44</v>
      </c>
    </row>
    <row r="49" spans="1:27" x14ac:dyDescent="0.25">
      <c r="A49" s="118"/>
      <c r="B49" s="118"/>
      <c r="C49" s="118"/>
      <c r="D49" s="118"/>
      <c r="E49" s="118"/>
      <c r="F49" s="118"/>
      <c r="G49" s="118"/>
      <c r="H49" s="118"/>
      <c r="I49" s="118"/>
      <c r="J49" s="118"/>
      <c r="K49" s="118"/>
      <c r="L49" s="118"/>
      <c r="M49" s="118"/>
      <c r="N49" s="118"/>
      <c r="O49" s="118"/>
      <c r="P49" s="118"/>
      <c r="Q49" s="121" t="s">
        <v>63</v>
      </c>
      <c r="R49" s="122">
        <f>[1]LCA_today!$BH$39</f>
        <v>1.5058085130726611</v>
      </c>
      <c r="S49" s="122">
        <f>[1]LCA_today!$BL$39</f>
        <v>1.0127603614370415</v>
      </c>
      <c r="T49" s="122">
        <f>[1]LCA_today!$BN$39</f>
        <v>0.78568383324976654</v>
      </c>
      <c r="U49" s="157">
        <f>([1]EI!$S$72-[1]EI!$T$72)/1000000000</f>
        <v>-0.25845015489469103</v>
      </c>
      <c r="V49" s="118"/>
      <c r="W49" s="123">
        <f>W20</f>
        <v>0.18083348565117766</v>
      </c>
      <c r="X49" s="123">
        <f>X20</f>
        <v>0.18083348565117766</v>
      </c>
      <c r="Y49" s="123">
        <f>Y20</f>
        <v>0.18083348565117766</v>
      </c>
      <c r="Z49" s="123">
        <f>Z20</f>
        <v>0.18083348565117766</v>
      </c>
      <c r="AA49" s="123">
        <f>AA20</f>
        <v>0.18083348565117766</v>
      </c>
    </row>
    <row r="50" spans="1:27" x14ac:dyDescent="0.25">
      <c r="A50" s="118"/>
      <c r="B50" s="118"/>
      <c r="C50" s="118"/>
      <c r="D50" s="118"/>
      <c r="E50" s="118"/>
      <c r="F50" s="118"/>
      <c r="G50" s="118"/>
      <c r="H50" s="118"/>
      <c r="I50" s="118"/>
      <c r="J50" s="118"/>
      <c r="K50" s="118"/>
      <c r="L50" s="118"/>
      <c r="M50" s="118"/>
      <c r="N50" s="118"/>
      <c r="O50" s="118"/>
      <c r="P50" s="118"/>
      <c r="Q50" s="118" t="s">
        <v>56</v>
      </c>
      <c r="R50" s="118">
        <v>0</v>
      </c>
      <c r="S50" s="118">
        <v>0</v>
      </c>
      <c r="T50" s="158">
        <f>[1]LCA_today!$BN$41</f>
        <v>-0.1893368303129766</v>
      </c>
      <c r="U50" s="118">
        <v>0</v>
      </c>
      <c r="V50" s="118"/>
      <c r="W50" s="118"/>
      <c r="X50" s="118"/>
      <c r="Y50" s="118"/>
      <c r="Z50" s="118"/>
      <c r="AA50" s="118"/>
    </row>
    <row r="51" spans="1:27" x14ac:dyDescent="0.25">
      <c r="A51" s="118"/>
      <c r="B51" s="118"/>
      <c r="C51" s="118"/>
      <c r="D51" s="118"/>
      <c r="E51" s="118"/>
      <c r="F51" s="118"/>
      <c r="G51" s="118"/>
      <c r="H51" s="118"/>
      <c r="I51" s="118"/>
      <c r="J51" s="118"/>
      <c r="K51" s="118"/>
      <c r="L51" s="118"/>
      <c r="M51" s="118"/>
      <c r="N51" s="118"/>
      <c r="O51" s="118"/>
      <c r="P51" s="118"/>
      <c r="Q51" s="118" t="s">
        <v>57</v>
      </c>
      <c r="R51" s="123">
        <f>SUM([1]LCA_today!$BH$28:$BH$34)</f>
        <v>3.523822951694989</v>
      </c>
      <c r="S51" s="123">
        <f>SUM([1]LCA_today!$BL$28:$BL$34)</f>
        <v>2.8856481090298605</v>
      </c>
      <c r="T51" s="123">
        <f>S51</f>
        <v>2.8856481090298605</v>
      </c>
      <c r="U51" s="123">
        <f>S51</f>
        <v>2.8856481090298605</v>
      </c>
      <c r="V51" s="118"/>
      <c r="W51" s="123">
        <f>S51</f>
        <v>2.8856481090298605</v>
      </c>
      <c r="X51" s="123">
        <f>S51</f>
        <v>2.8856481090298605</v>
      </c>
      <c r="Y51" s="123">
        <f>S51</f>
        <v>2.8856481090298605</v>
      </c>
      <c r="Z51" s="123">
        <f>S51</f>
        <v>2.8856481090298605</v>
      </c>
      <c r="AA51" s="123">
        <f>S51</f>
        <v>2.8856481090298605</v>
      </c>
    </row>
    <row r="52" spans="1:27" x14ac:dyDescent="0.25">
      <c r="A52" s="118"/>
      <c r="B52" s="118"/>
      <c r="C52" s="118"/>
      <c r="D52" s="118"/>
      <c r="E52" s="118"/>
      <c r="F52" s="118"/>
      <c r="G52" s="118"/>
      <c r="H52" s="118"/>
      <c r="I52" s="118"/>
      <c r="J52" s="118"/>
      <c r="K52" s="118"/>
      <c r="L52" s="118"/>
      <c r="M52" s="118"/>
      <c r="N52" s="118"/>
      <c r="O52" s="118"/>
      <c r="P52" s="118"/>
      <c r="Q52" s="118" t="s">
        <v>58</v>
      </c>
      <c r="R52" s="123">
        <v>0</v>
      </c>
      <c r="S52" s="123">
        <v>0</v>
      </c>
      <c r="T52" s="123"/>
      <c r="U52" s="118"/>
      <c r="V52" s="118"/>
      <c r="W52" s="123">
        <f>W23</f>
        <v>-0.45454353890577387</v>
      </c>
      <c r="X52" s="123">
        <f>X23</f>
        <v>-0.3676645214484866</v>
      </c>
      <c r="Y52" s="123">
        <f>Y23</f>
        <v>-0.72773712807056301</v>
      </c>
      <c r="Z52" s="123">
        <f>Z23</f>
        <v>-0.68956743027749801</v>
      </c>
      <c r="AA52" s="123">
        <f>AA23</f>
        <v>-0.79608778444660944</v>
      </c>
    </row>
    <row r="53" spans="1:27" x14ac:dyDescent="0.25">
      <c r="A53" s="118"/>
      <c r="B53" s="118"/>
      <c r="C53" s="118"/>
      <c r="D53" s="118"/>
      <c r="E53" s="118"/>
      <c r="F53" s="118"/>
      <c r="G53" s="118"/>
      <c r="H53" s="118"/>
      <c r="I53" s="118"/>
      <c r="J53" s="118"/>
      <c r="K53" s="118"/>
      <c r="L53" s="118"/>
      <c r="M53" s="118"/>
      <c r="N53" s="118"/>
      <c r="O53" s="118"/>
      <c r="P53" s="118"/>
      <c r="Q53" s="124" t="s">
        <v>59</v>
      </c>
      <c r="R53" s="118"/>
      <c r="S53" s="118"/>
      <c r="T53" s="118"/>
      <c r="U53" s="118"/>
      <c r="V53" s="118"/>
      <c r="W53" s="125">
        <f t="shared" ref="W53:AA54" si="6">W24</f>
        <v>0.15958420919995209</v>
      </c>
      <c r="X53" s="125">
        <f t="shared" si="6"/>
        <v>0.17483642568727983</v>
      </c>
      <c r="Y53" s="125">
        <f t="shared" si="6"/>
        <v>1.858869682528393E-2</v>
      </c>
      <c r="Z53" s="125">
        <f t="shared" si="6"/>
        <v>1.8588696825283812E-2</v>
      </c>
      <c r="AA53" s="125">
        <f t="shared" si="6"/>
        <v>7.0049782066811922E-2</v>
      </c>
    </row>
    <row r="54" spans="1:27" x14ac:dyDescent="0.25">
      <c r="A54" s="118"/>
      <c r="B54" s="118"/>
      <c r="C54" s="118"/>
      <c r="D54" s="118"/>
      <c r="E54" s="118"/>
      <c r="F54" s="118"/>
      <c r="G54" s="118"/>
      <c r="H54" s="118"/>
      <c r="I54" s="118"/>
      <c r="J54" s="118"/>
      <c r="K54" s="118"/>
      <c r="L54" s="118"/>
      <c r="M54" s="118"/>
      <c r="N54" s="118"/>
      <c r="O54" s="118"/>
      <c r="P54" s="118"/>
      <c r="Q54" s="124" t="s">
        <v>60</v>
      </c>
      <c r="R54" s="118"/>
      <c r="S54" s="118"/>
      <c r="T54" s="118"/>
      <c r="U54" s="118"/>
      <c r="V54" s="118"/>
      <c r="W54" s="125">
        <f t="shared" si="6"/>
        <v>0.1595842091999522</v>
      </c>
      <c r="X54" s="125">
        <f t="shared" si="6"/>
        <v>0.19027563785842702</v>
      </c>
      <c r="Y54" s="125">
        <f t="shared" si="6"/>
        <v>1.8588696825283697E-2</v>
      </c>
      <c r="Z54" s="125">
        <f t="shared" si="6"/>
        <v>1.8588696825283697E-2</v>
      </c>
      <c r="AA54" s="125">
        <f t="shared" si="6"/>
        <v>7.0049782066811686E-2</v>
      </c>
    </row>
    <row r="55" spans="1:27" x14ac:dyDescent="0.25">
      <c r="A55" s="118"/>
      <c r="B55" s="118"/>
      <c r="C55" s="118"/>
      <c r="D55" s="118"/>
      <c r="E55" s="118"/>
      <c r="F55" s="118"/>
      <c r="G55" s="118"/>
      <c r="H55" s="118"/>
      <c r="I55" s="118"/>
      <c r="J55" s="118"/>
      <c r="K55" s="118"/>
      <c r="L55" s="118"/>
      <c r="M55" s="118"/>
      <c r="N55" s="118"/>
      <c r="O55" s="118"/>
      <c r="P55" s="118"/>
      <c r="Q55" s="118"/>
      <c r="R55" s="155">
        <f>SUM(R49:R52)</f>
        <v>5.0296314647676503</v>
      </c>
      <c r="S55" s="155">
        <f>SUM(S49:S52)</f>
        <v>3.8984084704669018</v>
      </c>
      <c r="T55" s="155"/>
      <c r="U55" s="118"/>
      <c r="V55" s="118"/>
      <c r="W55" s="155">
        <f>SUM(W49:W52)</f>
        <v>2.6119380557752643</v>
      </c>
      <c r="X55" s="155">
        <f>SUM(X49:X52)</f>
        <v>2.6988170732325516</v>
      </c>
      <c r="Y55" s="155">
        <f>SUM(Y49:Y52)</f>
        <v>2.3387444666104753</v>
      </c>
      <c r="Z55" s="155">
        <f>SUM(Z49:Z52)</f>
        <v>2.3769141644035403</v>
      </c>
      <c r="AA55" s="155">
        <f>SUM(AA49:AA52)</f>
        <v>2.2703938102344288</v>
      </c>
    </row>
    <row r="56" spans="1:27" x14ac:dyDescent="0.25">
      <c r="A56" s="118"/>
      <c r="B56" s="118"/>
      <c r="C56" s="118"/>
      <c r="D56" s="118"/>
      <c r="E56" s="118"/>
      <c r="F56" s="118"/>
      <c r="G56" s="118"/>
      <c r="H56" s="118"/>
      <c r="I56" s="118"/>
      <c r="J56" s="118"/>
      <c r="K56" s="118"/>
      <c r="L56" s="118"/>
      <c r="M56" s="118"/>
      <c r="N56" s="118"/>
      <c r="O56" s="118"/>
      <c r="P56" s="118"/>
      <c r="Q56" s="118"/>
      <c r="R56" s="118"/>
      <c r="S56" s="118"/>
      <c r="T56" s="118"/>
      <c r="U56" s="118"/>
      <c r="V56" s="118"/>
      <c r="W56" s="118"/>
      <c r="X56" s="118"/>
      <c r="Y56" s="118"/>
      <c r="Z56" s="118"/>
      <c r="AA56" s="118"/>
    </row>
    <row r="57" spans="1:27" x14ac:dyDescent="0.25">
      <c r="A57" s="118"/>
      <c r="B57" s="118"/>
      <c r="C57" s="118"/>
      <c r="D57" s="118"/>
      <c r="E57" s="118"/>
      <c r="F57" s="118"/>
      <c r="G57" s="118"/>
      <c r="H57" s="118"/>
      <c r="I57" s="118"/>
      <c r="J57" s="118"/>
      <c r="K57" s="118"/>
      <c r="L57" s="118"/>
      <c r="M57" s="118"/>
      <c r="N57" s="118"/>
      <c r="O57" s="118"/>
      <c r="P57" s="118"/>
      <c r="Q57" s="118"/>
      <c r="R57" s="118"/>
      <c r="S57" s="118"/>
      <c r="T57" s="118"/>
      <c r="U57" s="118"/>
      <c r="V57" s="118"/>
      <c r="W57" s="118"/>
      <c r="X57" s="118"/>
      <c r="Y57" s="118"/>
      <c r="Z57" s="118"/>
      <c r="AA57" s="118"/>
    </row>
    <row r="58" spans="1:27" x14ac:dyDescent="0.25">
      <c r="A58" s="118"/>
      <c r="B58" s="118"/>
      <c r="C58" s="118"/>
      <c r="D58" s="118"/>
      <c r="E58" s="118"/>
      <c r="F58" s="118"/>
      <c r="G58" s="118"/>
      <c r="H58" s="118"/>
      <c r="I58" s="118"/>
      <c r="J58" s="118"/>
      <c r="K58" s="118"/>
      <c r="L58" s="118"/>
      <c r="M58" s="118"/>
      <c r="N58" s="118"/>
      <c r="O58" s="118"/>
      <c r="P58" s="118"/>
      <c r="Q58" s="118"/>
      <c r="R58" s="118"/>
      <c r="S58" s="118"/>
      <c r="T58" s="118"/>
      <c r="U58" s="118"/>
      <c r="V58" s="118"/>
      <c r="W58" s="118"/>
      <c r="X58" s="118"/>
      <c r="Y58" s="118"/>
      <c r="Z58" s="118"/>
      <c r="AA58" s="118"/>
    </row>
    <row r="59" spans="1:27" x14ac:dyDescent="0.25">
      <c r="A59" s="118"/>
      <c r="B59" s="118"/>
      <c r="C59" s="118"/>
      <c r="D59" s="118"/>
      <c r="E59" s="118"/>
      <c r="F59" s="118"/>
      <c r="G59" s="118"/>
      <c r="H59" s="118"/>
      <c r="I59" s="118"/>
      <c r="J59" s="118"/>
      <c r="K59" s="118"/>
      <c r="L59" s="118"/>
      <c r="M59" s="118"/>
      <c r="N59" s="118"/>
      <c r="O59" s="118"/>
      <c r="P59" s="118"/>
      <c r="Q59" s="118"/>
      <c r="R59" s="118"/>
      <c r="S59" s="118"/>
      <c r="T59" s="118"/>
      <c r="U59" s="118"/>
      <c r="V59" s="118"/>
      <c r="W59" s="118"/>
      <c r="X59" s="118"/>
      <c r="Y59" s="118"/>
      <c r="Z59" s="118"/>
      <c r="AA59" s="118"/>
    </row>
    <row r="60" spans="1:27" x14ac:dyDescent="0.25">
      <c r="A60" s="118"/>
      <c r="B60" s="118"/>
      <c r="C60" s="118"/>
      <c r="D60" s="118"/>
      <c r="E60" s="118"/>
      <c r="F60" s="118"/>
      <c r="G60" s="118"/>
      <c r="H60" s="118"/>
      <c r="I60" s="118"/>
      <c r="J60" s="118"/>
      <c r="K60" s="118"/>
      <c r="L60" s="118"/>
      <c r="M60" s="118"/>
      <c r="N60" s="118"/>
      <c r="O60" s="118"/>
      <c r="P60" s="118"/>
      <c r="Q60" s="118"/>
      <c r="R60" s="118"/>
      <c r="S60" s="118"/>
      <c r="T60" s="118"/>
      <c r="U60" s="118"/>
      <c r="V60" s="118"/>
      <c r="W60" s="118"/>
      <c r="X60" s="118"/>
      <c r="Y60" s="118"/>
      <c r="Z60" s="118"/>
      <c r="AA60" s="118"/>
    </row>
    <row r="61" spans="1:27" x14ac:dyDescent="0.25">
      <c r="A61" s="118"/>
      <c r="B61" s="118"/>
      <c r="C61" s="118"/>
      <c r="D61" s="118"/>
      <c r="E61" s="118"/>
      <c r="F61" s="118"/>
      <c r="G61" s="118"/>
      <c r="H61" s="118"/>
      <c r="I61" s="118"/>
      <c r="J61" s="118"/>
      <c r="K61" s="118"/>
      <c r="L61" s="118"/>
      <c r="M61" s="118"/>
      <c r="N61" s="118"/>
      <c r="O61" s="118"/>
      <c r="P61" s="118"/>
      <c r="Q61" s="118"/>
      <c r="R61" s="261"/>
      <c r="S61" s="118"/>
      <c r="T61" s="118"/>
      <c r="U61" s="118"/>
      <c r="V61" s="118"/>
      <c r="W61" s="118"/>
      <c r="X61" s="118"/>
      <c r="Y61" s="118"/>
      <c r="Z61" s="118"/>
      <c r="AA61" s="118"/>
    </row>
    <row r="62" spans="1:27" x14ac:dyDescent="0.25">
      <c r="A62" s="118"/>
      <c r="B62" s="118"/>
      <c r="C62" s="118"/>
      <c r="D62" s="118"/>
      <c r="E62" s="118"/>
      <c r="F62" s="118"/>
      <c r="G62" s="118"/>
      <c r="H62" s="118"/>
      <c r="I62" s="118"/>
      <c r="J62" s="118"/>
      <c r="K62" s="118"/>
      <c r="L62" s="118"/>
      <c r="M62" s="118"/>
      <c r="N62" s="118"/>
      <c r="O62" s="118"/>
      <c r="P62" s="118"/>
      <c r="Q62" s="118"/>
      <c r="R62" s="123"/>
      <c r="S62" s="118"/>
      <c r="T62" s="118"/>
      <c r="U62" s="118"/>
      <c r="V62" s="118"/>
      <c r="W62" s="118"/>
      <c r="X62" s="118"/>
      <c r="Y62" s="118"/>
      <c r="Z62" s="118"/>
      <c r="AA62" s="118"/>
    </row>
    <row r="63" spans="1:27" x14ac:dyDescent="0.25">
      <c r="A63" s="118"/>
      <c r="B63" s="118"/>
      <c r="C63" s="118"/>
      <c r="D63" s="118"/>
      <c r="E63" s="118"/>
      <c r="F63" s="118"/>
      <c r="G63" s="118"/>
      <c r="H63" s="118"/>
      <c r="I63" s="118"/>
      <c r="J63" s="118"/>
      <c r="K63" s="118"/>
      <c r="L63" s="118"/>
      <c r="M63" s="118"/>
      <c r="N63" s="118"/>
      <c r="O63" s="118"/>
      <c r="P63" s="118"/>
      <c r="Q63" s="118"/>
      <c r="R63" s="123"/>
      <c r="S63" s="118"/>
      <c r="T63" s="118"/>
      <c r="U63" s="118"/>
      <c r="V63" s="118"/>
      <c r="W63" s="118"/>
      <c r="X63" s="118"/>
      <c r="Y63" s="118"/>
      <c r="Z63" s="118"/>
      <c r="AA63" s="118"/>
    </row>
    <row r="64" spans="1:27" x14ac:dyDescent="0.25">
      <c r="A64" s="118"/>
      <c r="B64" s="118"/>
      <c r="C64" s="118"/>
      <c r="D64" s="118"/>
      <c r="E64" s="118"/>
      <c r="F64" s="118"/>
      <c r="G64" s="118"/>
      <c r="H64" s="118"/>
      <c r="I64" s="118"/>
      <c r="J64" s="118"/>
      <c r="K64" s="118"/>
      <c r="L64" s="118"/>
      <c r="M64" s="118"/>
      <c r="N64" s="118"/>
      <c r="O64" s="118"/>
      <c r="P64" s="118"/>
      <c r="Q64" s="118"/>
      <c r="R64" s="118"/>
      <c r="S64" s="118"/>
      <c r="T64" s="118"/>
      <c r="U64" s="118"/>
      <c r="V64" s="118"/>
      <c r="W64" s="118"/>
      <c r="X64" s="118"/>
      <c r="Y64" s="118"/>
      <c r="Z64" s="118"/>
      <c r="AA64" s="118"/>
    </row>
    <row r="65" spans="1:27" x14ac:dyDescent="0.25">
      <c r="A65" s="118"/>
      <c r="B65" s="118"/>
      <c r="C65" s="118"/>
      <c r="D65" s="118"/>
      <c r="E65" s="118"/>
      <c r="F65" s="118"/>
      <c r="G65" s="118"/>
      <c r="H65" s="118"/>
      <c r="I65" s="118"/>
      <c r="J65" s="118"/>
      <c r="K65" s="118"/>
      <c r="L65" s="118"/>
      <c r="M65" s="118"/>
      <c r="N65" s="118"/>
      <c r="O65" s="118"/>
      <c r="P65" s="118"/>
      <c r="Q65" s="118"/>
      <c r="R65" s="118"/>
      <c r="S65" s="118"/>
      <c r="T65" s="118"/>
      <c r="U65" s="118"/>
      <c r="V65" s="118"/>
      <c r="W65" s="118"/>
      <c r="X65" s="118"/>
      <c r="Y65" s="118"/>
      <c r="Z65" s="118"/>
      <c r="AA65" s="118"/>
    </row>
    <row r="66" spans="1:27" x14ac:dyDescent="0.25">
      <c r="A66" s="118"/>
      <c r="B66" s="118"/>
      <c r="C66" s="118"/>
      <c r="D66" s="118"/>
      <c r="E66" s="118"/>
      <c r="F66" s="118"/>
      <c r="G66" s="118"/>
      <c r="H66" s="118"/>
      <c r="I66" s="118"/>
      <c r="J66" s="118"/>
      <c r="K66" s="118"/>
      <c r="L66" s="118"/>
      <c r="M66" s="118"/>
      <c r="N66" s="118"/>
      <c r="O66" s="118"/>
      <c r="P66" s="118"/>
      <c r="Q66" s="118"/>
      <c r="R66" s="118"/>
      <c r="S66" s="118"/>
      <c r="T66" s="118"/>
      <c r="U66" s="118"/>
      <c r="V66" s="118"/>
      <c r="W66" s="118"/>
      <c r="X66" s="118"/>
      <c r="Y66" s="118"/>
      <c r="Z66" s="118"/>
      <c r="AA66" s="118"/>
    </row>
    <row r="67" spans="1:27" x14ac:dyDescent="0.25">
      <c r="A67" s="118"/>
      <c r="B67" s="118"/>
      <c r="C67" s="118"/>
      <c r="D67" s="118"/>
      <c r="E67" s="118"/>
      <c r="F67" s="118"/>
      <c r="G67" s="118"/>
      <c r="H67" s="118"/>
      <c r="I67" s="118"/>
      <c r="J67" s="118"/>
      <c r="K67" s="118"/>
      <c r="L67" s="118"/>
      <c r="M67" s="118"/>
      <c r="N67" s="118"/>
      <c r="O67" s="118"/>
      <c r="P67" s="118"/>
      <c r="Q67" s="118"/>
      <c r="R67" s="118"/>
      <c r="S67" s="118"/>
      <c r="T67" s="118"/>
      <c r="U67" s="118"/>
      <c r="V67" s="118"/>
      <c r="W67" s="118"/>
      <c r="X67" s="118"/>
      <c r="Y67" s="118"/>
      <c r="Z67" s="118"/>
      <c r="AA67" s="118"/>
    </row>
    <row r="68" spans="1:27" x14ac:dyDescent="0.25">
      <c r="A68" s="118"/>
      <c r="B68" s="118"/>
      <c r="C68" s="118"/>
      <c r="D68" s="118"/>
      <c r="E68" s="118"/>
      <c r="F68" s="118"/>
      <c r="G68" s="118"/>
      <c r="H68" s="118"/>
      <c r="I68" s="118"/>
      <c r="J68" s="118"/>
      <c r="K68" s="118"/>
      <c r="L68" s="118"/>
      <c r="M68" s="118"/>
      <c r="N68" s="118"/>
      <c r="O68" s="118"/>
      <c r="P68" s="118"/>
      <c r="Q68" s="118"/>
      <c r="R68" s="118"/>
      <c r="S68" s="118"/>
      <c r="T68" s="118"/>
      <c r="U68" s="118"/>
      <c r="V68" s="118"/>
      <c r="W68" s="118"/>
      <c r="X68" s="118"/>
      <c r="Y68" s="118"/>
      <c r="Z68" s="118"/>
      <c r="AA68" s="118"/>
    </row>
    <row r="69" spans="1:27" x14ac:dyDescent="0.25">
      <c r="A69" s="118"/>
      <c r="B69" s="118"/>
      <c r="C69" s="118"/>
      <c r="D69" s="118"/>
      <c r="E69" s="118"/>
      <c r="F69" s="118"/>
      <c r="G69" s="118"/>
      <c r="H69" s="118"/>
      <c r="I69" s="118"/>
      <c r="J69" s="118"/>
      <c r="K69" s="118"/>
      <c r="L69" s="118"/>
      <c r="M69" s="118"/>
      <c r="N69" s="118"/>
      <c r="O69" s="118"/>
      <c r="P69" s="118"/>
      <c r="Q69" s="118"/>
      <c r="R69" s="118"/>
      <c r="S69" s="118"/>
      <c r="T69" s="118"/>
      <c r="U69" s="118"/>
      <c r="V69" s="118"/>
      <c r="W69" s="118"/>
      <c r="X69" s="118"/>
      <c r="Y69" s="118"/>
      <c r="Z69" s="118"/>
      <c r="AA69" s="118"/>
    </row>
    <row r="70" spans="1:27" x14ac:dyDescent="0.25">
      <c r="A70" s="118"/>
      <c r="B70" s="118"/>
      <c r="C70" s="118"/>
      <c r="D70" s="118"/>
      <c r="E70" s="118"/>
      <c r="F70" s="118"/>
      <c r="G70" s="118"/>
      <c r="H70" s="118"/>
      <c r="I70" s="118"/>
      <c r="J70" s="118"/>
      <c r="K70" s="118"/>
      <c r="L70" s="118"/>
      <c r="M70" s="118"/>
      <c r="N70" s="118"/>
      <c r="O70" s="118"/>
      <c r="P70" s="118"/>
      <c r="Q70" s="118"/>
      <c r="R70" s="118"/>
      <c r="S70" s="118"/>
      <c r="T70" s="118"/>
      <c r="U70" s="118"/>
      <c r="V70" s="118"/>
      <c r="W70" s="118"/>
      <c r="X70" s="118"/>
      <c r="Y70" s="118"/>
      <c r="Z70" s="118"/>
      <c r="AA70" s="118"/>
    </row>
    <row r="71" spans="1:27" x14ac:dyDescent="0.25">
      <c r="A71" s="118"/>
      <c r="B71" s="118"/>
      <c r="C71" s="118"/>
      <c r="D71" s="118"/>
      <c r="E71" s="118"/>
      <c r="F71" s="118"/>
      <c r="G71" s="118"/>
      <c r="H71" s="118"/>
      <c r="I71" s="118"/>
      <c r="J71" s="118"/>
      <c r="K71" s="118"/>
      <c r="L71" s="118"/>
      <c r="M71" s="118"/>
      <c r="N71" s="118"/>
      <c r="O71" s="118"/>
      <c r="P71" s="118"/>
      <c r="Q71" s="118"/>
      <c r="R71" s="118"/>
      <c r="S71" s="118"/>
      <c r="T71" s="118"/>
      <c r="U71" s="118"/>
      <c r="V71" s="118"/>
      <c r="W71" s="118"/>
      <c r="X71" s="118"/>
      <c r="Y71" s="118"/>
      <c r="Z71" s="118"/>
      <c r="AA71" s="118"/>
    </row>
    <row r="77" spans="1:27" x14ac:dyDescent="0.25">
      <c r="A77" s="159" t="s">
        <v>85</v>
      </c>
      <c r="B77" s="159" t="s">
        <v>3</v>
      </c>
      <c r="C77" s="159" t="s">
        <v>84</v>
      </c>
      <c r="D77" s="159" t="s">
        <v>3</v>
      </c>
    </row>
    <row r="78" spans="1:27" x14ac:dyDescent="0.25">
      <c r="A78" s="160">
        <f>AA20-S20</f>
        <v>-1.4294371280899731</v>
      </c>
      <c r="B78" s="160" t="s">
        <v>64</v>
      </c>
      <c r="C78" s="160">
        <f>AA23</f>
        <v>-0.79608778444660944</v>
      </c>
      <c r="D78" s="161" t="s">
        <v>46</v>
      </c>
    </row>
    <row r="79" spans="1:27" x14ac:dyDescent="0.25">
      <c r="A79" s="160">
        <f>W49-S49</f>
        <v>-0.83192687578586388</v>
      </c>
      <c r="B79" s="160" t="s">
        <v>64</v>
      </c>
      <c r="C79" s="160">
        <f>AA52</f>
        <v>-0.79608778444660944</v>
      </c>
      <c r="D79" s="161" t="s">
        <v>61</v>
      </c>
    </row>
  </sheetData>
  <mergeCells count="2">
    <mergeCell ref="R18:U18"/>
    <mergeCell ref="W18:AA18"/>
  </mergeCells>
  <conditionalFormatting sqref="R16">
    <cfRule type="colorScale" priority="7">
      <colorScale>
        <cfvo type="min"/>
        <cfvo type="max"/>
        <color rgb="FFF8696B"/>
        <color rgb="FFFCFCFF"/>
      </colorScale>
    </cfRule>
  </conditionalFormatting>
  <conditionalFormatting sqref="R16">
    <cfRule type="colorScale" priority="6">
      <colorScale>
        <cfvo type="min"/>
        <cfvo type="max"/>
        <color rgb="FFF8696B"/>
        <color rgb="FFFCFCFF"/>
      </colorScale>
    </cfRule>
  </conditionalFormatting>
  <conditionalFormatting sqref="N16:P16">
    <cfRule type="colorScale" priority="5">
      <colorScale>
        <cfvo type="min"/>
        <cfvo type="max"/>
        <color rgb="FFF8696B"/>
        <color rgb="FFFCFCFF"/>
      </colorScale>
    </cfRule>
  </conditionalFormatting>
  <conditionalFormatting sqref="N16:P16">
    <cfRule type="colorScale" priority="4">
      <colorScale>
        <cfvo type="min"/>
        <cfvo type="max"/>
        <color rgb="FFF8696B"/>
        <color rgb="FFFCFCFF"/>
      </colorScale>
    </cfRule>
  </conditionalFormatting>
  <conditionalFormatting sqref="E16:M16">
    <cfRule type="colorScale" priority="8">
      <colorScale>
        <cfvo type="min"/>
        <cfvo type="max"/>
        <color rgb="FFF8696B"/>
        <color rgb="FFFCFCFF"/>
      </colorScale>
    </cfRule>
  </conditionalFormatting>
  <conditionalFormatting sqref="B16:D16">
    <cfRule type="colorScale" priority="3">
      <colorScale>
        <cfvo type="min"/>
        <cfvo type="max"/>
        <color rgb="FFF8696B"/>
        <color rgb="FFFCFCFF"/>
      </colorScale>
    </cfRule>
  </conditionalFormatting>
  <conditionalFormatting sqref="B16:P16">
    <cfRule type="colorScale" priority="1">
      <colorScale>
        <cfvo type="min"/>
        <cfvo type="max"/>
        <color rgb="FFF8696B"/>
        <color rgb="FFFCFCFF"/>
      </colorScale>
    </cfRule>
  </conditionalFormatting>
  <conditionalFormatting sqref="N16:P16">
    <cfRule type="colorScale" priority="2">
      <colorScale>
        <cfvo type="min"/>
        <cfvo type="max"/>
        <color rgb="FFF8696B"/>
        <color rgb="FFFCFCFF"/>
      </colorScale>
    </cfRule>
  </conditionalFormatting>
  <pageMargins left="0.7" right="0.7" top="0.75" bottom="0.75" header="0.3" footer="0.3"/>
  <pageSetup paperSize="9" orientation="portrait" r:id="rId1"/>
  <drawing r:id="rId2"/>
  <legacyDrawing r:id="rId3"/>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F9333-7AAC-4DB1-A6EA-AD72A7597F7B}">
  <sheetPr>
    <tabColor theme="7"/>
  </sheetPr>
  <dimension ref="A1:Q64"/>
  <sheetViews>
    <sheetView zoomScale="70" zoomScaleNormal="70" workbookViewId="0">
      <pane ySplit="1" topLeftCell="A2" activePane="bottomLeft" state="frozen"/>
      <selection activeCell="J31" sqref="J31"/>
      <selection pane="bottomLeft" activeCell="A65" sqref="A65"/>
    </sheetView>
  </sheetViews>
  <sheetFormatPr defaultColWidth="9.140625" defaultRowHeight="15" customHeight="1" x14ac:dyDescent="0.25"/>
  <cols>
    <col min="1" max="6" width="11.140625" style="1189" customWidth="1"/>
    <col min="7" max="8" width="11.140625" style="1190" customWidth="1"/>
    <col min="9" max="13" width="11.140625" style="1189" customWidth="1"/>
    <col min="14" max="14" width="11.140625" style="1190" customWidth="1"/>
    <col min="15" max="16" width="11.140625" style="1189" customWidth="1"/>
    <col min="17" max="17" width="10.42578125" style="1189" bestFit="1" customWidth="1"/>
    <col min="18" max="16384" width="9.140625" style="1189"/>
  </cols>
  <sheetData>
    <row r="1" spans="1:17" ht="15" customHeight="1" x14ac:dyDescent="0.25">
      <c r="A1" s="1187" t="s">
        <v>645</v>
      </c>
      <c r="B1" s="1187" t="s">
        <v>646</v>
      </c>
      <c r="C1" s="1187" t="s">
        <v>88</v>
      </c>
      <c r="D1" s="1187" t="s">
        <v>647</v>
      </c>
      <c r="E1" s="1187" t="s">
        <v>648</v>
      </c>
      <c r="F1" s="1187" t="s">
        <v>649</v>
      </c>
      <c r="G1" s="1188" t="s">
        <v>650</v>
      </c>
      <c r="H1" s="1187" t="s">
        <v>651</v>
      </c>
      <c r="I1" s="1187" t="s">
        <v>652</v>
      </c>
      <c r="J1" s="1187" t="s">
        <v>653</v>
      </c>
      <c r="K1" s="1187" t="s">
        <v>654</v>
      </c>
      <c r="L1" s="1187" t="s">
        <v>655</v>
      </c>
      <c r="M1" s="1187" t="s">
        <v>656</v>
      </c>
      <c r="N1" s="1188" t="s">
        <v>657</v>
      </c>
      <c r="O1" s="1187" t="s">
        <v>658</v>
      </c>
      <c r="P1" s="1187" t="s">
        <v>86</v>
      </c>
    </row>
    <row r="2" spans="1:17" ht="15" customHeight="1" x14ac:dyDescent="0.25">
      <c r="A2" s="1189" t="s">
        <v>668</v>
      </c>
      <c r="B2" s="1189" t="s">
        <v>669</v>
      </c>
      <c r="C2" s="1189" t="s">
        <v>500</v>
      </c>
      <c r="D2" s="1189" t="s">
        <v>670</v>
      </c>
      <c r="E2" s="1189" t="s">
        <v>671</v>
      </c>
      <c r="F2" s="1189" t="s">
        <v>3</v>
      </c>
      <c r="G2" s="1190" t="s">
        <v>672</v>
      </c>
      <c r="H2" s="1189" t="s">
        <v>673</v>
      </c>
      <c r="I2" s="1189" t="s">
        <v>3</v>
      </c>
      <c r="J2" s="1189" t="s">
        <v>674</v>
      </c>
      <c r="K2" s="1189" t="s">
        <v>3</v>
      </c>
      <c r="L2" s="1189" t="s">
        <v>675</v>
      </c>
      <c r="M2" s="1189" t="s">
        <v>676</v>
      </c>
      <c r="N2" s="1190" t="s">
        <v>3</v>
      </c>
      <c r="O2" s="1189" t="s">
        <v>677</v>
      </c>
      <c r="P2" s="1201" t="s">
        <v>2065</v>
      </c>
      <c r="Q2" s="1189" t="s">
        <v>3</v>
      </c>
    </row>
    <row r="3" spans="1:17" ht="15" customHeight="1" x14ac:dyDescent="0.35">
      <c r="A3" s="1191" t="s">
        <v>659</v>
      </c>
      <c r="B3" s="1192" t="s">
        <v>660</v>
      </c>
      <c r="C3" s="1191" t="s">
        <v>500</v>
      </c>
      <c r="D3" s="1191" t="s">
        <v>661</v>
      </c>
      <c r="E3" s="1191" t="s">
        <v>662</v>
      </c>
      <c r="F3" s="1191" t="s">
        <v>663</v>
      </c>
      <c r="G3" s="1189" t="s">
        <v>664</v>
      </c>
      <c r="H3" s="1191">
        <v>0</v>
      </c>
      <c r="I3" s="1191"/>
      <c r="J3" s="1191" t="s">
        <v>665</v>
      </c>
      <c r="K3" s="1191" t="s">
        <v>666</v>
      </c>
      <c r="L3" s="1193" t="s">
        <v>2072</v>
      </c>
      <c r="M3" s="1191" t="s">
        <v>667</v>
      </c>
      <c r="N3" s="1194">
        <v>0.6</v>
      </c>
      <c r="O3" s="1191"/>
      <c r="P3" s="1191" t="s">
        <v>2064</v>
      </c>
      <c r="Q3" s="1189" t="s">
        <v>3</v>
      </c>
    </row>
    <row r="4" spans="1:17" ht="15" customHeight="1" x14ac:dyDescent="0.2">
      <c r="A4" s="1191"/>
      <c r="B4" s="1192"/>
      <c r="C4" s="1191"/>
      <c r="D4" s="1191"/>
      <c r="E4" s="1191"/>
      <c r="F4" s="1191"/>
      <c r="G4" s="1189"/>
      <c r="H4" s="1191"/>
      <c r="I4" s="1191"/>
      <c r="J4" s="1191"/>
      <c r="K4" s="1191"/>
      <c r="L4" s="1193"/>
      <c r="M4" s="1191"/>
      <c r="N4" s="1194"/>
      <c r="O4" s="1191"/>
      <c r="P4" s="1191"/>
      <c r="Q4" s="1189" t="s">
        <v>3</v>
      </c>
    </row>
    <row r="5" spans="1:17" ht="15" customHeight="1" x14ac:dyDescent="0.25">
      <c r="A5" s="1189" t="s">
        <v>779</v>
      </c>
      <c r="B5" s="1189" t="s">
        <v>780</v>
      </c>
      <c r="C5" s="1189" t="s">
        <v>121</v>
      </c>
      <c r="D5" s="1189" t="s">
        <v>781</v>
      </c>
      <c r="E5" s="1189" t="s">
        <v>782</v>
      </c>
      <c r="F5" s="1189" t="s">
        <v>681</v>
      </c>
      <c r="G5" s="1195" t="s">
        <v>700</v>
      </c>
      <c r="H5" s="1195" t="s">
        <v>700</v>
      </c>
      <c r="I5" s="1189" t="s">
        <v>783</v>
      </c>
      <c r="J5" s="1189" t="s">
        <v>784</v>
      </c>
      <c r="K5" s="1189" t="s">
        <v>166</v>
      </c>
      <c r="M5" s="1196" t="s">
        <v>785</v>
      </c>
      <c r="O5" s="1189" t="s">
        <v>737</v>
      </c>
      <c r="P5" s="1196" t="s">
        <v>2141</v>
      </c>
      <c r="Q5" s="1189" t="s">
        <v>3</v>
      </c>
    </row>
    <row r="6" spans="1:17" ht="15" customHeight="1" x14ac:dyDescent="0.25">
      <c r="A6" s="1189" t="s">
        <v>801</v>
      </c>
      <c r="B6" s="1189" t="s">
        <v>802</v>
      </c>
      <c r="C6" s="1189" t="s">
        <v>121</v>
      </c>
      <c r="D6" s="1189" t="s">
        <v>803</v>
      </c>
      <c r="E6" s="1189" t="s">
        <v>804</v>
      </c>
      <c r="F6" s="1189" t="s">
        <v>805</v>
      </c>
      <c r="G6" s="1190" t="s">
        <v>806</v>
      </c>
      <c r="H6" s="1190" t="s">
        <v>807</v>
      </c>
      <c r="I6" s="1189" t="s">
        <v>808</v>
      </c>
      <c r="J6" s="1189" t="s">
        <v>809</v>
      </c>
      <c r="K6" s="1189" t="s">
        <v>810</v>
      </c>
      <c r="L6" s="1189" t="s">
        <v>3</v>
      </c>
      <c r="M6" s="1189" t="s">
        <v>811</v>
      </c>
      <c r="N6" s="1190" t="s">
        <v>3</v>
      </c>
      <c r="O6" s="1189" t="s">
        <v>737</v>
      </c>
      <c r="P6" s="1200" t="s">
        <v>2066</v>
      </c>
      <c r="Q6" s="1189" t="s">
        <v>3</v>
      </c>
    </row>
    <row r="7" spans="1:17" ht="15" customHeight="1" x14ac:dyDescent="0.25">
      <c r="A7" s="1189" t="s">
        <v>914</v>
      </c>
      <c r="B7" s="1189" t="s">
        <v>915</v>
      </c>
      <c r="C7" s="260" t="s">
        <v>1868</v>
      </c>
      <c r="D7" s="1189" t="s">
        <v>916</v>
      </c>
      <c r="E7" s="1189" t="s">
        <v>917</v>
      </c>
      <c r="F7" s="1189" t="s">
        <v>918</v>
      </c>
      <c r="G7" s="1190" t="s">
        <v>919</v>
      </c>
      <c r="H7" s="1189" t="s">
        <v>2055</v>
      </c>
      <c r="I7" s="1189" t="s">
        <v>920</v>
      </c>
      <c r="J7" s="1189" t="s">
        <v>921</v>
      </c>
      <c r="K7" s="1189" t="s">
        <v>3</v>
      </c>
      <c r="L7" s="1189" t="s">
        <v>3</v>
      </c>
      <c r="M7" s="1189" t="s">
        <v>922</v>
      </c>
      <c r="N7" s="1194">
        <v>1</v>
      </c>
      <c r="O7" s="1189" t="s">
        <v>3</v>
      </c>
      <c r="P7" s="1196" t="s">
        <v>2142</v>
      </c>
      <c r="Q7" s="1189" t="s">
        <v>3</v>
      </c>
    </row>
    <row r="8" spans="1:17" ht="15" customHeight="1" x14ac:dyDescent="0.25">
      <c r="A8" s="1189" t="s">
        <v>717</v>
      </c>
      <c r="B8" s="1189" t="s">
        <v>718</v>
      </c>
      <c r="C8" s="1189" t="s">
        <v>121</v>
      </c>
      <c r="D8" s="1189" t="s">
        <v>719</v>
      </c>
      <c r="E8" s="1189" t="s">
        <v>720</v>
      </c>
      <c r="F8" s="1189" t="s">
        <v>721</v>
      </c>
      <c r="G8" s="1190" t="s">
        <v>722</v>
      </c>
      <c r="H8" s="260" t="s">
        <v>2187</v>
      </c>
      <c r="I8" s="260" t="s">
        <v>2186</v>
      </c>
      <c r="J8" s="1189" t="s">
        <v>723</v>
      </c>
      <c r="K8" s="1189" t="s">
        <v>724</v>
      </c>
      <c r="L8" s="1189" t="s">
        <v>3</v>
      </c>
      <c r="M8" s="1189" t="s">
        <v>2191</v>
      </c>
      <c r="N8" s="1195" t="s">
        <v>725</v>
      </c>
      <c r="O8" s="1189" t="s">
        <v>726</v>
      </c>
      <c r="P8" s="1196" t="s">
        <v>2185</v>
      </c>
      <c r="Q8" s="1189" t="s">
        <v>3</v>
      </c>
    </row>
    <row r="9" spans="1:17" ht="15" customHeight="1" x14ac:dyDescent="0.25">
      <c r="A9" s="1189" t="s">
        <v>850</v>
      </c>
      <c r="B9" s="1189" t="s">
        <v>851</v>
      </c>
      <c r="C9" s="1189" t="s">
        <v>121</v>
      </c>
      <c r="D9" s="1189" t="s">
        <v>852</v>
      </c>
      <c r="E9" s="1189" t="s">
        <v>853</v>
      </c>
      <c r="F9" s="1189" t="s">
        <v>681</v>
      </c>
      <c r="G9" s="1190" t="s">
        <v>700</v>
      </c>
      <c r="J9" s="1189" t="s">
        <v>854</v>
      </c>
      <c r="K9" s="1189" t="s">
        <v>855</v>
      </c>
      <c r="L9" s="1189" t="s">
        <v>856</v>
      </c>
      <c r="M9" s="1189" t="s">
        <v>3</v>
      </c>
      <c r="O9" s="1189" t="s">
        <v>726</v>
      </c>
      <c r="P9" s="1201" t="s">
        <v>2067</v>
      </c>
      <c r="Q9" s="1189" t="s">
        <v>3</v>
      </c>
    </row>
    <row r="10" spans="1:17" ht="15" customHeight="1" x14ac:dyDescent="0.25">
      <c r="A10" s="1189" t="s">
        <v>871</v>
      </c>
      <c r="B10" s="1189" t="s">
        <v>872</v>
      </c>
      <c r="C10" s="1189" t="s">
        <v>121</v>
      </c>
      <c r="D10" s="1189" t="s">
        <v>873</v>
      </c>
      <c r="E10" s="1189" t="s">
        <v>3</v>
      </c>
      <c r="F10" s="1189" t="s">
        <v>874</v>
      </c>
      <c r="G10" s="1190" t="s">
        <v>700</v>
      </c>
      <c r="J10" s="1189" t="s">
        <v>875</v>
      </c>
      <c r="K10" s="1189" t="s">
        <v>3</v>
      </c>
      <c r="M10" s="1189" t="s">
        <v>876</v>
      </c>
      <c r="N10" s="1194">
        <v>0.7</v>
      </c>
      <c r="P10" s="1189" t="s">
        <v>2068</v>
      </c>
      <c r="Q10" s="1189" t="s">
        <v>3</v>
      </c>
    </row>
    <row r="11" spans="1:17" ht="15" customHeight="1" x14ac:dyDescent="0.25">
      <c r="A11" s="1189" t="s">
        <v>727</v>
      </c>
      <c r="B11" s="1189" t="s">
        <v>728</v>
      </c>
      <c r="C11" s="1189" t="s">
        <v>121</v>
      </c>
      <c r="D11" s="1189" t="s">
        <v>729</v>
      </c>
      <c r="E11" s="1189" t="s">
        <v>730</v>
      </c>
      <c r="F11" s="1189" t="s">
        <v>681</v>
      </c>
      <c r="G11" s="1190" t="s">
        <v>731</v>
      </c>
      <c r="I11" s="1189" t="s">
        <v>732</v>
      </c>
      <c r="J11" s="1189" t="s">
        <v>671</v>
      </c>
      <c r="K11" s="1189" t="s">
        <v>733</v>
      </c>
      <c r="L11" s="1189" t="s">
        <v>734</v>
      </c>
      <c r="M11" s="260" t="s">
        <v>735</v>
      </c>
      <c r="N11" s="1194" t="s">
        <v>736</v>
      </c>
      <c r="O11" s="1189" t="s">
        <v>737</v>
      </c>
      <c r="P11" s="1200" t="s">
        <v>2069</v>
      </c>
      <c r="Q11" s="1189" t="s">
        <v>3</v>
      </c>
    </row>
    <row r="12" spans="1:17" ht="15" customHeight="1" x14ac:dyDescent="0.25">
      <c r="A12" s="1189" t="s">
        <v>678</v>
      </c>
      <c r="B12" s="1189" t="s">
        <v>679</v>
      </c>
      <c r="C12" s="1189" t="s">
        <v>121</v>
      </c>
      <c r="D12" s="1189" t="s">
        <v>2188</v>
      </c>
      <c r="E12" s="1189" t="s">
        <v>680</v>
      </c>
      <c r="F12" s="1189" t="s">
        <v>681</v>
      </c>
      <c r="G12" s="1189" t="s">
        <v>682</v>
      </c>
      <c r="H12" s="1190" t="s">
        <v>3</v>
      </c>
      <c r="I12" s="1189" t="s">
        <v>683</v>
      </c>
      <c r="J12" s="1189" t="s">
        <v>684</v>
      </c>
      <c r="K12" s="1189" t="s">
        <v>685</v>
      </c>
      <c r="L12" s="1189" t="s">
        <v>686</v>
      </c>
      <c r="M12" s="1189" t="s">
        <v>687</v>
      </c>
      <c r="N12" s="1190" t="s">
        <v>3</v>
      </c>
      <c r="O12" s="1189" t="s">
        <v>688</v>
      </c>
      <c r="P12" s="1196" t="s">
        <v>2189</v>
      </c>
      <c r="Q12" s="1189" t="s">
        <v>3</v>
      </c>
    </row>
    <row r="13" spans="1:17" ht="15" customHeight="1" x14ac:dyDescent="0.25">
      <c r="A13" s="1189" t="s">
        <v>791</v>
      </c>
      <c r="B13" s="1189" t="s">
        <v>792</v>
      </c>
      <c r="C13" s="1189" t="s">
        <v>121</v>
      </c>
      <c r="D13" s="1189" t="s">
        <v>793</v>
      </c>
      <c r="E13" s="1189" t="s">
        <v>794</v>
      </c>
      <c r="F13" s="1189" t="s">
        <v>3</v>
      </c>
      <c r="G13" s="1189" t="s">
        <v>795</v>
      </c>
      <c r="H13" s="1190" t="s">
        <v>3</v>
      </c>
      <c r="I13" s="1189" t="s">
        <v>796</v>
      </c>
      <c r="J13" s="1189" t="s">
        <v>797</v>
      </c>
      <c r="K13" s="1189" t="s">
        <v>3</v>
      </c>
      <c r="L13" s="1189" t="s">
        <v>3</v>
      </c>
      <c r="M13" s="1189" t="s">
        <v>798</v>
      </c>
      <c r="N13" s="1190" t="s">
        <v>799</v>
      </c>
      <c r="O13" s="1189" t="s">
        <v>800</v>
      </c>
      <c r="P13" s="1189" t="s">
        <v>2070</v>
      </c>
      <c r="Q13" s="1189" t="s">
        <v>3</v>
      </c>
    </row>
    <row r="14" spans="1:17" ht="15" customHeight="1" x14ac:dyDescent="0.25">
      <c r="A14" s="1189" t="s">
        <v>708</v>
      </c>
      <c r="B14" s="1189" t="s">
        <v>709</v>
      </c>
      <c r="C14" s="1189" t="s">
        <v>121</v>
      </c>
      <c r="D14" s="1189" t="s">
        <v>710</v>
      </c>
      <c r="E14" s="1189" t="s">
        <v>22</v>
      </c>
      <c r="F14" s="1189" t="s">
        <v>711</v>
      </c>
      <c r="G14" s="1190" t="s">
        <v>712</v>
      </c>
      <c r="H14" s="1190" t="s">
        <v>3</v>
      </c>
      <c r="I14" s="1189" t="s">
        <v>713</v>
      </c>
      <c r="J14" s="1189" t="s">
        <v>714</v>
      </c>
      <c r="K14" s="1189" t="s">
        <v>166</v>
      </c>
      <c r="M14" s="1189" t="s">
        <v>715</v>
      </c>
      <c r="N14" s="1190" t="s">
        <v>3</v>
      </c>
      <c r="O14" s="1189" t="s">
        <v>716</v>
      </c>
      <c r="P14" s="1201" t="s">
        <v>2071</v>
      </c>
      <c r="Q14" s="1189" t="s">
        <v>3</v>
      </c>
    </row>
    <row r="15" spans="1:17" ht="15" customHeight="1" x14ac:dyDescent="0.25">
      <c r="A15" s="1189" t="s">
        <v>990</v>
      </c>
      <c r="B15" s="1189" t="s">
        <v>915</v>
      </c>
      <c r="C15" s="260" t="s">
        <v>1868</v>
      </c>
      <c r="D15" s="1189" t="s">
        <v>991</v>
      </c>
      <c r="E15" s="1189" t="s">
        <v>22</v>
      </c>
      <c r="F15" s="1189" t="s">
        <v>978</v>
      </c>
      <c r="G15" s="1189" t="s">
        <v>992</v>
      </c>
      <c r="H15" s="1190" t="s">
        <v>3</v>
      </c>
      <c r="J15" s="1189" t="s">
        <v>993</v>
      </c>
      <c r="K15" s="1189" t="s">
        <v>3</v>
      </c>
      <c r="L15" s="1189" t="s">
        <v>994</v>
      </c>
      <c r="M15" s="1189" t="s">
        <v>995</v>
      </c>
      <c r="N15" s="1190" t="s">
        <v>421</v>
      </c>
      <c r="P15" s="1218" t="s">
        <v>2143</v>
      </c>
      <c r="Q15" s="1189" t="s">
        <v>3</v>
      </c>
    </row>
    <row r="16" spans="1:17" ht="15" customHeight="1" x14ac:dyDescent="0.25">
      <c r="A16" s="1189" t="s">
        <v>882</v>
      </c>
      <c r="B16" s="1189" t="s">
        <v>883</v>
      </c>
      <c r="C16" s="260" t="s">
        <v>884</v>
      </c>
      <c r="D16" s="1189" t="s">
        <v>885</v>
      </c>
      <c r="E16" s="260" t="s">
        <v>886</v>
      </c>
      <c r="F16" s="1197" t="s">
        <v>887</v>
      </c>
      <c r="G16" s="1195" t="s">
        <v>888</v>
      </c>
      <c r="H16" s="1195" t="s">
        <v>3</v>
      </c>
      <c r="I16" s="1189" t="s">
        <v>3</v>
      </c>
      <c r="J16" s="1189" t="s">
        <v>889</v>
      </c>
      <c r="K16" s="1189" t="s">
        <v>890</v>
      </c>
      <c r="L16" s="1189" t="s">
        <v>891</v>
      </c>
      <c r="M16" s="1189" t="s">
        <v>892</v>
      </c>
      <c r="N16" s="1190" t="s">
        <v>893</v>
      </c>
      <c r="O16" s="260" t="s">
        <v>3</v>
      </c>
      <c r="P16" s="1217" t="s">
        <v>2139</v>
      </c>
      <c r="Q16" s="1189" t="s">
        <v>3</v>
      </c>
    </row>
    <row r="17" spans="1:17" ht="15" customHeight="1" x14ac:dyDescent="0.25">
      <c r="A17" s="1189" t="s">
        <v>819</v>
      </c>
      <c r="B17" s="1189" t="s">
        <v>820</v>
      </c>
      <c r="C17" s="1189" t="s">
        <v>121</v>
      </c>
      <c r="D17" s="1189" t="s">
        <v>821</v>
      </c>
      <c r="E17" s="1189" t="s">
        <v>822</v>
      </c>
      <c r="F17" s="1189" t="s">
        <v>721</v>
      </c>
      <c r="G17" s="1190" t="s">
        <v>722</v>
      </c>
      <c r="K17" s="1189" t="s">
        <v>823</v>
      </c>
      <c r="L17" s="1189" t="s">
        <v>824</v>
      </c>
      <c r="M17" s="1189" t="s">
        <v>825</v>
      </c>
      <c r="N17" s="1190" t="s">
        <v>826</v>
      </c>
      <c r="O17" s="1189" t="s">
        <v>827</v>
      </c>
      <c r="P17" s="1217" t="s">
        <v>2140</v>
      </c>
      <c r="Q17" s="1189" t="s">
        <v>3</v>
      </c>
    </row>
    <row r="18" spans="1:17" ht="15" customHeight="1" x14ac:dyDescent="0.25">
      <c r="A18" s="1189" t="s">
        <v>764</v>
      </c>
      <c r="B18" s="1189" t="s">
        <v>765</v>
      </c>
      <c r="C18" s="1189" t="s">
        <v>121</v>
      </c>
      <c r="D18" s="1189" t="s">
        <v>766</v>
      </c>
      <c r="E18" s="1189" t="s">
        <v>767</v>
      </c>
      <c r="F18" s="1189" t="s">
        <v>768</v>
      </c>
      <c r="G18" s="1190" t="s">
        <v>3</v>
      </c>
      <c r="I18" s="1189" t="s">
        <v>769</v>
      </c>
      <c r="J18" s="1189" t="s">
        <v>770</v>
      </c>
      <c r="K18" s="1189" t="s">
        <v>771</v>
      </c>
      <c r="L18" s="1189" t="s">
        <v>772</v>
      </c>
      <c r="M18" s="1196" t="s">
        <v>773</v>
      </c>
      <c r="O18" s="1189" t="s">
        <v>726</v>
      </c>
      <c r="P18" s="1201" t="s">
        <v>2074</v>
      </c>
      <c r="Q18" s="1189" t="s">
        <v>3</v>
      </c>
    </row>
    <row r="19" spans="1:17" ht="15" customHeight="1" x14ac:dyDescent="0.25">
      <c r="A19" s="1189" t="s">
        <v>894</v>
      </c>
      <c r="B19" s="1189" t="s">
        <v>895</v>
      </c>
      <c r="C19" s="260" t="s">
        <v>896</v>
      </c>
      <c r="D19" s="1189" t="s">
        <v>897</v>
      </c>
      <c r="E19" s="1189" t="s">
        <v>898</v>
      </c>
      <c r="F19" s="1189" t="s">
        <v>721</v>
      </c>
      <c r="H19" s="1190" t="s">
        <v>3</v>
      </c>
      <c r="J19" s="1189" t="s">
        <v>899</v>
      </c>
      <c r="K19" s="1189" t="s">
        <v>900</v>
      </c>
      <c r="L19" s="1189" t="s">
        <v>901</v>
      </c>
      <c r="M19" s="1189" t="s">
        <v>902</v>
      </c>
      <c r="N19" s="1190" t="s">
        <v>903</v>
      </c>
      <c r="O19" s="1189" t="s">
        <v>904</v>
      </c>
      <c r="P19" s="260" t="s">
        <v>2075</v>
      </c>
      <c r="Q19" s="1189" t="s">
        <v>3</v>
      </c>
    </row>
    <row r="20" spans="1:17" ht="15" customHeight="1" x14ac:dyDescent="0.25">
      <c r="A20" s="1189" t="s">
        <v>909</v>
      </c>
      <c r="B20" s="1189" t="s">
        <v>787</v>
      </c>
      <c r="C20" s="1189" t="s">
        <v>910</v>
      </c>
      <c r="D20" s="1189" t="s">
        <v>911</v>
      </c>
      <c r="E20" s="1189" t="s">
        <v>3</v>
      </c>
      <c r="F20" s="1189" t="s">
        <v>721</v>
      </c>
      <c r="J20" s="1189" t="s">
        <v>912</v>
      </c>
      <c r="K20" s="1189" t="s">
        <v>3</v>
      </c>
      <c r="M20" s="1189" t="s">
        <v>913</v>
      </c>
      <c r="N20" s="1190" t="s">
        <v>3</v>
      </c>
      <c r="P20" s="1200" t="s">
        <v>2076</v>
      </c>
      <c r="Q20" s="1189" t="s">
        <v>3</v>
      </c>
    </row>
    <row r="21" spans="1:17" ht="15" customHeight="1" x14ac:dyDescent="0.25">
      <c r="A21" s="1189" t="s">
        <v>738</v>
      </c>
      <c r="B21" s="1189" t="s">
        <v>739</v>
      </c>
      <c r="C21" s="1189" t="s">
        <v>121</v>
      </c>
      <c r="D21" s="1189" t="s">
        <v>740</v>
      </c>
      <c r="E21" s="1189" t="s">
        <v>741</v>
      </c>
      <c r="F21" s="1189" t="s">
        <v>168</v>
      </c>
      <c r="G21" s="1190" t="s">
        <v>3</v>
      </c>
      <c r="I21" s="1189" t="s">
        <v>742</v>
      </c>
      <c r="J21" s="1189" t="s">
        <v>22</v>
      </c>
      <c r="L21" s="1189" t="s">
        <v>743</v>
      </c>
      <c r="M21" s="1189" t="s">
        <v>744</v>
      </c>
      <c r="N21" s="1190" t="s">
        <v>3</v>
      </c>
      <c r="P21" s="1189" t="s">
        <v>2077</v>
      </c>
      <c r="Q21" s="1189" t="s">
        <v>3</v>
      </c>
    </row>
    <row r="22" spans="1:17" ht="15" customHeight="1" x14ac:dyDescent="0.25">
      <c r="A22" s="1189" t="s">
        <v>843</v>
      </c>
      <c r="B22" s="1189" t="s">
        <v>844</v>
      </c>
      <c r="C22" s="1189" t="s">
        <v>121</v>
      </c>
      <c r="D22" s="1189" t="s">
        <v>845</v>
      </c>
      <c r="E22" s="1189" t="s">
        <v>3</v>
      </c>
      <c r="F22" s="1189" t="s">
        <v>846</v>
      </c>
      <c r="G22" s="1190" t="s">
        <v>847</v>
      </c>
      <c r="H22" s="1190">
        <v>0</v>
      </c>
      <c r="I22" s="1189" t="s">
        <v>848</v>
      </c>
      <c r="J22" s="1187" t="s">
        <v>3</v>
      </c>
      <c r="M22" s="1189" t="s">
        <v>849</v>
      </c>
      <c r="N22" s="1190" t="s">
        <v>3</v>
      </c>
      <c r="O22" s="1189" t="s">
        <v>3</v>
      </c>
      <c r="P22" s="1189" t="s">
        <v>2078</v>
      </c>
      <c r="Q22" s="1189" t="s">
        <v>3</v>
      </c>
    </row>
    <row r="23" spans="1:17" ht="15" customHeight="1" x14ac:dyDescent="0.25">
      <c r="A23" s="1189" t="s">
        <v>905</v>
      </c>
      <c r="B23" s="1189" t="s">
        <v>906</v>
      </c>
      <c r="C23" s="1189" t="str">
        <f>C39</f>
        <v>Pyrolysis</v>
      </c>
      <c r="E23" s="1189" t="s">
        <v>898</v>
      </c>
      <c r="F23" s="1189" t="s">
        <v>907</v>
      </c>
      <c r="G23" s="1189" t="s">
        <v>908</v>
      </c>
      <c r="H23" s="1190">
        <v>0</v>
      </c>
      <c r="P23" s="260" t="s">
        <v>2079</v>
      </c>
      <c r="Q23" s="1189" t="s">
        <v>3</v>
      </c>
    </row>
    <row r="24" spans="1:17" ht="15" customHeight="1" x14ac:dyDescent="0.25">
      <c r="A24" s="1189" t="s">
        <v>774</v>
      </c>
      <c r="B24" s="1189" t="s">
        <v>775</v>
      </c>
      <c r="C24" s="1189" t="s">
        <v>121</v>
      </c>
      <c r="E24" s="1189" t="s">
        <v>671</v>
      </c>
      <c r="F24" s="1189" t="s">
        <v>776</v>
      </c>
      <c r="G24" s="1190" t="s">
        <v>777</v>
      </c>
      <c r="H24" s="1190">
        <v>0</v>
      </c>
      <c r="I24" s="1189" t="s">
        <v>778</v>
      </c>
      <c r="J24" s="1189" t="s">
        <v>671</v>
      </c>
      <c r="K24" s="1189" t="s">
        <v>3</v>
      </c>
      <c r="L24" s="1189" t="s">
        <v>3</v>
      </c>
      <c r="M24" s="1189" t="s">
        <v>3</v>
      </c>
      <c r="N24" s="1190" t="s">
        <v>3</v>
      </c>
      <c r="O24" s="1189" t="s">
        <v>3</v>
      </c>
      <c r="P24" s="1189" t="s">
        <v>2080</v>
      </c>
      <c r="Q24" s="1189" t="s">
        <v>3</v>
      </c>
    </row>
    <row r="25" spans="1:17" ht="15" customHeight="1" x14ac:dyDescent="0.25">
      <c r="A25" s="1189" t="s">
        <v>812</v>
      </c>
      <c r="B25" s="1189" t="s">
        <v>787</v>
      </c>
      <c r="C25" s="1189" t="s">
        <v>121</v>
      </c>
      <c r="D25" s="1189" t="s">
        <v>813</v>
      </c>
      <c r="E25" s="1189" t="s">
        <v>814</v>
      </c>
      <c r="F25" s="1189" t="s">
        <v>815</v>
      </c>
      <c r="G25" s="1190" t="s">
        <v>816</v>
      </c>
      <c r="H25" s="1190">
        <v>0</v>
      </c>
      <c r="I25" s="1189" t="s">
        <v>817</v>
      </c>
      <c r="N25" s="1190" t="s">
        <v>818</v>
      </c>
      <c r="O25" s="1189" t="s">
        <v>3</v>
      </c>
      <c r="P25" s="1189" t="s">
        <v>2081</v>
      </c>
      <c r="Q25" s="1189" t="s">
        <v>3</v>
      </c>
    </row>
    <row r="26" spans="1:17" ht="15" customHeight="1" x14ac:dyDescent="0.25">
      <c r="A26" s="1189" t="s">
        <v>689</v>
      </c>
      <c r="B26" s="1189" t="s">
        <v>690</v>
      </c>
      <c r="C26" s="1189" t="s">
        <v>121</v>
      </c>
      <c r="D26" s="1189" t="s">
        <v>691</v>
      </c>
      <c r="E26" s="1189" t="s">
        <v>680</v>
      </c>
      <c r="F26" s="1189" t="s">
        <v>692</v>
      </c>
      <c r="G26" s="1190" t="s">
        <v>693</v>
      </c>
      <c r="H26" s="1190">
        <v>0</v>
      </c>
      <c r="J26" s="1189" t="s">
        <v>694</v>
      </c>
      <c r="K26" s="1189" t="s">
        <v>685</v>
      </c>
      <c r="L26" s="1189" t="s">
        <v>695</v>
      </c>
      <c r="M26" s="1189" t="s">
        <v>3</v>
      </c>
      <c r="N26" s="1194">
        <v>0.85</v>
      </c>
      <c r="O26" s="1198" t="s">
        <v>696</v>
      </c>
      <c r="P26" s="1202" t="s">
        <v>2082</v>
      </c>
      <c r="Q26" s="1189" t="s">
        <v>3</v>
      </c>
    </row>
    <row r="27" spans="1:17" ht="15" customHeight="1" x14ac:dyDescent="0.2">
      <c r="A27" s="1189" t="s">
        <v>857</v>
      </c>
      <c r="B27" s="1189" t="s">
        <v>858</v>
      </c>
      <c r="C27" s="1189" t="str">
        <f>C26</f>
        <v>Pyrolysis</v>
      </c>
      <c r="D27" s="1189" t="str">
        <f>D26</f>
        <v>temperatures just below 500°C</v>
      </c>
      <c r="E27" s="1189" t="str">
        <f>E26</f>
        <v>LDPE, HDPE, PS, PP</v>
      </c>
      <c r="F27" s="1189" t="s">
        <v>859</v>
      </c>
      <c r="G27" s="1190" t="s">
        <v>693</v>
      </c>
      <c r="H27" s="1190">
        <v>0</v>
      </c>
      <c r="I27" s="1189" t="s">
        <v>860</v>
      </c>
      <c r="J27" s="1189" t="str">
        <f>J26</f>
        <v>mix of treatable plastic types</v>
      </c>
      <c r="K27" s="1189" t="str">
        <f>K26</f>
        <v>removal of metals, humidity, other plastic types, other undesired components</v>
      </c>
      <c r="L27" s="1189" t="str">
        <f>L26</f>
        <v>distilling collected hydrocarbons and purifying as well as upgrading fractions depending on application</v>
      </c>
      <c r="M27" s="1189" t="s">
        <v>3</v>
      </c>
      <c r="P27" s="218" t="s">
        <v>2083</v>
      </c>
      <c r="Q27" s="1189" t="s">
        <v>3</v>
      </c>
    </row>
    <row r="28" spans="1:17" ht="15" customHeight="1" x14ac:dyDescent="0.2">
      <c r="A28" s="1189" t="s">
        <v>877</v>
      </c>
      <c r="B28" s="1189" t="s">
        <v>878</v>
      </c>
      <c r="C28" s="1189" t="s">
        <v>121</v>
      </c>
      <c r="D28" s="1189" t="s">
        <v>879</v>
      </c>
      <c r="E28" s="1189" t="s">
        <v>3</v>
      </c>
      <c r="F28" s="260" t="s">
        <v>880</v>
      </c>
      <c r="G28" s="1190" t="s">
        <v>693</v>
      </c>
      <c r="H28" s="1190">
        <v>0</v>
      </c>
      <c r="J28" s="1189" t="s">
        <v>881</v>
      </c>
      <c r="K28" s="1189" t="s">
        <v>3</v>
      </c>
      <c r="P28" s="218" t="s">
        <v>2084</v>
      </c>
      <c r="Q28" s="1189" t="s">
        <v>3</v>
      </c>
    </row>
    <row r="29" spans="1:17" ht="15" customHeight="1" x14ac:dyDescent="0.25">
      <c r="A29" s="1189" t="s">
        <v>861</v>
      </c>
      <c r="B29" s="1189" t="s">
        <v>862</v>
      </c>
      <c r="C29" s="1189" t="str">
        <f>C14</f>
        <v>Pyrolysis</v>
      </c>
      <c r="D29" s="1189" t="str">
        <f>D14</f>
        <v>under use of heat, oxygen-deprived atmosphere, only PS as input</v>
      </c>
      <c r="E29" s="1189" t="str">
        <f>E14</f>
        <v>PS</v>
      </c>
      <c r="F29" s="1189" t="s">
        <v>859</v>
      </c>
      <c r="G29" s="1190" t="s">
        <v>863</v>
      </c>
      <c r="H29" s="1190">
        <v>0</v>
      </c>
      <c r="J29" s="1189" t="str">
        <f>J12</f>
        <v>waste from municipal recovery facilities and recycling factories, delivered in a form that can be readily managed</v>
      </c>
      <c r="K29" s="1189" t="str">
        <f>K12</f>
        <v>removal of metals, humidity, other plastic types, other undesired components</v>
      </c>
      <c r="L29" s="1189" t="str">
        <f>L12</f>
        <v>distilling collected hydrocarbons into raw diesel, light oil, and synthetic gas components</v>
      </c>
      <c r="M29" s="1189" t="s">
        <v>3</v>
      </c>
      <c r="P29" s="1189" t="s">
        <v>2085</v>
      </c>
      <c r="Q29" s="1189" t="s">
        <v>3</v>
      </c>
    </row>
    <row r="30" spans="1:17" ht="15" customHeight="1" x14ac:dyDescent="0.25">
      <c r="A30" s="1189" t="s">
        <v>705</v>
      </c>
      <c r="B30" s="1189" t="s">
        <v>702</v>
      </c>
      <c r="C30" s="1189" t="s">
        <v>121</v>
      </c>
      <c r="F30" s="1189" t="s">
        <v>703</v>
      </c>
      <c r="G30" s="1190" t="s">
        <v>706</v>
      </c>
      <c r="H30" s="1190">
        <v>0</v>
      </c>
      <c r="I30" s="1189" t="s">
        <v>707</v>
      </c>
      <c r="J30" s="1189" t="s">
        <v>3</v>
      </c>
      <c r="P30" s="1189" t="s">
        <v>2086</v>
      </c>
      <c r="Q30" s="1189" t="s">
        <v>3</v>
      </c>
    </row>
    <row r="31" spans="1:17" ht="15" customHeight="1" x14ac:dyDescent="0.25">
      <c r="A31" s="1189" t="s">
        <v>697</v>
      </c>
      <c r="B31" s="1189" t="s">
        <v>698</v>
      </c>
      <c r="C31" s="1189" t="s">
        <v>121</v>
      </c>
      <c r="F31" s="260" t="s">
        <v>699</v>
      </c>
      <c r="G31" s="1190" t="s">
        <v>700</v>
      </c>
      <c r="H31" s="1190">
        <v>0</v>
      </c>
      <c r="P31" s="1189" t="s">
        <v>2087</v>
      </c>
      <c r="Q31" s="1189" t="s">
        <v>3</v>
      </c>
    </row>
    <row r="32" spans="1:17" ht="15" customHeight="1" x14ac:dyDescent="0.25">
      <c r="A32" s="1189" t="s">
        <v>786</v>
      </c>
      <c r="B32" s="1189" t="s">
        <v>787</v>
      </c>
      <c r="C32" s="1189" t="s">
        <v>121</v>
      </c>
      <c r="E32" s="1189" t="s">
        <v>788</v>
      </c>
      <c r="F32" s="1189" t="s">
        <v>789</v>
      </c>
      <c r="G32" s="1190" t="s">
        <v>700</v>
      </c>
      <c r="H32" s="1190">
        <v>0</v>
      </c>
      <c r="J32" s="1189" t="s">
        <v>790</v>
      </c>
      <c r="K32" s="1189" t="s">
        <v>3</v>
      </c>
      <c r="P32" s="1189" t="s">
        <v>2088</v>
      </c>
      <c r="Q32" s="1189" t="s">
        <v>3</v>
      </c>
    </row>
    <row r="33" spans="1:17" ht="15" customHeight="1" x14ac:dyDescent="0.25">
      <c r="A33" s="1189" t="s">
        <v>701</v>
      </c>
      <c r="B33" s="1189" t="s">
        <v>702</v>
      </c>
      <c r="C33" s="1189" t="s">
        <v>121</v>
      </c>
      <c r="F33" s="1189" t="s">
        <v>703</v>
      </c>
      <c r="G33" s="1190" t="s">
        <v>704</v>
      </c>
      <c r="H33" s="1190">
        <v>0</v>
      </c>
      <c r="P33" s="1189" t="s">
        <v>2086</v>
      </c>
      <c r="Q33" s="1189" t="s">
        <v>3</v>
      </c>
    </row>
    <row r="34" spans="1:17" ht="15" customHeight="1" x14ac:dyDescent="0.25">
      <c r="A34" s="1189" t="s">
        <v>745</v>
      </c>
      <c r="B34" s="1189" t="s">
        <v>746</v>
      </c>
      <c r="C34" s="1189" t="s">
        <v>121</v>
      </c>
      <c r="E34" s="1189" t="s">
        <v>747</v>
      </c>
      <c r="F34" s="1189" t="s">
        <v>748</v>
      </c>
      <c r="G34" s="1190" t="s">
        <v>704</v>
      </c>
      <c r="H34" s="1190">
        <v>0</v>
      </c>
      <c r="I34" s="1189" t="s">
        <v>749</v>
      </c>
      <c r="J34" s="1189" t="s">
        <v>22</v>
      </c>
      <c r="M34" s="1189" t="s">
        <v>750</v>
      </c>
      <c r="N34" s="1190" t="s">
        <v>3</v>
      </c>
      <c r="P34" s="1189" t="s">
        <v>2089</v>
      </c>
      <c r="Q34" s="1189" t="s">
        <v>3</v>
      </c>
    </row>
    <row r="35" spans="1:17" ht="15" customHeight="1" x14ac:dyDescent="0.25">
      <c r="A35" s="1189" t="s">
        <v>751</v>
      </c>
      <c r="B35" s="1189" t="s">
        <v>752</v>
      </c>
      <c r="C35" s="1189" t="s">
        <v>121</v>
      </c>
      <c r="E35" s="1189" t="s">
        <v>22</v>
      </c>
      <c r="F35" s="1189" t="s">
        <v>753</v>
      </c>
      <c r="G35" s="1190" t="s">
        <v>704</v>
      </c>
      <c r="H35" s="1190">
        <v>0</v>
      </c>
      <c r="J35" s="1189" t="s">
        <v>671</v>
      </c>
      <c r="K35" s="1189" t="s">
        <v>3</v>
      </c>
      <c r="M35" s="1189" t="s">
        <v>754</v>
      </c>
      <c r="N35" s="1190" t="s">
        <v>3</v>
      </c>
      <c r="P35" s="1201" t="s">
        <v>2090</v>
      </c>
      <c r="Q35" s="1189" t="s">
        <v>3</v>
      </c>
    </row>
    <row r="36" spans="1:17" ht="15" customHeight="1" x14ac:dyDescent="0.25">
      <c r="A36" s="1189" t="s">
        <v>835</v>
      </c>
      <c r="B36" s="1189" t="s">
        <v>836</v>
      </c>
      <c r="C36" s="1189" t="s">
        <v>121</v>
      </c>
      <c r="D36" s="1189" t="s">
        <v>837</v>
      </c>
      <c r="E36" s="1189" t="s">
        <v>3</v>
      </c>
      <c r="F36" s="1189" t="s">
        <v>838</v>
      </c>
      <c r="G36" s="1190" t="s">
        <v>839</v>
      </c>
      <c r="H36" s="1190">
        <v>0</v>
      </c>
      <c r="I36" s="1189" t="s">
        <v>840</v>
      </c>
      <c r="J36" s="1189" t="s">
        <v>841</v>
      </c>
      <c r="K36" s="1189" t="s">
        <v>3</v>
      </c>
      <c r="L36" s="1189" t="s">
        <v>3</v>
      </c>
      <c r="M36" s="1189" t="s">
        <v>842</v>
      </c>
      <c r="N36" s="1190" t="s">
        <v>3</v>
      </c>
      <c r="O36" s="1189" t="s">
        <v>3</v>
      </c>
      <c r="P36" s="1189" t="s">
        <v>2091</v>
      </c>
      <c r="Q36" s="1189" t="s">
        <v>3</v>
      </c>
    </row>
    <row r="37" spans="1:17" ht="15" customHeight="1" x14ac:dyDescent="0.25">
      <c r="A37" s="1189" t="s">
        <v>864</v>
      </c>
      <c r="B37" s="1189" t="s">
        <v>865</v>
      </c>
      <c r="C37" s="1189" t="s">
        <v>121</v>
      </c>
      <c r="D37" s="1189" t="s">
        <v>866</v>
      </c>
      <c r="E37" s="1189" t="s">
        <v>3</v>
      </c>
      <c r="G37" s="1190" t="s">
        <v>867</v>
      </c>
      <c r="H37" s="1190">
        <v>0</v>
      </c>
      <c r="I37" s="1189" t="s">
        <v>868</v>
      </c>
      <c r="J37" s="1189" t="s">
        <v>869</v>
      </c>
      <c r="K37" s="1189" t="s">
        <v>3</v>
      </c>
      <c r="M37" s="1189" t="s">
        <v>870</v>
      </c>
      <c r="N37" s="1190" t="s">
        <v>3</v>
      </c>
      <c r="P37" s="260" t="s">
        <v>2092</v>
      </c>
      <c r="Q37" s="1189" t="s">
        <v>3</v>
      </c>
    </row>
    <row r="38" spans="1:17" ht="15" customHeight="1" x14ac:dyDescent="0.25">
      <c r="A38" s="1189" t="s">
        <v>755</v>
      </c>
      <c r="B38" s="1189" t="s">
        <v>756</v>
      </c>
      <c r="C38" s="1189" t="s">
        <v>121</v>
      </c>
      <c r="D38" s="1189" t="s">
        <v>757</v>
      </c>
      <c r="E38" s="1189" t="s">
        <v>758</v>
      </c>
      <c r="F38" s="1189" t="s">
        <v>759</v>
      </c>
      <c r="G38" s="1190" t="s">
        <v>760</v>
      </c>
      <c r="H38" s="1190">
        <v>0</v>
      </c>
      <c r="I38" s="1189" t="s">
        <v>761</v>
      </c>
      <c r="J38" s="1189" t="s">
        <v>762</v>
      </c>
      <c r="K38" s="1189" t="s">
        <v>166</v>
      </c>
      <c r="L38" s="1189" t="s">
        <v>3</v>
      </c>
      <c r="M38" s="1189" t="s">
        <v>763</v>
      </c>
      <c r="N38" s="1194">
        <v>0.6</v>
      </c>
      <c r="P38" s="1189" t="s">
        <v>2093</v>
      </c>
      <c r="Q38" s="1189" t="s">
        <v>3</v>
      </c>
    </row>
    <row r="39" spans="1:17" ht="15" customHeight="1" x14ac:dyDescent="0.25">
      <c r="A39" s="1189" t="s">
        <v>828</v>
      </c>
      <c r="C39" s="1189" t="s">
        <v>121</v>
      </c>
      <c r="D39" s="1189" t="s">
        <v>829</v>
      </c>
      <c r="E39" s="1189" t="s">
        <v>830</v>
      </c>
      <c r="F39" s="1189" t="s">
        <v>831</v>
      </c>
      <c r="G39" s="1190" t="s">
        <v>3</v>
      </c>
      <c r="H39" s="1190">
        <v>0</v>
      </c>
      <c r="J39" s="1189" t="s">
        <v>832</v>
      </c>
      <c r="K39" s="1189" t="s">
        <v>3</v>
      </c>
      <c r="L39" s="1189" t="s">
        <v>3</v>
      </c>
      <c r="M39" s="1189" t="s">
        <v>833</v>
      </c>
      <c r="N39" s="1194" t="s">
        <v>834</v>
      </c>
      <c r="O39" s="1189" t="s">
        <v>3</v>
      </c>
      <c r="P39" s="1189" t="s">
        <v>2094</v>
      </c>
      <c r="Q39" s="1189" t="s">
        <v>3</v>
      </c>
    </row>
    <row r="40" spans="1:17" s="1020" customFormat="1" ht="15" customHeight="1" x14ac:dyDescent="0.2">
      <c r="P40" s="1191"/>
      <c r="Q40" s="1189" t="s">
        <v>3</v>
      </c>
    </row>
    <row r="41" spans="1:17" s="1191" customFormat="1" ht="15" customHeight="1" x14ac:dyDescent="0.25">
      <c r="A41" s="1189" t="s">
        <v>1070</v>
      </c>
      <c r="B41" s="1189" t="s">
        <v>1009</v>
      </c>
      <c r="C41" s="1189" t="s">
        <v>11</v>
      </c>
      <c r="D41" s="1189" t="s">
        <v>960</v>
      </c>
      <c r="E41" s="1189" t="s">
        <v>20</v>
      </c>
      <c r="F41" s="1189" t="s">
        <v>1072</v>
      </c>
      <c r="G41" s="1189" t="s">
        <v>1073</v>
      </c>
      <c r="H41" s="1190" t="s">
        <v>3</v>
      </c>
      <c r="I41" s="1189"/>
      <c r="J41" s="1189" t="s">
        <v>1006</v>
      </c>
      <c r="K41" s="1189"/>
      <c r="L41" s="1189"/>
      <c r="M41" s="1189"/>
      <c r="N41" s="1190"/>
      <c r="O41" s="1189" t="s">
        <v>1888</v>
      </c>
      <c r="P41" s="1189" t="s">
        <v>1074</v>
      </c>
      <c r="Q41" s="1189" t="s">
        <v>3</v>
      </c>
    </row>
    <row r="42" spans="1:17" ht="15" customHeight="1" x14ac:dyDescent="0.25">
      <c r="A42" s="1189" t="s">
        <v>966</v>
      </c>
      <c r="B42" s="1189" t="s">
        <v>967</v>
      </c>
      <c r="C42" s="1189" t="s">
        <v>11</v>
      </c>
      <c r="D42" s="1189" t="s">
        <v>968</v>
      </c>
      <c r="E42" s="1189" t="s">
        <v>969</v>
      </c>
      <c r="F42" s="1189" t="s">
        <v>3</v>
      </c>
      <c r="G42" s="1190" t="s">
        <v>970</v>
      </c>
      <c r="H42" s="1190" t="s">
        <v>3</v>
      </c>
      <c r="J42" s="1189" t="s">
        <v>971</v>
      </c>
      <c r="K42" s="1189" t="s">
        <v>972</v>
      </c>
      <c r="L42" s="1189" t="s">
        <v>973</v>
      </c>
      <c r="M42" s="1189" t="s">
        <v>974</v>
      </c>
      <c r="N42" s="1190" t="s">
        <v>3</v>
      </c>
      <c r="O42" s="1189" t="s">
        <v>904</v>
      </c>
      <c r="P42" s="1217" t="s">
        <v>2144</v>
      </c>
      <c r="Q42" s="1189" t="s">
        <v>3</v>
      </c>
    </row>
    <row r="43" spans="1:17" ht="15" customHeight="1" x14ac:dyDescent="0.25">
      <c r="A43" s="1189" t="s">
        <v>1071</v>
      </c>
      <c r="B43" s="1189" t="s">
        <v>669</v>
      </c>
      <c r="C43" s="1189" t="s">
        <v>11</v>
      </c>
      <c r="D43" s="1189" t="s">
        <v>1010</v>
      </c>
      <c r="E43" s="1189" t="s">
        <v>20</v>
      </c>
      <c r="G43" s="1190" t="s">
        <v>1075</v>
      </c>
      <c r="J43" s="1189" t="s">
        <v>1006</v>
      </c>
      <c r="P43" s="1189" t="s">
        <v>1074</v>
      </c>
      <c r="Q43" s="1189" t="s">
        <v>3</v>
      </c>
    </row>
    <row r="44" spans="1:17" ht="15" customHeight="1" x14ac:dyDescent="0.25">
      <c r="A44" s="1189" t="s">
        <v>996</v>
      </c>
      <c r="B44" s="1189" t="s">
        <v>669</v>
      </c>
      <c r="C44" s="1189" t="s">
        <v>11</v>
      </c>
      <c r="D44" s="1189" t="s">
        <v>998</v>
      </c>
      <c r="E44" s="1189" t="s">
        <v>20</v>
      </c>
      <c r="G44" s="1190" t="s">
        <v>1005</v>
      </c>
      <c r="J44" s="1189" t="s">
        <v>1006</v>
      </c>
      <c r="K44" s="1189" t="s">
        <v>1007</v>
      </c>
      <c r="L44" s="1189" t="s">
        <v>1002</v>
      </c>
      <c r="M44" s="1189" t="s">
        <v>1003</v>
      </c>
      <c r="N44" s="1190" t="s">
        <v>3</v>
      </c>
      <c r="O44" s="1189" t="s">
        <v>1008</v>
      </c>
      <c r="P44" s="1189" t="s">
        <v>2095</v>
      </c>
      <c r="Q44" s="1189" t="s">
        <v>3</v>
      </c>
    </row>
    <row r="45" spans="1:17" ht="15" customHeight="1" x14ac:dyDescent="0.25">
      <c r="A45" s="1189" t="s">
        <v>931</v>
      </c>
      <c r="B45" s="1189" t="s">
        <v>698</v>
      </c>
      <c r="C45" s="1189" t="s">
        <v>11</v>
      </c>
      <c r="D45" s="1189" t="s">
        <v>932</v>
      </c>
      <c r="E45" s="1189" t="s">
        <v>933</v>
      </c>
      <c r="F45" s="1189" t="s">
        <v>934</v>
      </c>
      <c r="G45" s="1190" t="s">
        <v>935</v>
      </c>
      <c r="H45" s="1190" t="s">
        <v>3</v>
      </c>
      <c r="I45" s="1189" t="s">
        <v>3</v>
      </c>
      <c r="J45" s="1189" t="s">
        <v>936</v>
      </c>
      <c r="K45" s="1189" t="s">
        <v>166</v>
      </c>
      <c r="L45" s="1189" t="s">
        <v>937</v>
      </c>
      <c r="M45" s="1189" t="s">
        <v>938</v>
      </c>
      <c r="N45" s="1190" t="s">
        <v>939</v>
      </c>
      <c r="O45" s="1189" t="s">
        <v>716</v>
      </c>
      <c r="P45" s="1219" t="s">
        <v>2145</v>
      </c>
      <c r="Q45" s="1189" t="s">
        <v>3</v>
      </c>
    </row>
    <row r="46" spans="1:17" ht="15" customHeight="1" x14ac:dyDescent="0.25">
      <c r="A46" s="1189" t="s">
        <v>996</v>
      </c>
      <c r="B46" s="1189" t="s">
        <v>997</v>
      </c>
      <c r="C46" s="1189" t="s">
        <v>11</v>
      </c>
      <c r="D46" s="1189" t="s">
        <v>998</v>
      </c>
      <c r="E46" s="1189" t="s">
        <v>20</v>
      </c>
      <c r="F46" s="1189" t="s">
        <v>978</v>
      </c>
      <c r="G46" s="1190" t="s">
        <v>999</v>
      </c>
      <c r="J46" s="1189" t="s">
        <v>1000</v>
      </c>
      <c r="K46" s="1189" t="s">
        <v>1001</v>
      </c>
      <c r="L46" s="1189" t="s">
        <v>1002</v>
      </c>
      <c r="M46" s="1189" t="s">
        <v>1003</v>
      </c>
      <c r="N46" s="1190" t="s">
        <v>3</v>
      </c>
      <c r="O46" s="1189" t="s">
        <v>1004</v>
      </c>
      <c r="P46" s="1189" t="s">
        <v>2095</v>
      </c>
      <c r="Q46" s="1189" t="s">
        <v>3</v>
      </c>
    </row>
    <row r="47" spans="1:17" ht="15" customHeight="1" x14ac:dyDescent="0.25">
      <c r="A47" s="1189" t="s">
        <v>923</v>
      </c>
      <c r="B47" s="1189" t="s">
        <v>924</v>
      </c>
      <c r="C47" s="1189" t="s">
        <v>11</v>
      </c>
      <c r="D47" s="1189" t="s">
        <v>925</v>
      </c>
      <c r="E47" s="1189" t="s">
        <v>20</v>
      </c>
      <c r="F47" s="1189" t="s">
        <v>2073</v>
      </c>
      <c r="G47" s="1190" t="s">
        <v>722</v>
      </c>
      <c r="H47" s="1190" t="s">
        <v>3</v>
      </c>
      <c r="J47" s="1189" t="s">
        <v>926</v>
      </c>
      <c r="K47" s="1189" t="s">
        <v>927</v>
      </c>
      <c r="L47" s="1189" t="s">
        <v>928</v>
      </c>
      <c r="M47" s="1189" t="s">
        <v>929</v>
      </c>
      <c r="N47" s="1190" t="s">
        <v>3</v>
      </c>
      <c r="O47" s="1189" t="s">
        <v>930</v>
      </c>
      <c r="P47" s="1189" t="s">
        <v>2096</v>
      </c>
      <c r="Q47" s="1189" t="s">
        <v>3</v>
      </c>
    </row>
    <row r="48" spans="1:17" ht="15" customHeight="1" x14ac:dyDescent="0.25">
      <c r="A48" s="1189" t="s">
        <v>940</v>
      </c>
      <c r="B48" s="1189" t="s">
        <v>941</v>
      </c>
      <c r="C48" s="1189" t="s">
        <v>11</v>
      </c>
      <c r="D48" s="1189" t="s">
        <v>942</v>
      </c>
      <c r="E48" s="1189" t="s">
        <v>20</v>
      </c>
      <c r="F48" s="1189" t="s">
        <v>943</v>
      </c>
      <c r="G48" s="1190" t="s">
        <v>944</v>
      </c>
      <c r="I48" s="1189" t="s">
        <v>945</v>
      </c>
      <c r="J48" s="1189" t="s">
        <v>946</v>
      </c>
      <c r="K48" s="1189" t="s">
        <v>3</v>
      </c>
      <c r="L48" s="1189" t="s">
        <v>947</v>
      </c>
      <c r="M48" s="1189" t="s">
        <v>948</v>
      </c>
      <c r="N48" s="1190" t="s">
        <v>3</v>
      </c>
      <c r="O48" s="1189" t="s">
        <v>3</v>
      </c>
      <c r="P48" s="1200" t="s">
        <v>2097</v>
      </c>
      <c r="Q48" s="1189" t="s">
        <v>3</v>
      </c>
    </row>
    <row r="49" spans="1:17" ht="15" customHeight="1" x14ac:dyDescent="0.25">
      <c r="A49" s="1189" t="s">
        <v>984</v>
      </c>
      <c r="B49" s="1189" t="s">
        <v>985</v>
      </c>
      <c r="C49" s="1189" t="s">
        <v>11</v>
      </c>
      <c r="D49" s="1189" t="s">
        <v>986</v>
      </c>
      <c r="E49" s="1189" t="s">
        <v>20</v>
      </c>
      <c r="F49" s="1189" t="s">
        <v>721</v>
      </c>
      <c r="G49" s="1190" t="s">
        <v>987</v>
      </c>
      <c r="I49" s="1189" t="s">
        <v>988</v>
      </c>
      <c r="J49" s="1189" t="s">
        <v>989</v>
      </c>
      <c r="K49" s="1189" t="s">
        <v>3</v>
      </c>
      <c r="L49" s="1189" t="s">
        <v>3</v>
      </c>
      <c r="M49" s="1189" t="s">
        <v>3</v>
      </c>
      <c r="N49" s="1190" t="s">
        <v>3</v>
      </c>
      <c r="O49" s="1189" t="s">
        <v>737</v>
      </c>
      <c r="P49" s="1202" t="s">
        <v>2098</v>
      </c>
      <c r="Q49" s="1189" t="s">
        <v>3</v>
      </c>
    </row>
    <row r="50" spans="1:17" ht="15" customHeight="1" x14ac:dyDescent="0.25">
      <c r="A50" s="1189" t="s">
        <v>975</v>
      </c>
      <c r="B50" s="1189" t="s">
        <v>976</v>
      </c>
      <c r="C50" s="1189" t="s">
        <v>11</v>
      </c>
      <c r="D50" s="1189" t="s">
        <v>977</v>
      </c>
      <c r="E50" s="1189" t="s">
        <v>20</v>
      </c>
      <c r="F50" s="1189" t="s">
        <v>978</v>
      </c>
      <c r="G50" s="1190" t="s">
        <v>979</v>
      </c>
      <c r="H50" s="1190" t="s">
        <v>3</v>
      </c>
      <c r="I50" s="1189" t="s">
        <v>980</v>
      </c>
      <c r="J50" s="1189" t="s">
        <v>981</v>
      </c>
      <c r="K50" s="1189" t="s">
        <v>982</v>
      </c>
      <c r="L50" s="1189" t="s">
        <v>3</v>
      </c>
      <c r="M50" s="1189" t="s">
        <v>983</v>
      </c>
      <c r="N50" s="1190" t="s">
        <v>3</v>
      </c>
      <c r="O50" s="1189" t="s">
        <v>737</v>
      </c>
      <c r="P50" s="1202" t="s">
        <v>2099</v>
      </c>
      <c r="Q50" s="1189" t="s">
        <v>3</v>
      </c>
    </row>
    <row r="51" spans="1:17" ht="15" customHeight="1" x14ac:dyDescent="0.25">
      <c r="A51" s="1189" t="s">
        <v>949</v>
      </c>
      <c r="B51" s="1189" t="s">
        <v>950</v>
      </c>
      <c r="C51" s="1189" t="s">
        <v>11</v>
      </c>
      <c r="D51" s="1189" t="s">
        <v>951</v>
      </c>
      <c r="E51" s="1189" t="s">
        <v>20</v>
      </c>
      <c r="F51" s="1189" t="s">
        <v>952</v>
      </c>
      <c r="G51" s="1190" t="s">
        <v>3</v>
      </c>
      <c r="I51" s="1189" t="s">
        <v>953</v>
      </c>
      <c r="J51" s="1189" t="s">
        <v>954</v>
      </c>
      <c r="K51" s="1189" t="s">
        <v>3</v>
      </c>
      <c r="L51" s="1189" t="s">
        <v>955</v>
      </c>
      <c r="M51" s="1189" t="s">
        <v>956</v>
      </c>
      <c r="N51" s="1190" t="s">
        <v>3</v>
      </c>
      <c r="O51" s="1189" t="s">
        <v>957</v>
      </c>
      <c r="P51" s="1202" t="s">
        <v>2100</v>
      </c>
      <c r="Q51" s="1189" t="s">
        <v>3</v>
      </c>
    </row>
    <row r="52" spans="1:17" ht="15" customHeight="1" x14ac:dyDescent="0.2">
      <c r="A52" s="1189" t="s">
        <v>963</v>
      </c>
      <c r="C52" s="1189" t="s">
        <v>11</v>
      </c>
      <c r="D52" s="1189" t="s">
        <v>960</v>
      </c>
      <c r="E52" s="1189" t="s">
        <v>3</v>
      </c>
      <c r="F52" s="1189" t="s">
        <v>964</v>
      </c>
      <c r="G52" s="1190" t="s">
        <v>965</v>
      </c>
      <c r="H52" s="1190">
        <v>0</v>
      </c>
      <c r="P52" s="218" t="s">
        <v>2101</v>
      </c>
      <c r="Q52" s="1189" t="s">
        <v>3</v>
      </c>
    </row>
    <row r="53" spans="1:17" ht="15" customHeight="1" x14ac:dyDescent="0.25">
      <c r="A53" s="1189" t="s">
        <v>958</v>
      </c>
      <c r="B53" s="1189" t="s">
        <v>959</v>
      </c>
      <c r="C53" s="1189" t="s">
        <v>11</v>
      </c>
      <c r="D53" s="1189" t="s">
        <v>960</v>
      </c>
      <c r="E53" s="1189" t="s">
        <v>20</v>
      </c>
      <c r="F53" s="1189" t="s">
        <v>961</v>
      </c>
      <c r="G53" s="1190" t="s">
        <v>672</v>
      </c>
      <c r="H53" s="1190">
        <v>0</v>
      </c>
      <c r="M53" s="1189" t="s">
        <v>962</v>
      </c>
      <c r="P53" s="1202" t="s">
        <v>2102</v>
      </c>
      <c r="Q53" s="1189" t="s">
        <v>3</v>
      </c>
    </row>
    <row r="54" spans="1:17" ht="15" customHeight="1" x14ac:dyDescent="0.25">
      <c r="P54" s="1200"/>
      <c r="Q54" s="1189" t="s">
        <v>3</v>
      </c>
    </row>
    <row r="55" spans="1:17" ht="15" customHeight="1" x14ac:dyDescent="0.25">
      <c r="A55" s="1189" t="s">
        <v>1051</v>
      </c>
      <c r="B55" s="1189" t="s">
        <v>1052</v>
      </c>
      <c r="C55" s="1189" t="s">
        <v>12</v>
      </c>
      <c r="D55" s="1189" t="s">
        <v>1053</v>
      </c>
      <c r="E55" s="1189" t="s">
        <v>1054</v>
      </c>
      <c r="F55" s="1189" t="s">
        <v>1055</v>
      </c>
      <c r="G55" s="1190" t="s">
        <v>1056</v>
      </c>
      <c r="I55" s="1189" t="s">
        <v>1057</v>
      </c>
      <c r="J55" s="1189" t="s">
        <v>1058</v>
      </c>
      <c r="K55" s="1189" t="s">
        <v>1059</v>
      </c>
      <c r="L55" s="1189" t="s">
        <v>3</v>
      </c>
      <c r="M55" s="1189" t="s">
        <v>1060</v>
      </c>
      <c r="N55" s="1190" t="s">
        <v>3</v>
      </c>
      <c r="O55" s="1189" t="s">
        <v>1004</v>
      </c>
      <c r="P55" s="1189" t="s">
        <v>2103</v>
      </c>
      <c r="Q55" s="1189" t="s">
        <v>3</v>
      </c>
    </row>
    <row r="56" spans="1:17" ht="15" customHeight="1" x14ac:dyDescent="0.25">
      <c r="A56" s="1189" t="s">
        <v>1037</v>
      </c>
      <c r="B56" s="1189" t="s">
        <v>1038</v>
      </c>
      <c r="C56" s="1189" t="s">
        <v>12</v>
      </c>
      <c r="D56" s="1189" t="s">
        <v>1039</v>
      </c>
      <c r="E56" s="1189" t="s">
        <v>1040</v>
      </c>
      <c r="F56" s="1189" t="s">
        <v>978</v>
      </c>
      <c r="G56" s="1190" t="s">
        <v>1041</v>
      </c>
      <c r="O56" s="1189" t="s">
        <v>1042</v>
      </c>
      <c r="P56" s="1200" t="s">
        <v>2104</v>
      </c>
      <c r="Q56" s="1189" t="s">
        <v>3</v>
      </c>
    </row>
    <row r="57" spans="1:17" ht="15" customHeight="1" x14ac:dyDescent="0.25">
      <c r="A57" s="1189" t="s">
        <v>1011</v>
      </c>
      <c r="B57" s="1189" t="s">
        <v>1012</v>
      </c>
      <c r="C57" s="1189" t="s">
        <v>12</v>
      </c>
      <c r="D57" s="1189" t="s">
        <v>1013</v>
      </c>
      <c r="E57" s="1189" t="s">
        <v>22</v>
      </c>
      <c r="F57" s="1189" t="s">
        <v>721</v>
      </c>
      <c r="G57" s="1190" t="s">
        <v>1014</v>
      </c>
      <c r="H57" s="1190" t="s">
        <v>3</v>
      </c>
      <c r="J57" s="1189" t="s">
        <v>1015</v>
      </c>
      <c r="K57" s="1189" t="s">
        <v>3</v>
      </c>
      <c r="L57" s="1189" t="s">
        <v>1016</v>
      </c>
      <c r="M57" s="1189" t="s">
        <v>22</v>
      </c>
      <c r="O57" s="1189" t="s">
        <v>726</v>
      </c>
      <c r="P57" s="1217" t="s">
        <v>2146</v>
      </c>
      <c r="Q57" s="1189" t="s">
        <v>3</v>
      </c>
    </row>
    <row r="58" spans="1:17" ht="15" customHeight="1" x14ac:dyDescent="0.25">
      <c r="A58" s="1189" t="s">
        <v>1043</v>
      </c>
      <c r="B58" s="1189" t="s">
        <v>1044</v>
      </c>
      <c r="C58" s="1189" t="s">
        <v>12</v>
      </c>
      <c r="E58" s="1189" t="s">
        <v>1045</v>
      </c>
      <c r="F58" s="1197" t="s">
        <v>1046</v>
      </c>
      <c r="G58" s="1190" t="s">
        <v>1047</v>
      </c>
      <c r="I58" s="1189" t="s">
        <v>1048</v>
      </c>
      <c r="J58" s="1189" t="s">
        <v>1049</v>
      </c>
      <c r="K58" s="1189" t="s">
        <v>3</v>
      </c>
      <c r="M58" s="1189" t="s">
        <v>1050</v>
      </c>
      <c r="N58" s="1190" t="s">
        <v>3</v>
      </c>
      <c r="O58" s="1189" t="s">
        <v>737</v>
      </c>
      <c r="P58" s="1189" t="s">
        <v>2105</v>
      </c>
      <c r="Q58" s="1189" t="s">
        <v>3</v>
      </c>
    </row>
    <row r="59" spans="1:17" ht="15" customHeight="1" x14ac:dyDescent="0.25">
      <c r="A59" s="1189" t="s">
        <v>909</v>
      </c>
      <c r="B59" s="1189" t="s">
        <v>787</v>
      </c>
      <c r="C59" s="1189" t="s">
        <v>12</v>
      </c>
      <c r="D59" s="1189" t="s">
        <v>1067</v>
      </c>
      <c r="E59" s="1189" t="s">
        <v>1068</v>
      </c>
      <c r="F59" s="1189" t="s">
        <v>721</v>
      </c>
      <c r="N59" s="1190" t="s">
        <v>1069</v>
      </c>
      <c r="O59" s="1189" t="s">
        <v>3</v>
      </c>
      <c r="P59" s="1202" t="s">
        <v>2106</v>
      </c>
      <c r="Q59" s="1189" t="s">
        <v>3</v>
      </c>
    </row>
    <row r="60" spans="1:17" ht="15" customHeight="1" x14ac:dyDescent="0.25">
      <c r="A60" s="1189" t="s">
        <v>1017</v>
      </c>
      <c r="B60" s="1189" t="s">
        <v>1018</v>
      </c>
      <c r="C60" s="1189" t="s">
        <v>12</v>
      </c>
      <c r="D60" s="1189" t="s">
        <v>1019</v>
      </c>
      <c r="E60" s="1189" t="s">
        <v>23</v>
      </c>
      <c r="F60" s="1189" t="s">
        <v>168</v>
      </c>
      <c r="G60" s="1190" t="s">
        <v>3</v>
      </c>
      <c r="I60" s="1189" t="s">
        <v>1020</v>
      </c>
      <c r="J60" s="1189" t="s">
        <v>1021</v>
      </c>
      <c r="K60" s="1189" t="s">
        <v>1022</v>
      </c>
      <c r="L60" s="1189" t="s">
        <v>3</v>
      </c>
      <c r="M60" s="1189" t="s">
        <v>1023</v>
      </c>
      <c r="N60" s="1190" t="s">
        <v>3</v>
      </c>
      <c r="O60" s="1189" t="s">
        <v>1024</v>
      </c>
      <c r="P60" s="1202" t="s">
        <v>2107</v>
      </c>
      <c r="Q60" s="1189" t="s">
        <v>3</v>
      </c>
    </row>
    <row r="61" spans="1:17" ht="15" customHeight="1" x14ac:dyDescent="0.25">
      <c r="A61" s="1189" t="s">
        <v>1061</v>
      </c>
      <c r="B61" s="1189" t="s">
        <v>1062</v>
      </c>
      <c r="C61" s="1189" t="s">
        <v>12</v>
      </c>
      <c r="D61" s="1189" t="s">
        <v>1063</v>
      </c>
      <c r="E61" s="1189" t="s">
        <v>21</v>
      </c>
      <c r="F61" s="1189" t="s">
        <v>1064</v>
      </c>
      <c r="G61" s="1190" t="s">
        <v>1065</v>
      </c>
      <c r="H61" s="1190">
        <v>0</v>
      </c>
      <c r="J61" s="1189" t="s">
        <v>1066</v>
      </c>
      <c r="K61" s="1189" t="s">
        <v>3</v>
      </c>
      <c r="P61" s="1189" t="s">
        <v>2108</v>
      </c>
      <c r="Q61" s="1189" t="s">
        <v>3</v>
      </c>
    </row>
    <row r="62" spans="1:17" ht="15" customHeight="1" x14ac:dyDescent="0.25">
      <c r="A62" s="1189" t="s">
        <v>1031</v>
      </c>
      <c r="B62" s="1189" t="s">
        <v>1032</v>
      </c>
      <c r="C62" s="1189" t="s">
        <v>12</v>
      </c>
      <c r="E62" s="1189" t="s">
        <v>19</v>
      </c>
      <c r="F62" s="1199" t="s">
        <v>1033</v>
      </c>
      <c r="G62" s="1190" t="s">
        <v>722</v>
      </c>
      <c r="H62" s="1190">
        <v>0</v>
      </c>
      <c r="I62" s="1189" t="s">
        <v>1034</v>
      </c>
      <c r="J62" s="1189" t="s">
        <v>1035</v>
      </c>
      <c r="K62" s="1189" t="s">
        <v>3</v>
      </c>
      <c r="L62" s="1189" t="s">
        <v>3</v>
      </c>
      <c r="M62" s="1189" t="s">
        <v>3</v>
      </c>
      <c r="N62" s="1190" t="s">
        <v>3</v>
      </c>
      <c r="O62" s="1189" t="s">
        <v>1036</v>
      </c>
      <c r="P62" s="1202" t="s">
        <v>2109</v>
      </c>
      <c r="Q62" s="1189" t="s">
        <v>3</v>
      </c>
    </row>
    <row r="63" spans="1:17" ht="15" customHeight="1" x14ac:dyDescent="0.25">
      <c r="A63" s="1189" t="s">
        <v>1025</v>
      </c>
      <c r="B63" s="1189" t="s">
        <v>1026</v>
      </c>
      <c r="C63" s="1189" t="s">
        <v>12</v>
      </c>
      <c r="D63" s="1189" t="s">
        <v>1027</v>
      </c>
      <c r="E63" s="1189" t="s">
        <v>23</v>
      </c>
      <c r="F63" s="1197" t="s">
        <v>1028</v>
      </c>
      <c r="G63" s="1190" t="s">
        <v>1029</v>
      </c>
      <c r="H63" s="1190">
        <v>0</v>
      </c>
      <c r="L63" s="1189" t="s">
        <v>1030</v>
      </c>
      <c r="M63" s="1189" t="s">
        <v>3</v>
      </c>
      <c r="P63" s="1189" t="s">
        <v>2110</v>
      </c>
      <c r="Q63" s="1189" t="s">
        <v>3</v>
      </c>
    </row>
    <row r="64" spans="1:17" ht="14.25" x14ac:dyDescent="0.25"/>
  </sheetData>
  <autoFilter ref="A1:Q63" xr:uid="{4130CFEB-17BA-41AE-95A8-255E3BFD7B04}"/>
  <sortState ref="A2:Q63">
    <sortCondition ref="C40:C63"/>
    <sortCondition descending="1" ref="G40:G63"/>
  </sortState>
  <pageMargins left="0.7" right="0.7" top="0.75" bottom="0.75" header="0.3" footer="0.3"/>
  <pageSetup paperSize="9" orientation="portrait" r:id="rId1"/>
  <legacy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3A5CE-0ADA-4D88-8AA4-82B09BA92B2D}">
  <dimension ref="A1:A91"/>
  <sheetViews>
    <sheetView workbookViewId="0">
      <selection activeCell="A91" sqref="A91"/>
    </sheetView>
  </sheetViews>
  <sheetFormatPr defaultRowHeight="15" x14ac:dyDescent="0.25"/>
  <sheetData>
    <row r="1" spans="1:1" x14ac:dyDescent="0.25">
      <c r="A1" s="68" t="s">
        <v>2045</v>
      </c>
    </row>
    <row r="3" spans="1:1" x14ac:dyDescent="0.25">
      <c r="A3" s="956" t="s">
        <v>2193</v>
      </c>
    </row>
    <row r="4" spans="1:1" x14ac:dyDescent="0.25">
      <c r="A4" s="956" t="s">
        <v>2194</v>
      </c>
    </row>
    <row r="5" spans="1:1" x14ac:dyDescent="0.25">
      <c r="A5" s="956" t="s">
        <v>2195</v>
      </c>
    </row>
    <row r="6" spans="1:1" x14ac:dyDescent="0.25">
      <c r="A6" s="956" t="s">
        <v>2196</v>
      </c>
    </row>
    <row r="7" spans="1:1" x14ac:dyDescent="0.25">
      <c r="A7" s="956" t="s">
        <v>2147</v>
      </c>
    </row>
    <row r="8" spans="1:1" x14ac:dyDescent="0.25">
      <c r="A8" s="956" t="s">
        <v>2197</v>
      </c>
    </row>
    <row r="9" spans="1:1" x14ac:dyDescent="0.25">
      <c r="A9" s="956" t="s">
        <v>2198</v>
      </c>
    </row>
    <row r="10" spans="1:1" x14ac:dyDescent="0.25">
      <c r="A10" s="956" t="s">
        <v>1872</v>
      </c>
    </row>
    <row r="11" spans="1:1" x14ac:dyDescent="0.25">
      <c r="A11" s="956" t="s">
        <v>2199</v>
      </c>
    </row>
    <row r="12" spans="1:1" x14ac:dyDescent="0.25">
      <c r="A12" s="956" t="s">
        <v>2046</v>
      </c>
    </row>
    <row r="13" spans="1:1" x14ac:dyDescent="0.25">
      <c r="A13" s="956" t="s">
        <v>1873</v>
      </c>
    </row>
    <row r="14" spans="1:1" x14ac:dyDescent="0.25">
      <c r="A14" s="956" t="s">
        <v>2200</v>
      </c>
    </row>
    <row r="15" spans="1:1" x14ac:dyDescent="0.25">
      <c r="A15" s="956" t="s">
        <v>2201</v>
      </c>
    </row>
    <row r="16" spans="1:1" x14ac:dyDescent="0.25">
      <c r="A16" s="956" t="s">
        <v>2202</v>
      </c>
    </row>
    <row r="17" spans="1:1" x14ac:dyDescent="0.25">
      <c r="A17" s="956" t="s">
        <v>2203</v>
      </c>
    </row>
    <row r="18" spans="1:1" x14ac:dyDescent="0.25">
      <c r="A18" s="956" t="s">
        <v>2204</v>
      </c>
    </row>
    <row r="19" spans="1:1" x14ac:dyDescent="0.25">
      <c r="A19" s="956" t="s">
        <v>2205</v>
      </c>
    </row>
    <row r="20" spans="1:1" x14ac:dyDescent="0.25">
      <c r="A20" s="956" t="s">
        <v>2206</v>
      </c>
    </row>
    <row r="21" spans="1:1" x14ac:dyDescent="0.25">
      <c r="A21" s="956" t="s">
        <v>2207</v>
      </c>
    </row>
    <row r="22" spans="1:1" x14ac:dyDescent="0.25">
      <c r="A22" s="956" t="s">
        <v>2208</v>
      </c>
    </row>
    <row r="23" spans="1:1" x14ac:dyDescent="0.25">
      <c r="A23" s="956" t="s">
        <v>2209</v>
      </c>
    </row>
    <row r="24" spans="1:1" x14ac:dyDescent="0.25">
      <c r="A24" s="956" t="s">
        <v>2210</v>
      </c>
    </row>
    <row r="25" spans="1:1" x14ac:dyDescent="0.25">
      <c r="A25" s="956" t="s">
        <v>2211</v>
      </c>
    </row>
    <row r="26" spans="1:1" x14ac:dyDescent="0.25">
      <c r="A26" s="956" t="s">
        <v>2212</v>
      </c>
    </row>
    <row r="27" spans="1:1" x14ac:dyDescent="0.25">
      <c r="A27" s="956" t="s">
        <v>2213</v>
      </c>
    </row>
    <row r="28" spans="1:1" x14ac:dyDescent="0.25">
      <c r="A28" s="956" t="s">
        <v>2214</v>
      </c>
    </row>
    <row r="29" spans="1:1" x14ac:dyDescent="0.25">
      <c r="A29" s="956" t="s">
        <v>2215</v>
      </c>
    </row>
    <row r="30" spans="1:1" x14ac:dyDescent="0.25">
      <c r="A30" s="956" t="s">
        <v>2216</v>
      </c>
    </row>
    <row r="31" spans="1:1" x14ac:dyDescent="0.25">
      <c r="A31" s="956" t="s">
        <v>2217</v>
      </c>
    </row>
    <row r="32" spans="1:1" x14ac:dyDescent="0.25">
      <c r="A32" s="956" t="s">
        <v>2218</v>
      </c>
    </row>
    <row r="33" spans="1:1" x14ac:dyDescent="0.25">
      <c r="A33" s="956" t="s">
        <v>2219</v>
      </c>
    </row>
    <row r="34" spans="1:1" x14ac:dyDescent="0.25">
      <c r="A34" s="956" t="s">
        <v>2220</v>
      </c>
    </row>
    <row r="35" spans="1:1" x14ac:dyDescent="0.25">
      <c r="A35" s="956" t="s">
        <v>2221</v>
      </c>
    </row>
    <row r="36" spans="1:1" x14ac:dyDescent="0.25">
      <c r="A36" s="956" t="s">
        <v>2222</v>
      </c>
    </row>
    <row r="37" spans="1:1" x14ac:dyDescent="0.25">
      <c r="A37" s="956" t="s">
        <v>1874</v>
      </c>
    </row>
    <row r="38" spans="1:1" x14ac:dyDescent="0.25">
      <c r="A38" s="956" t="s">
        <v>2047</v>
      </c>
    </row>
    <row r="39" spans="1:1" x14ac:dyDescent="0.25">
      <c r="A39" s="956" t="s">
        <v>2223</v>
      </c>
    </row>
    <row r="40" spans="1:1" x14ac:dyDescent="0.25">
      <c r="A40" s="956" t="s">
        <v>2224</v>
      </c>
    </row>
    <row r="41" spans="1:1" x14ac:dyDescent="0.25">
      <c r="A41" s="956" t="s">
        <v>2225</v>
      </c>
    </row>
    <row r="42" spans="1:1" x14ac:dyDescent="0.25">
      <c r="A42" s="956" t="s">
        <v>1875</v>
      </c>
    </row>
    <row r="43" spans="1:1" x14ac:dyDescent="0.25">
      <c r="A43" s="956" t="s">
        <v>2148</v>
      </c>
    </row>
    <row r="44" spans="1:1" x14ac:dyDescent="0.25">
      <c r="A44" s="956" t="s">
        <v>2226</v>
      </c>
    </row>
    <row r="45" spans="1:1" x14ac:dyDescent="0.25">
      <c r="A45" s="956" t="s">
        <v>2149</v>
      </c>
    </row>
    <row r="46" spans="1:1" x14ac:dyDescent="0.25">
      <c r="A46" s="956" t="s">
        <v>2227</v>
      </c>
    </row>
    <row r="47" spans="1:1" x14ac:dyDescent="0.25">
      <c r="A47" s="956" t="s">
        <v>2228</v>
      </c>
    </row>
    <row r="48" spans="1:1" x14ac:dyDescent="0.25">
      <c r="A48" s="956" t="s">
        <v>2229</v>
      </c>
    </row>
    <row r="49" spans="1:1" x14ac:dyDescent="0.25">
      <c r="A49" s="956" t="s">
        <v>2230</v>
      </c>
    </row>
    <row r="50" spans="1:1" x14ac:dyDescent="0.25">
      <c r="A50" s="956" t="s">
        <v>2231</v>
      </c>
    </row>
    <row r="51" spans="1:1" x14ac:dyDescent="0.25">
      <c r="A51" s="956" t="s">
        <v>1876</v>
      </c>
    </row>
    <row r="52" spans="1:1" x14ac:dyDescent="0.25">
      <c r="A52" s="956" t="s">
        <v>2232</v>
      </c>
    </row>
    <row r="53" spans="1:1" x14ac:dyDescent="0.25">
      <c r="A53" s="956" t="s">
        <v>2233</v>
      </c>
    </row>
    <row r="54" spans="1:1" x14ac:dyDescent="0.25">
      <c r="A54" s="956" t="s">
        <v>2234</v>
      </c>
    </row>
    <row r="55" spans="1:1" x14ac:dyDescent="0.25">
      <c r="A55" s="956" t="s">
        <v>2235</v>
      </c>
    </row>
    <row r="56" spans="1:1" x14ac:dyDescent="0.25">
      <c r="A56" s="956" t="s">
        <v>2236</v>
      </c>
    </row>
    <row r="57" spans="1:1" x14ac:dyDescent="0.25">
      <c r="A57" s="956" t="s">
        <v>2237</v>
      </c>
    </row>
    <row r="58" spans="1:1" x14ac:dyDescent="0.25">
      <c r="A58" s="956" t="s">
        <v>2238</v>
      </c>
    </row>
    <row r="59" spans="1:1" x14ac:dyDescent="0.25">
      <c r="A59" s="956" t="s">
        <v>2239</v>
      </c>
    </row>
    <row r="60" spans="1:1" x14ac:dyDescent="0.25">
      <c r="A60" s="956" t="s">
        <v>2062</v>
      </c>
    </row>
    <row r="61" spans="1:1" x14ac:dyDescent="0.25">
      <c r="A61" s="956" t="s">
        <v>2240</v>
      </c>
    </row>
    <row r="62" spans="1:1" x14ac:dyDescent="0.25">
      <c r="A62" s="956" t="s">
        <v>2048</v>
      </c>
    </row>
    <row r="63" spans="1:1" x14ac:dyDescent="0.25">
      <c r="A63" s="956" t="s">
        <v>1877</v>
      </c>
    </row>
    <row r="64" spans="1:1" x14ac:dyDescent="0.25">
      <c r="A64" s="956" t="s">
        <v>2241</v>
      </c>
    </row>
    <row r="65" spans="1:1" x14ac:dyDescent="0.25">
      <c r="A65" s="956" t="s">
        <v>2242</v>
      </c>
    </row>
    <row r="66" spans="1:1" x14ac:dyDescent="0.25">
      <c r="A66" s="956" t="s">
        <v>2243</v>
      </c>
    </row>
    <row r="67" spans="1:1" x14ac:dyDescent="0.25">
      <c r="A67" s="956" t="s">
        <v>2244</v>
      </c>
    </row>
    <row r="68" spans="1:1" x14ac:dyDescent="0.25">
      <c r="A68" s="956" t="s">
        <v>2245</v>
      </c>
    </row>
    <row r="69" spans="1:1" x14ac:dyDescent="0.25">
      <c r="A69" s="956" t="s">
        <v>2246</v>
      </c>
    </row>
    <row r="70" spans="1:1" x14ac:dyDescent="0.25">
      <c r="A70" s="956" t="s">
        <v>2247</v>
      </c>
    </row>
    <row r="71" spans="1:1" x14ac:dyDescent="0.25">
      <c r="A71" s="956" t="s">
        <v>2248</v>
      </c>
    </row>
    <row r="72" spans="1:1" x14ac:dyDescent="0.25">
      <c r="A72" s="956" t="s">
        <v>2049</v>
      </c>
    </row>
    <row r="73" spans="1:1" x14ac:dyDescent="0.25">
      <c r="A73" s="956" t="s">
        <v>2249</v>
      </c>
    </row>
    <row r="74" spans="1:1" x14ac:dyDescent="0.25">
      <c r="A74" s="956" t="s">
        <v>2150</v>
      </c>
    </row>
    <row r="75" spans="1:1" x14ac:dyDescent="0.25">
      <c r="A75" s="956" t="s">
        <v>1878</v>
      </c>
    </row>
    <row r="76" spans="1:1" x14ac:dyDescent="0.25">
      <c r="A76" s="956" t="s">
        <v>2250</v>
      </c>
    </row>
    <row r="77" spans="1:1" x14ac:dyDescent="0.25">
      <c r="A77" s="956" t="s">
        <v>2251</v>
      </c>
    </row>
    <row r="78" spans="1:1" x14ac:dyDescent="0.25">
      <c r="A78" s="956" t="s">
        <v>1879</v>
      </c>
    </row>
    <row r="79" spans="1:1" x14ac:dyDescent="0.25">
      <c r="A79" s="956" t="s">
        <v>2151</v>
      </c>
    </row>
    <row r="80" spans="1:1" x14ac:dyDescent="0.25">
      <c r="A80" s="956" t="s">
        <v>2252</v>
      </c>
    </row>
    <row r="81" spans="1:1" x14ac:dyDescent="0.25">
      <c r="A81" s="956" t="s">
        <v>2050</v>
      </c>
    </row>
    <row r="82" spans="1:1" x14ac:dyDescent="0.25">
      <c r="A82" s="956" t="s">
        <v>2253</v>
      </c>
    </row>
    <row r="83" spans="1:1" x14ac:dyDescent="0.25">
      <c r="A83" s="956" t="s">
        <v>1880</v>
      </c>
    </row>
    <row r="84" spans="1:1" x14ac:dyDescent="0.25">
      <c r="A84" s="956" t="s">
        <v>2254</v>
      </c>
    </row>
    <row r="85" spans="1:1" x14ac:dyDescent="0.25">
      <c r="A85" s="956" t="s">
        <v>2255</v>
      </c>
    </row>
    <row r="86" spans="1:1" x14ac:dyDescent="0.25">
      <c r="A86" s="956" t="s">
        <v>2256</v>
      </c>
    </row>
    <row r="87" spans="1:1" x14ac:dyDescent="0.25">
      <c r="A87" s="956" t="s">
        <v>2257</v>
      </c>
    </row>
    <row r="88" spans="1:1" x14ac:dyDescent="0.25">
      <c r="A88" s="956" t="s">
        <v>2063</v>
      </c>
    </row>
    <row r="89" spans="1:1" x14ac:dyDescent="0.25">
      <c r="A89" s="956" t="s">
        <v>2258</v>
      </c>
    </row>
    <row r="90" spans="1:1" x14ac:dyDescent="0.25">
      <c r="A90" s="352"/>
    </row>
    <row r="91" spans="1:1" x14ac:dyDescent="0.25">
      <c r="A91" s="35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35</vt:i4>
      </vt:variant>
      <vt:variant>
        <vt:lpstr>Named Ranges</vt:lpstr>
      </vt:variant>
      <vt:variant>
        <vt:i4>2</vt:i4>
      </vt:variant>
    </vt:vector>
  </HeadingPairs>
  <TitlesOfParts>
    <vt:vector size="37" baseType="lpstr">
      <vt:lpstr>0</vt:lpstr>
      <vt:lpstr>Abbreviations</vt:lpstr>
      <vt:lpstr>S1.1 MFA configurations</vt:lpstr>
      <vt:lpstr>S1.2.1 mass flows</vt:lpstr>
      <vt:lpstr>S1.2.2 mass flows - sens.anal.</vt:lpstr>
      <vt:lpstr>S2.1.1 Gas_lit</vt:lpstr>
      <vt:lpstr>S2.1.2 Gas_sim</vt:lpstr>
      <vt:lpstr>S2.1.3 Gas_imp</vt:lpstr>
      <vt:lpstr>S2.1.4 Gas_cred</vt:lpstr>
      <vt:lpstr>S2.1.5 Gas_res</vt:lpstr>
      <vt:lpstr>S2.2.1 Pyro_lit</vt:lpstr>
      <vt:lpstr>S2.2.2 Pyro_imp</vt:lpstr>
      <vt:lpstr>S2.2.3 Pyro_cred</vt:lpstr>
      <vt:lpstr>S2.2.4 Pyro_res</vt:lpstr>
      <vt:lpstr>S2.3.1 Depoly_lit</vt:lpstr>
      <vt:lpstr>S2.3.2 Depoly_imp</vt:lpstr>
      <vt:lpstr>S2.3.3 Depoly_cred</vt:lpstr>
      <vt:lpstr>S2.3.4 Depoly_res</vt:lpstr>
      <vt:lpstr>S2.4.1 Dissol_imp</vt:lpstr>
      <vt:lpstr>S2.4.2 Dissol_cred</vt:lpstr>
      <vt:lpstr>S2.4.3 Dissol_res</vt:lpstr>
      <vt:lpstr>S2.5 energy supply scenarios</vt:lpstr>
      <vt:lpstr>S2.6 energy demand chemicals</vt:lpstr>
      <vt:lpstr>S2.7 energy recovery calc</vt:lpstr>
      <vt:lpstr>S2.8 methods_lit_rev</vt:lpstr>
      <vt:lpstr>S2.9 overview inventory </vt:lpstr>
      <vt:lpstr>S2.10 overall results</vt:lpstr>
      <vt:lpstr>S3.1 LCA data coll,sort,transp</vt:lpstr>
      <vt:lpstr>S3.2 LCA data waste-to-energy</vt:lpstr>
      <vt:lpstr>S3.3.1 system impacts</vt:lpstr>
      <vt:lpstr>S3.3.2 sys. imp. - sens.anal.</vt:lpstr>
      <vt:lpstr>S4.1 LCA chem rec Schwarz</vt:lpstr>
      <vt:lpstr>S4.2 sys imp chem rec Schwarz</vt:lpstr>
      <vt:lpstr>S5 plant data</vt:lpstr>
      <vt:lpstr>REF</vt:lpstr>
      <vt:lpstr>'S1.1 MFA configurations'!_Ref120787027</vt:lpstr>
      <vt:lpstr>'S2.9 overview inventory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2023-10-02T10:54:46Z</dcterms:modified>
</cp:coreProperties>
</file>