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Xian_Work\repo\ui_sim\tables\"/>
    </mc:Choice>
  </mc:AlternateContent>
  <bookViews>
    <workbookView xWindow="0" yWindow="0" windowWidth="28800" windowHeight="12000" firstSheet="1" activeTab="11"/>
  </bookViews>
  <sheets>
    <sheet name="t1_rep" sheetId="52" r:id="rId1"/>
    <sheet name="t2_color" sheetId="4" r:id="rId2"/>
    <sheet name="t3_model" sheetId="89" r:id="rId3"/>
    <sheet name="t4_welfare" sheetId="95" r:id="rId4"/>
    <sheet name="at1_sum_stat" sheetId="58" r:id="rId5"/>
    <sheet name="at2_rep_jpmci" sheetId="6" r:id="rId6"/>
    <sheet name="at3_rep_ce" sheetId="65" r:id="rId7"/>
    <sheet name="at4_rep_bea" sheetId="66" r:id="rId8"/>
    <sheet name="at5_rep_inc" sheetId="55" r:id="rId9"/>
    <sheet name="at6_rep_asset" sheetId="11" r:id="rId10"/>
    <sheet name="at7_winsor" sheetId="77" r:id="rId11"/>
    <sheet name="at8_path" sheetId="29" r:id="rId12"/>
    <sheet name="at9_cov_on" sheetId="72" r:id="rId13"/>
    <sheet name="at10_cov_ex" sheetId="42" r:id="rId14"/>
    <sheet name="at11_chnl_on" sheetId="73" r:id="rId15"/>
    <sheet name="at12_chnl_ex" sheetId="70" r:id="rId16"/>
    <sheet name="at13_prior_lit" sheetId="3" r:id="rId17"/>
    <sheet name="at14_color_on" sheetId="57" r:id="rId18"/>
    <sheet name="at15_enviro" sheetId="78" r:id="rId19"/>
    <sheet name="at16_moments" sheetId="99" r:id="rId20"/>
    <sheet name="at17_bcmc" sheetId="96" r:id="rId21"/>
    <sheet name="at18_alt_models" sheetId="92" r:id="rId22"/>
    <sheet name="at19_welf_gamma" sheetId="93" r:id="rId23"/>
    <sheet name="at20_welf_struc" sheetId="97" r:id="rId24"/>
    <sheet name="at21_dcpc" sheetId="76" r:id="rId25"/>
    <sheet name="Sheet8" sheetId="84"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xlnm.Print_Area" localSheetId="23">at20_welf_struc!$A$1:$G$15</definedName>
  </definedName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F30" i="89" l="1"/>
  <c r="F29" i="89"/>
  <c r="F28" i="89"/>
  <c r="F24" i="89"/>
  <c r="F23" i="89"/>
  <c r="F22" i="89"/>
  <c r="F21" i="89"/>
  <c r="F20" i="89"/>
  <c r="F17" i="89"/>
  <c r="F16" i="89"/>
  <c r="F15" i="89"/>
  <c r="F14" i="89"/>
  <c r="F11" i="89"/>
  <c r="J6" i="55" l="1"/>
  <c r="I6" i="55"/>
  <c r="H6" i="55"/>
  <c r="G6" i="55"/>
  <c r="F6" i="55"/>
  <c r="E6" i="55"/>
  <c r="D6" i="55"/>
  <c r="C6" i="55"/>
  <c r="J5" i="55"/>
  <c r="I5" i="55"/>
  <c r="H5" i="55"/>
  <c r="G5" i="55"/>
  <c r="F5" i="55"/>
  <c r="E5" i="55"/>
  <c r="D5" i="55"/>
  <c r="C5" i="55"/>
  <c r="J4" i="55"/>
  <c r="I4" i="55"/>
  <c r="H4" i="55"/>
  <c r="G4" i="55"/>
  <c r="F4" i="55"/>
  <c r="E4" i="55"/>
  <c r="D4" i="55"/>
  <c r="C4" i="55"/>
  <c r="D19" i="99" l="1"/>
  <c r="D18" i="99"/>
  <c r="D17" i="99"/>
  <c r="D16" i="99"/>
  <c r="D15" i="99"/>
  <c r="D14" i="99"/>
  <c r="D13" i="99"/>
  <c r="D12" i="99"/>
  <c r="D11" i="99"/>
  <c r="D10" i="99"/>
  <c r="D9" i="99"/>
  <c r="D8" i="99"/>
  <c r="D7" i="99"/>
  <c r="D6" i="99"/>
  <c r="D5" i="99"/>
  <c r="C19" i="99"/>
  <c r="C18" i="99"/>
  <c r="C17" i="99"/>
  <c r="C16" i="99"/>
  <c r="C15" i="99"/>
  <c r="C14" i="99"/>
  <c r="C13" i="99"/>
  <c r="C12" i="99"/>
  <c r="C11" i="99"/>
  <c r="C10" i="99"/>
  <c r="C9" i="99"/>
  <c r="C8" i="99"/>
  <c r="C7" i="99"/>
  <c r="C6" i="99"/>
  <c r="C5" i="99"/>
  <c r="C4" i="99"/>
  <c r="F19" i="99"/>
  <c r="G19" i="99" s="1"/>
  <c r="F18" i="99"/>
  <c r="G18" i="99" s="1"/>
  <c r="F17" i="99"/>
  <c r="G17" i="99" s="1"/>
  <c r="F16" i="99"/>
  <c r="G16" i="99" s="1"/>
  <c r="F15" i="99"/>
  <c r="G15" i="99" s="1"/>
  <c r="F14" i="99"/>
  <c r="G14" i="99" s="1"/>
  <c r="F13" i="99"/>
  <c r="G13" i="99" s="1"/>
  <c r="F12" i="99"/>
  <c r="G12" i="99" s="1"/>
  <c r="F11" i="99"/>
  <c r="G11" i="99" s="1"/>
  <c r="F10" i="99"/>
  <c r="G10" i="99" s="1"/>
  <c r="F9" i="99"/>
  <c r="G9" i="99" s="1"/>
  <c r="E22" i="89" l="1"/>
  <c r="D22" i="89"/>
  <c r="C22" i="89"/>
  <c r="E24" i="89"/>
  <c r="D24" i="89"/>
  <c r="C24" i="89"/>
  <c r="E20" i="89"/>
  <c r="D20" i="89"/>
  <c r="C20" i="89"/>
  <c r="E15" i="89"/>
  <c r="D15" i="89"/>
  <c r="C15" i="89"/>
  <c r="E17" i="89"/>
  <c r="C21" i="89"/>
  <c r="D21" i="89"/>
  <c r="E21" i="89"/>
  <c r="D5" i="72"/>
  <c r="D8" i="72"/>
  <c r="D10" i="72"/>
  <c r="D12" i="72"/>
  <c r="D14" i="72"/>
  <c r="D16" i="72"/>
  <c r="D18" i="72"/>
  <c r="D20" i="72"/>
  <c r="D22" i="72"/>
  <c r="D25" i="72"/>
  <c r="D27" i="72"/>
  <c r="D29" i="72"/>
  <c r="D31" i="72"/>
  <c r="D34" i="72"/>
  <c r="E13" i="89"/>
  <c r="D13" i="89"/>
  <c r="E11" i="89"/>
  <c r="D11" i="89"/>
  <c r="C11" i="89"/>
  <c r="F25" i="92" l="1"/>
  <c r="F21" i="92"/>
  <c r="F16" i="92"/>
  <c r="F14" i="92"/>
  <c r="F12" i="92"/>
  <c r="F10" i="92"/>
  <c r="E25" i="92"/>
  <c r="E23" i="92"/>
  <c r="E21" i="92"/>
  <c r="E16" i="92"/>
  <c r="E14" i="92"/>
  <c r="E12" i="92"/>
  <c r="E10" i="92"/>
  <c r="C23" i="92"/>
  <c r="D21" i="92"/>
  <c r="C21" i="92"/>
  <c r="C14" i="92"/>
  <c r="C10" i="92"/>
  <c r="D25" i="92"/>
  <c r="D23" i="92"/>
  <c r="D16" i="92"/>
  <c r="D12" i="92"/>
  <c r="D14" i="92"/>
  <c r="D10" i="92"/>
  <c r="B5" i="99" l="1"/>
  <c r="B6" i="99" s="1"/>
  <c r="B7" i="99" s="1"/>
  <c r="B8" i="99" s="1"/>
  <c r="B9" i="99" s="1"/>
  <c r="B10" i="99" s="1"/>
  <c r="B11" i="99" s="1"/>
  <c r="B12" i="99" s="1"/>
  <c r="B13" i="99" s="1"/>
  <c r="B14" i="99" s="1"/>
  <c r="B15" i="99" s="1"/>
  <c r="B16" i="99" s="1"/>
  <c r="B17" i="99" s="1"/>
  <c r="B18" i="99" s="1"/>
  <c r="B19" i="99" s="1"/>
  <c r="E35" i="72"/>
  <c r="D36" i="72"/>
  <c r="F29" i="29"/>
  <c r="E29" i="29"/>
  <c r="D29" i="29"/>
  <c r="F20" i="29"/>
  <c r="E20" i="29"/>
  <c r="D20" i="29"/>
  <c r="C9" i="77"/>
  <c r="C8" i="77"/>
  <c r="C7" i="77"/>
  <c r="C6" i="77"/>
  <c r="C5" i="77"/>
  <c r="C4" i="77"/>
  <c r="C26" i="66"/>
  <c r="E22" i="65"/>
  <c r="E20" i="65"/>
  <c r="C21" i="65"/>
  <c r="F11" i="76" l="1"/>
  <c r="E11" i="76"/>
  <c r="D11" i="76"/>
  <c r="C11" i="76"/>
  <c r="B11" i="76"/>
  <c r="F10" i="76"/>
  <c r="E10" i="76"/>
  <c r="D10" i="76"/>
  <c r="C10" i="76"/>
  <c r="B10" i="76"/>
  <c r="F9" i="76"/>
  <c r="E9" i="76"/>
  <c r="D9" i="76"/>
  <c r="C9" i="76"/>
  <c r="B9" i="76"/>
  <c r="F8" i="76"/>
  <c r="E8" i="76"/>
  <c r="D8" i="76"/>
  <c r="C8" i="76"/>
  <c r="B8" i="76"/>
  <c r="F7" i="76"/>
  <c r="E7" i="76"/>
  <c r="D7" i="76"/>
  <c r="C7" i="76"/>
  <c r="B7" i="76"/>
  <c r="F6" i="76"/>
  <c r="E6" i="76"/>
  <c r="D6" i="76"/>
  <c r="C6" i="76"/>
  <c r="B6" i="76"/>
  <c r="F5" i="76"/>
  <c r="E5" i="76"/>
  <c r="D5" i="76"/>
  <c r="C5" i="76"/>
  <c r="B5" i="76"/>
  <c r="F4" i="76"/>
  <c r="E4" i="76"/>
  <c r="D4" i="76"/>
  <c r="C4" i="76"/>
  <c r="B4" i="76"/>
  <c r="F31" i="57" l="1"/>
  <c r="E31" i="57"/>
  <c r="D31" i="57"/>
  <c r="C31" i="57"/>
  <c r="B31" i="57"/>
  <c r="F30" i="57"/>
  <c r="E30" i="57"/>
  <c r="D30" i="57"/>
  <c r="C30" i="57"/>
  <c r="B30" i="57"/>
  <c r="F29" i="57"/>
  <c r="E29" i="57"/>
  <c r="D29" i="57"/>
  <c r="C29" i="57"/>
  <c r="B29" i="57"/>
  <c r="F28" i="57"/>
  <c r="E28" i="57"/>
  <c r="D28" i="57"/>
  <c r="C28" i="57"/>
  <c r="B28" i="57"/>
  <c r="F27" i="57"/>
  <c r="E27" i="57"/>
  <c r="D27" i="57"/>
  <c r="C27" i="57"/>
  <c r="B27" i="57"/>
  <c r="F25" i="57"/>
  <c r="E25" i="57"/>
  <c r="D25" i="57"/>
  <c r="C25" i="57"/>
  <c r="B25" i="57"/>
  <c r="A25" i="57"/>
  <c r="F24" i="57"/>
  <c r="E24" i="57"/>
  <c r="D24" i="57"/>
  <c r="C24" i="57"/>
  <c r="B24" i="57"/>
  <c r="A24" i="57"/>
  <c r="F23" i="57"/>
  <c r="E23" i="57"/>
  <c r="D23" i="57"/>
  <c r="C23" i="57"/>
  <c r="B23" i="57"/>
  <c r="A23" i="57"/>
  <c r="F22" i="57"/>
  <c r="E22" i="57"/>
  <c r="D22" i="57"/>
  <c r="C22" i="57"/>
  <c r="B22" i="57"/>
  <c r="A22" i="57"/>
  <c r="F21" i="57"/>
  <c r="E21" i="57"/>
  <c r="D21" i="57"/>
  <c r="C21" i="57"/>
  <c r="B21" i="57"/>
  <c r="A21" i="57"/>
  <c r="F20" i="57"/>
  <c r="E20" i="57"/>
  <c r="D20" i="57"/>
  <c r="C20" i="57"/>
  <c r="B20" i="57"/>
  <c r="A20" i="57"/>
  <c r="F19" i="57"/>
  <c r="E19" i="57"/>
  <c r="D19" i="57"/>
  <c r="C19" i="57"/>
  <c r="B19" i="57"/>
  <c r="A19" i="57"/>
  <c r="F18" i="57"/>
  <c r="E18" i="57"/>
  <c r="D18" i="57"/>
  <c r="C18" i="57"/>
  <c r="B18" i="57"/>
  <c r="A18" i="57"/>
  <c r="F17" i="57"/>
  <c r="E17" i="57"/>
  <c r="D17" i="57"/>
  <c r="C17" i="57"/>
  <c r="B17" i="57"/>
  <c r="A17" i="57"/>
  <c r="F16" i="57"/>
  <c r="E16" i="57"/>
  <c r="D16" i="57"/>
  <c r="C16" i="57"/>
  <c r="B16" i="57"/>
  <c r="A16" i="57"/>
  <c r="F15" i="57"/>
  <c r="E15" i="57"/>
  <c r="D15" i="57"/>
  <c r="C15" i="57"/>
  <c r="B15" i="57"/>
  <c r="A15" i="57"/>
  <c r="F14" i="57"/>
  <c r="E14" i="57"/>
  <c r="D14" i="57"/>
  <c r="C14" i="57"/>
  <c r="B14" i="57"/>
  <c r="A14" i="57"/>
  <c r="F13" i="57"/>
  <c r="E13" i="57"/>
  <c r="D13" i="57"/>
  <c r="C13" i="57"/>
  <c r="B13" i="57"/>
  <c r="A13" i="57"/>
  <c r="F12" i="57"/>
  <c r="E12" i="57"/>
  <c r="D12" i="57"/>
  <c r="C12" i="57"/>
  <c r="B12" i="57"/>
  <c r="A12" i="57"/>
  <c r="F11" i="57"/>
  <c r="E11" i="57"/>
  <c r="D11" i="57"/>
  <c r="C11" i="57"/>
  <c r="B11" i="57"/>
  <c r="A11" i="57"/>
  <c r="F10" i="57"/>
  <c r="E10" i="57"/>
  <c r="D10" i="57"/>
  <c r="C10" i="57"/>
  <c r="B10" i="57"/>
  <c r="A10" i="57"/>
  <c r="F9" i="57"/>
  <c r="E9" i="57"/>
  <c r="D9" i="57"/>
  <c r="C9" i="57"/>
  <c r="B9" i="57"/>
  <c r="A9" i="57"/>
  <c r="F8" i="57"/>
  <c r="E8" i="57"/>
  <c r="D8" i="57"/>
  <c r="C8" i="57"/>
  <c r="B8" i="57"/>
  <c r="A8" i="57"/>
  <c r="F7" i="57"/>
  <c r="E7" i="57"/>
  <c r="D7" i="57"/>
  <c r="C7" i="57"/>
  <c r="B7" i="57"/>
  <c r="A7" i="57"/>
  <c r="F6" i="57"/>
  <c r="E6" i="57"/>
  <c r="D6" i="57"/>
  <c r="C6" i="57"/>
  <c r="B6" i="57"/>
  <c r="A6" i="57"/>
  <c r="F5" i="57"/>
  <c r="E5" i="57"/>
  <c r="D5" i="57"/>
  <c r="C5" i="57"/>
  <c r="B5" i="57"/>
  <c r="A5" i="57"/>
  <c r="F4" i="57"/>
  <c r="E4" i="57"/>
  <c r="D4" i="57"/>
  <c r="C4" i="57"/>
  <c r="B4" i="57"/>
  <c r="A4" i="57"/>
  <c r="D36" i="42"/>
  <c r="E35" i="42"/>
  <c r="D35" i="42"/>
  <c r="C35" i="42"/>
  <c r="D34" i="42"/>
  <c r="E33" i="42"/>
  <c r="D33" i="42"/>
  <c r="C33" i="42"/>
  <c r="D31" i="42"/>
  <c r="E30" i="42"/>
  <c r="D30" i="42"/>
  <c r="C30" i="42"/>
  <c r="D29" i="42"/>
  <c r="E28" i="42"/>
  <c r="D28" i="42"/>
  <c r="C28" i="42"/>
  <c r="D27" i="42"/>
  <c r="E26" i="42"/>
  <c r="D26" i="42"/>
  <c r="C26" i="42"/>
  <c r="D25" i="42"/>
  <c r="E24" i="42"/>
  <c r="D24" i="42"/>
  <c r="C24" i="42"/>
  <c r="D22" i="42"/>
  <c r="E21" i="42"/>
  <c r="D21" i="42"/>
  <c r="C21" i="42"/>
  <c r="D20" i="42"/>
  <c r="E19" i="42"/>
  <c r="D19" i="42"/>
  <c r="C19" i="42"/>
  <c r="D18" i="42"/>
  <c r="E17" i="42"/>
  <c r="D17" i="42"/>
  <c r="C17" i="42"/>
  <c r="D16" i="42"/>
  <c r="E15" i="42"/>
  <c r="D15" i="42"/>
  <c r="C15" i="42"/>
  <c r="D14" i="42"/>
  <c r="E13" i="42"/>
  <c r="D13" i="42"/>
  <c r="C13" i="42"/>
  <c r="D12" i="42"/>
  <c r="E11" i="42"/>
  <c r="D11" i="42"/>
  <c r="C11" i="42"/>
  <c r="D10" i="42"/>
  <c r="E9" i="42"/>
  <c r="D9" i="42"/>
  <c r="C9" i="42"/>
  <c r="E7" i="42"/>
  <c r="D8" i="42"/>
  <c r="D7" i="42"/>
  <c r="C7" i="42"/>
  <c r="D5" i="42"/>
  <c r="D4" i="42"/>
  <c r="C4" i="42"/>
  <c r="D33" i="72"/>
  <c r="E33" i="72"/>
  <c r="E30" i="72"/>
  <c r="E28" i="72"/>
  <c r="E26" i="72"/>
  <c r="E24" i="72"/>
  <c r="E21" i="72"/>
  <c r="E19" i="72"/>
  <c r="E17" i="72"/>
  <c r="E15" i="72"/>
  <c r="E13" i="72"/>
  <c r="E11" i="72"/>
  <c r="E9" i="72"/>
  <c r="E7" i="72"/>
  <c r="C35" i="72"/>
  <c r="C33" i="72"/>
  <c r="C30" i="72"/>
  <c r="C28" i="72"/>
  <c r="E7" i="70"/>
  <c r="C7" i="70"/>
  <c r="E7" i="73"/>
  <c r="C7" i="73"/>
  <c r="E24" i="29"/>
  <c r="F28" i="29"/>
  <c r="E28" i="29"/>
  <c r="D28" i="29"/>
  <c r="F27" i="29"/>
  <c r="E27" i="29"/>
  <c r="D27" i="29"/>
  <c r="C27" i="29"/>
  <c r="F26" i="29"/>
  <c r="E26" i="29"/>
  <c r="D26" i="29"/>
  <c r="F25" i="29"/>
  <c r="E25" i="29"/>
  <c r="D25" i="29"/>
  <c r="C25" i="29"/>
  <c r="F24" i="29"/>
  <c r="D24" i="29"/>
  <c r="F23" i="29"/>
  <c r="E23" i="29"/>
  <c r="D23" i="29"/>
  <c r="C23" i="29"/>
  <c r="F19" i="29"/>
  <c r="E19" i="29"/>
  <c r="D19" i="29"/>
  <c r="F18" i="29"/>
  <c r="E18" i="29"/>
  <c r="D18" i="29"/>
  <c r="C18" i="29"/>
  <c r="F6" i="29"/>
  <c r="E6" i="29"/>
  <c r="D6" i="29"/>
  <c r="F17" i="29"/>
  <c r="E17" i="29"/>
  <c r="D17" i="29"/>
  <c r="F16" i="29"/>
  <c r="E16" i="29"/>
  <c r="D16" i="29"/>
  <c r="C16" i="29"/>
  <c r="F14" i="29"/>
  <c r="D14" i="29"/>
  <c r="E14" i="29"/>
  <c r="F13" i="29"/>
  <c r="E13" i="29"/>
  <c r="D13" i="29"/>
  <c r="C13" i="29"/>
  <c r="F12" i="29"/>
  <c r="E12" i="29"/>
  <c r="D12" i="29"/>
  <c r="F11" i="29"/>
  <c r="E11" i="29"/>
  <c r="D11" i="29"/>
  <c r="C11" i="29"/>
  <c r="F10" i="29"/>
  <c r="E10" i="29"/>
  <c r="D10" i="29"/>
  <c r="F9" i="29"/>
  <c r="E9" i="29"/>
  <c r="D9" i="29"/>
  <c r="C9" i="29"/>
  <c r="F8" i="29"/>
  <c r="E8" i="29"/>
  <c r="D8" i="29"/>
  <c r="F7" i="29"/>
  <c r="E7" i="29"/>
  <c r="D7" i="29"/>
  <c r="C7" i="29"/>
  <c r="C5" i="29"/>
  <c r="H4" i="11"/>
  <c r="G4" i="11"/>
  <c r="F4" i="11"/>
  <c r="E4" i="11"/>
  <c r="H3" i="11"/>
  <c r="G3" i="11"/>
  <c r="F3" i="11"/>
  <c r="E3" i="11"/>
  <c r="E40" i="66"/>
  <c r="E39" i="66"/>
  <c r="C39" i="66"/>
  <c r="E38" i="66"/>
  <c r="E37" i="66"/>
  <c r="E36" i="66"/>
  <c r="E35" i="66"/>
  <c r="E34" i="66"/>
  <c r="E33" i="66"/>
  <c r="E32" i="66"/>
  <c r="E31" i="66"/>
  <c r="E30" i="66"/>
  <c r="C38" i="66"/>
  <c r="C37" i="66"/>
  <c r="C36" i="66"/>
  <c r="C35" i="66"/>
  <c r="C34" i="66"/>
  <c r="C33" i="66"/>
  <c r="C32" i="66"/>
  <c r="C31" i="66"/>
  <c r="C30" i="66"/>
  <c r="C25" i="66"/>
  <c r="E23" i="66"/>
  <c r="E22" i="66"/>
  <c r="E21" i="66"/>
  <c r="E20" i="66"/>
  <c r="E19" i="66"/>
  <c r="E18" i="66"/>
  <c r="E17" i="66"/>
  <c r="E16" i="66"/>
  <c r="E15" i="66"/>
  <c r="E14" i="66"/>
  <c r="E13" i="66"/>
  <c r="E12" i="66"/>
  <c r="E11" i="66"/>
  <c r="E10" i="66"/>
  <c r="E9" i="66"/>
  <c r="E8" i="66"/>
  <c r="E7" i="66"/>
  <c r="E6" i="66"/>
  <c r="E5" i="66"/>
  <c r="C24" i="66"/>
  <c r="C23" i="66"/>
  <c r="C22" i="66"/>
  <c r="C21" i="66"/>
  <c r="C20" i="66"/>
  <c r="C19" i="66"/>
  <c r="C18" i="66"/>
  <c r="C17" i="66"/>
  <c r="C16" i="66"/>
  <c r="C15" i="66"/>
  <c r="C14" i="66"/>
  <c r="C13" i="66"/>
  <c r="C12" i="66"/>
  <c r="C11" i="66"/>
  <c r="C10" i="66"/>
  <c r="C9" i="66"/>
  <c r="C8" i="66"/>
  <c r="C7" i="66"/>
  <c r="C6" i="66"/>
  <c r="C5" i="66"/>
  <c r="C35" i="65"/>
  <c r="E34" i="65"/>
  <c r="E33" i="65"/>
  <c r="F33" i="65" s="1"/>
  <c r="C33" i="65"/>
  <c r="F32" i="65"/>
  <c r="F31" i="65"/>
  <c r="F30" i="65"/>
  <c r="F29" i="65"/>
  <c r="F28" i="65"/>
  <c r="F27" i="65"/>
  <c r="F26" i="65"/>
  <c r="F25" i="65"/>
  <c r="E32" i="65"/>
  <c r="E31" i="65"/>
  <c r="E30" i="65"/>
  <c r="E29" i="65"/>
  <c r="E28" i="65"/>
  <c r="E27" i="65"/>
  <c r="E26" i="65"/>
  <c r="E25" i="65"/>
  <c r="C32" i="65"/>
  <c r="C31" i="65"/>
  <c r="C30" i="65"/>
  <c r="C29" i="65"/>
  <c r="C28" i="65"/>
  <c r="C27" i="65"/>
  <c r="C26" i="65"/>
  <c r="C25" i="65"/>
  <c r="E19" i="65"/>
  <c r="E18" i="65"/>
  <c r="E17" i="65"/>
  <c r="E16" i="65"/>
  <c r="E15" i="65"/>
  <c r="E14" i="65"/>
  <c r="E13" i="65"/>
  <c r="E12" i="65"/>
  <c r="E11" i="65"/>
  <c r="E10" i="65"/>
  <c r="E9" i="65"/>
  <c r="E8" i="65"/>
  <c r="E7" i="65"/>
  <c r="E6" i="65"/>
  <c r="E5" i="65"/>
  <c r="C20" i="65"/>
  <c r="C19" i="65"/>
  <c r="C18" i="65"/>
  <c r="C17" i="65"/>
  <c r="C16" i="65"/>
  <c r="C15" i="65"/>
  <c r="C14" i="65"/>
  <c r="C13" i="65"/>
  <c r="C12" i="65"/>
  <c r="C11" i="65"/>
  <c r="C10" i="65"/>
  <c r="C9" i="65"/>
  <c r="C8" i="65"/>
  <c r="C7" i="65"/>
  <c r="C6" i="65"/>
  <c r="C5" i="65"/>
  <c r="G30" i="6"/>
  <c r="E30" i="6"/>
  <c r="C30" i="6"/>
  <c r="G29" i="6"/>
  <c r="E29" i="6"/>
  <c r="G28" i="6"/>
  <c r="F28" i="6"/>
  <c r="G18" i="6"/>
  <c r="E18" i="6"/>
  <c r="C18" i="6"/>
  <c r="H27" i="6"/>
  <c r="G27" i="6"/>
  <c r="F27" i="6"/>
  <c r="E27" i="6"/>
  <c r="H26" i="6"/>
  <c r="G26" i="6"/>
  <c r="F26" i="6"/>
  <c r="E26" i="6"/>
  <c r="H25" i="6"/>
  <c r="G25" i="6"/>
  <c r="F25" i="6"/>
  <c r="E25" i="6"/>
  <c r="H24" i="6"/>
  <c r="G24" i="6"/>
  <c r="F24" i="6"/>
  <c r="E24" i="6"/>
  <c r="H23" i="6"/>
  <c r="G23" i="6"/>
  <c r="F23" i="6"/>
  <c r="E23" i="6"/>
  <c r="H22" i="6"/>
  <c r="G22" i="6"/>
  <c r="F22" i="6"/>
  <c r="E22" i="6"/>
  <c r="H21" i="6"/>
  <c r="G21" i="6"/>
  <c r="F21" i="6"/>
  <c r="E21" i="6"/>
  <c r="C28" i="6"/>
  <c r="C27" i="6"/>
  <c r="C26" i="6"/>
  <c r="C25" i="6"/>
  <c r="C24" i="6"/>
  <c r="C23" i="6"/>
  <c r="C22" i="6"/>
  <c r="C21" i="6"/>
  <c r="C17" i="6"/>
  <c r="H15" i="6"/>
  <c r="G15" i="6"/>
  <c r="F15" i="6"/>
  <c r="E15" i="6"/>
  <c r="C15" i="6"/>
  <c r="H14" i="6"/>
  <c r="G14" i="6"/>
  <c r="F14" i="6"/>
  <c r="E14" i="6"/>
  <c r="C14" i="6"/>
  <c r="H13" i="6"/>
  <c r="G13" i="6"/>
  <c r="F13" i="6"/>
  <c r="E13" i="6"/>
  <c r="C13" i="6"/>
  <c r="H12" i="6"/>
  <c r="G12" i="6"/>
  <c r="F12" i="6"/>
  <c r="E12" i="6"/>
  <c r="C12" i="6"/>
  <c r="H11" i="6"/>
  <c r="G11" i="6"/>
  <c r="F11" i="6"/>
  <c r="E11" i="6"/>
  <c r="C11" i="6"/>
  <c r="H10" i="6"/>
  <c r="G10" i="6"/>
  <c r="F10" i="6"/>
  <c r="E10" i="6"/>
  <c r="C10" i="6"/>
  <c r="H9" i="6"/>
  <c r="G9" i="6"/>
  <c r="F9" i="6"/>
  <c r="E9" i="6"/>
  <c r="C9" i="6"/>
  <c r="H8" i="6"/>
  <c r="G8" i="6"/>
  <c r="F8" i="6"/>
  <c r="E8" i="6"/>
  <c r="C8" i="6"/>
  <c r="H7" i="6"/>
  <c r="G7" i="6"/>
  <c r="F7" i="6"/>
  <c r="E7" i="6"/>
  <c r="E16" i="6" s="1"/>
  <c r="C7" i="6"/>
  <c r="H6" i="6"/>
  <c r="G6" i="6"/>
  <c r="F6" i="6"/>
  <c r="E6" i="6"/>
  <c r="C6" i="6"/>
  <c r="C16" i="6" s="1"/>
  <c r="B4" i="84" l="1"/>
  <c r="E28" i="6"/>
  <c r="G16" i="6"/>
  <c r="E30" i="92"/>
  <c r="E29" i="92"/>
  <c r="E24" i="92"/>
  <c r="E22" i="92"/>
  <c r="E15" i="92"/>
  <c r="E13" i="92"/>
  <c r="E9" i="92"/>
  <c r="E31" i="92" l="1"/>
  <c r="F10" i="93"/>
  <c r="G10" i="93"/>
  <c r="F7" i="93"/>
  <c r="G7" i="93"/>
  <c r="D14" i="97" l="1"/>
  <c r="C14" i="97"/>
  <c r="D12" i="97"/>
  <c r="C12" i="97"/>
  <c r="D13" i="97"/>
  <c r="C13" i="97"/>
  <c r="C10" i="97"/>
  <c r="D9" i="97"/>
  <c r="C9" i="97"/>
  <c r="C7" i="97"/>
  <c r="D6" i="97"/>
  <c r="C6" i="97"/>
  <c r="G11" i="96"/>
  <c r="F11" i="96"/>
  <c r="D11" i="96"/>
  <c r="C11" i="96"/>
  <c r="G10" i="96"/>
  <c r="F10" i="96"/>
  <c r="D10" i="96"/>
  <c r="C10" i="96"/>
  <c r="G9" i="96"/>
  <c r="F9" i="96"/>
  <c r="D9" i="96"/>
  <c r="C9" i="96"/>
  <c r="E7" i="96"/>
  <c r="E6" i="96"/>
  <c r="E5" i="96"/>
  <c r="C10" i="95"/>
  <c r="D9" i="95"/>
  <c r="C9" i="95"/>
  <c r="C7" i="95"/>
  <c r="D6" i="95"/>
  <c r="C6" i="95"/>
  <c r="D23" i="89"/>
  <c r="D24" i="92"/>
  <c r="E10" i="96" l="1"/>
  <c r="E11" i="96"/>
  <c r="G6" i="97"/>
  <c r="F13" i="97"/>
  <c r="F9" i="95"/>
  <c r="G12" i="97"/>
  <c r="E9" i="96"/>
  <c r="F9" i="97"/>
  <c r="F14" i="97"/>
  <c r="F12" i="97"/>
  <c r="F6" i="97"/>
  <c r="G6" i="95"/>
  <c r="F6" i="95"/>
  <c r="C11" i="93" l="1"/>
  <c r="D10" i="93"/>
  <c r="C10" i="93"/>
  <c r="C8" i="93"/>
  <c r="D7" i="93"/>
  <c r="C7" i="93"/>
  <c r="F30" i="92"/>
  <c r="D30" i="92"/>
  <c r="C30" i="92"/>
  <c r="F29" i="92"/>
  <c r="D29" i="92"/>
  <c r="C29" i="92"/>
  <c r="F24" i="92"/>
  <c r="D22" i="92"/>
  <c r="C22" i="92"/>
  <c r="C20" i="92"/>
  <c r="F15" i="92"/>
  <c r="D15" i="92"/>
  <c r="F13" i="92"/>
  <c r="D13" i="92"/>
  <c r="C13" i="92"/>
  <c r="F9" i="92"/>
  <c r="D9" i="92"/>
  <c r="C9" i="92"/>
  <c r="E29" i="89"/>
  <c r="D29" i="89"/>
  <c r="C29" i="89"/>
  <c r="E28" i="89"/>
  <c r="D28" i="89"/>
  <c r="C28" i="89"/>
  <c r="E23" i="89"/>
  <c r="C23" i="89"/>
  <c r="E16" i="89"/>
  <c r="E14" i="89"/>
  <c r="D14" i="89"/>
  <c r="C14" i="89"/>
  <c r="E10" i="89"/>
  <c r="D10" i="89"/>
  <c r="C10" i="89"/>
  <c r="C31" i="92" l="1"/>
  <c r="D30" i="89"/>
  <c r="E30" i="89"/>
  <c r="I10" i="93"/>
  <c r="I7" i="93"/>
  <c r="D31" i="92"/>
  <c r="F31" i="92"/>
  <c r="C30" i="89"/>
  <c r="D35" i="72" l="1"/>
  <c r="D30" i="72"/>
  <c r="D28" i="72"/>
  <c r="D26" i="72"/>
  <c r="D24" i="72"/>
  <c r="D21" i="72"/>
  <c r="D19" i="72"/>
  <c r="D17" i="72"/>
  <c r="D15" i="72"/>
  <c r="D13" i="72"/>
  <c r="D11" i="72"/>
  <c r="D9" i="72"/>
  <c r="D7" i="72"/>
  <c r="D4" i="72"/>
  <c r="C26" i="72"/>
  <c r="C24" i="72"/>
  <c r="C21" i="72"/>
  <c r="C19" i="72"/>
  <c r="C17" i="72"/>
  <c r="C15" i="72"/>
  <c r="C13" i="72"/>
  <c r="C11" i="72"/>
  <c r="C9" i="72"/>
  <c r="C7" i="72"/>
  <c r="C4" i="72"/>
  <c r="F6" i="3"/>
  <c r="E6" i="3"/>
  <c r="D6" i="3"/>
  <c r="C6" i="3"/>
  <c r="F5" i="3"/>
  <c r="E5" i="3"/>
  <c r="D5" i="3"/>
  <c r="C5" i="3"/>
  <c r="E8" i="77"/>
  <c r="D8" i="77"/>
  <c r="E7" i="77"/>
  <c r="D7" i="77"/>
  <c r="E6" i="77"/>
  <c r="D6" i="77"/>
  <c r="E9" i="77"/>
  <c r="D9" i="77"/>
  <c r="E5" i="77"/>
  <c r="D5" i="77"/>
  <c r="H5" i="11"/>
  <c r="G5" i="11"/>
  <c r="F5" i="11"/>
  <c r="E5" i="11"/>
  <c r="G8" i="55"/>
  <c r="G7" i="55"/>
  <c r="C12" i="52" s="1"/>
  <c r="E8" i="55"/>
  <c r="E7" i="55"/>
  <c r="D8" i="55"/>
  <c r="D7" i="55"/>
  <c r="G16" i="58"/>
  <c r="F16" i="58"/>
  <c r="E16" i="58"/>
  <c r="D16" i="58"/>
  <c r="G15" i="58"/>
  <c r="F15" i="58"/>
  <c r="E15" i="58"/>
  <c r="D15" i="58"/>
  <c r="G14" i="58"/>
  <c r="F14" i="58"/>
  <c r="E14" i="58"/>
  <c r="D14" i="58"/>
  <c r="G13" i="58"/>
  <c r="F13" i="58"/>
  <c r="E13" i="58"/>
  <c r="D13" i="58"/>
  <c r="G12" i="58"/>
  <c r="F12" i="58"/>
  <c r="E12" i="58"/>
  <c r="D12" i="58"/>
  <c r="G11" i="58"/>
  <c r="F11" i="58"/>
  <c r="E11" i="58"/>
  <c r="D11" i="58"/>
  <c r="C32" i="6" s="1"/>
  <c r="G10" i="58"/>
  <c r="G9" i="58"/>
  <c r="G8" i="58"/>
  <c r="G7" i="58"/>
  <c r="F10" i="58"/>
  <c r="F9" i="58"/>
  <c r="F8" i="58"/>
  <c r="F7" i="58"/>
  <c r="E10" i="58"/>
  <c r="E9" i="58"/>
  <c r="E8" i="58"/>
  <c r="E7" i="58"/>
  <c r="D10" i="58"/>
  <c r="D9" i="58"/>
  <c r="D8" i="58"/>
  <c r="D7" i="58"/>
  <c r="G6" i="58"/>
  <c r="F6" i="58"/>
  <c r="E6" i="58"/>
  <c r="D6" i="58"/>
  <c r="G5" i="58"/>
  <c r="F5" i="58"/>
  <c r="E5" i="58"/>
  <c r="D5" i="58"/>
  <c r="G4" i="58"/>
  <c r="F4" i="58"/>
  <c r="E4" i="58"/>
  <c r="D4" i="58"/>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6" i="4"/>
  <c r="F26" i="4"/>
  <c r="E26" i="4"/>
  <c r="D26" i="4"/>
  <c r="C26" i="4"/>
  <c r="B26" i="4"/>
  <c r="A26" i="4"/>
  <c r="G25" i="4"/>
  <c r="F25" i="4"/>
  <c r="E25" i="4"/>
  <c r="D25" i="4"/>
  <c r="C25" i="4"/>
  <c r="B25" i="4"/>
  <c r="A25" i="4"/>
  <c r="G24" i="4"/>
  <c r="F24" i="4"/>
  <c r="E24" i="4"/>
  <c r="D24" i="4"/>
  <c r="C24" i="4"/>
  <c r="B24" i="4"/>
  <c r="A24" i="4"/>
  <c r="G23" i="4"/>
  <c r="F23" i="4"/>
  <c r="E23" i="4"/>
  <c r="D23" i="4"/>
  <c r="C23" i="4"/>
  <c r="B23" i="4"/>
  <c r="A23" i="4"/>
  <c r="G22" i="4"/>
  <c r="F22" i="4"/>
  <c r="E22" i="4"/>
  <c r="D22" i="4"/>
  <c r="C22" i="4"/>
  <c r="B22" i="4"/>
  <c r="A22" i="4"/>
  <c r="G21" i="4"/>
  <c r="F21" i="4"/>
  <c r="E21" i="4"/>
  <c r="D21" i="4"/>
  <c r="C21" i="4"/>
  <c r="B21" i="4"/>
  <c r="A21" i="4"/>
  <c r="G20" i="4"/>
  <c r="F20" i="4"/>
  <c r="E20" i="4"/>
  <c r="D20" i="4"/>
  <c r="C20" i="4"/>
  <c r="B20" i="4"/>
  <c r="A20" i="4"/>
  <c r="G19" i="4"/>
  <c r="F19" i="4"/>
  <c r="E19" i="4"/>
  <c r="D19" i="4"/>
  <c r="C19" i="4"/>
  <c r="B19" i="4"/>
  <c r="A19" i="4"/>
  <c r="G18" i="4"/>
  <c r="F18" i="4"/>
  <c r="E18" i="4"/>
  <c r="D18" i="4"/>
  <c r="C18" i="4"/>
  <c r="B18" i="4"/>
  <c r="A18" i="4"/>
  <c r="G17" i="4"/>
  <c r="F17" i="4"/>
  <c r="E17" i="4"/>
  <c r="D17" i="4"/>
  <c r="C17" i="4"/>
  <c r="B17" i="4"/>
  <c r="A17" i="4"/>
  <c r="G16" i="4"/>
  <c r="F16" i="4"/>
  <c r="E16" i="4"/>
  <c r="D16" i="4"/>
  <c r="C16" i="4"/>
  <c r="B16" i="4"/>
  <c r="A16" i="4"/>
  <c r="G15" i="4"/>
  <c r="F15" i="4"/>
  <c r="E15" i="4"/>
  <c r="D15" i="4"/>
  <c r="C15" i="4"/>
  <c r="B15" i="4"/>
  <c r="A15" i="4"/>
  <c r="G14" i="4"/>
  <c r="F14" i="4"/>
  <c r="E14" i="4"/>
  <c r="D14" i="4"/>
  <c r="C14" i="4"/>
  <c r="B14" i="4"/>
  <c r="A14" i="4"/>
  <c r="G13" i="4"/>
  <c r="F13" i="4"/>
  <c r="E13" i="4"/>
  <c r="D13" i="4"/>
  <c r="C13" i="4"/>
  <c r="B13" i="4"/>
  <c r="A13" i="4"/>
  <c r="G12" i="4"/>
  <c r="F12" i="4"/>
  <c r="E12" i="4"/>
  <c r="D12" i="4"/>
  <c r="C12" i="4"/>
  <c r="B12" i="4"/>
  <c r="A12" i="4"/>
  <c r="G11" i="4"/>
  <c r="F11" i="4"/>
  <c r="E11" i="4"/>
  <c r="D11" i="4"/>
  <c r="C11" i="4"/>
  <c r="B11" i="4"/>
  <c r="A11" i="4"/>
  <c r="G10" i="4"/>
  <c r="F10" i="4"/>
  <c r="E10" i="4"/>
  <c r="D10" i="4"/>
  <c r="C10" i="4"/>
  <c r="B10" i="4"/>
  <c r="A10" i="4"/>
  <c r="G9" i="4"/>
  <c r="F9" i="4"/>
  <c r="E9" i="4"/>
  <c r="D9" i="4"/>
  <c r="C9" i="4"/>
  <c r="B9" i="4"/>
  <c r="A9" i="4"/>
  <c r="G8" i="4"/>
  <c r="F8" i="4"/>
  <c r="E8" i="4"/>
  <c r="D8" i="4"/>
  <c r="C8" i="4"/>
  <c r="B8" i="4"/>
  <c r="A8" i="4"/>
  <c r="G7" i="4"/>
  <c r="F7" i="4"/>
  <c r="E7" i="4"/>
  <c r="D7" i="4"/>
  <c r="C7" i="4"/>
  <c r="B7" i="4"/>
  <c r="A7" i="4"/>
  <c r="G6" i="4"/>
  <c r="F6" i="4"/>
  <c r="E6" i="4"/>
  <c r="D6" i="4"/>
  <c r="C6" i="4"/>
  <c r="B6" i="4"/>
  <c r="A6" i="4"/>
  <c r="G5" i="4"/>
  <c r="F5" i="4"/>
  <c r="E5" i="4"/>
  <c r="D5" i="4"/>
  <c r="C5" i="4"/>
  <c r="B5" i="4"/>
  <c r="A5" i="4"/>
  <c r="C8" i="52" l="1"/>
  <c r="F39" i="66"/>
  <c r="F38" i="66"/>
  <c r="F37" i="66"/>
  <c r="F36" i="66"/>
  <c r="F35" i="66"/>
  <c r="F34" i="66"/>
  <c r="F33" i="66"/>
  <c r="F32" i="66"/>
  <c r="F31" i="66"/>
  <c r="F30" i="66"/>
  <c r="F25" i="66"/>
  <c r="F24" i="66"/>
  <c r="F23" i="66"/>
  <c r="F22" i="66"/>
  <c r="F21" i="66"/>
  <c r="F20" i="66"/>
  <c r="F19" i="66"/>
  <c r="F18" i="66"/>
  <c r="F17" i="66"/>
  <c r="F16" i="66"/>
  <c r="F15" i="66"/>
  <c r="F14" i="66"/>
  <c r="F13" i="66"/>
  <c r="F12" i="66"/>
  <c r="F11" i="66"/>
  <c r="F10" i="66"/>
  <c r="F9" i="66"/>
  <c r="F8" i="66"/>
  <c r="F7" i="66"/>
  <c r="F6" i="66"/>
  <c r="F5" i="66"/>
  <c r="E25" i="66"/>
  <c r="E27" i="66" s="1"/>
  <c r="C27" i="66"/>
  <c r="E35" i="65"/>
  <c r="F15" i="65"/>
  <c r="F14" i="65"/>
  <c r="F7" i="65"/>
  <c r="F6" i="65"/>
  <c r="F17" i="65"/>
  <c r="F16" i="65"/>
  <c r="F9" i="65"/>
  <c r="F8" i="65"/>
  <c r="F22" i="65"/>
  <c r="C22" i="65"/>
  <c r="F20" i="65"/>
  <c r="F19" i="65"/>
  <c r="F18" i="65"/>
  <c r="F13" i="65"/>
  <c r="F12" i="65"/>
  <c r="F11" i="65"/>
  <c r="F10" i="65"/>
  <c r="F5" i="65"/>
  <c r="H28" i="6"/>
  <c r="F30" i="6"/>
  <c r="H16" i="6"/>
  <c r="D7" i="52"/>
  <c r="F16" i="6"/>
  <c r="D6" i="52"/>
  <c r="F18" i="6"/>
  <c r="F27" i="66" l="1"/>
  <c r="H18" i="6"/>
  <c r="H30" i="6"/>
  <c r="C6" i="52"/>
  <c r="C7" i="52"/>
  <c r="B9" i="84" l="1"/>
  <c r="C4" i="84" s="1"/>
  <c r="B8" i="84"/>
  <c r="B7" i="84"/>
  <c r="B6" i="84"/>
  <c r="B5" i="84"/>
  <c r="C5" i="84" s="1"/>
  <c r="B3" i="84"/>
  <c r="C3" i="84" s="1"/>
  <c r="B2" i="84"/>
  <c r="F5" i="29"/>
  <c r="E4" i="77" s="1"/>
  <c r="E5" i="29"/>
  <c r="D5" i="29"/>
  <c r="D4" i="77"/>
  <c r="C6" i="84" l="1"/>
  <c r="C7" i="84"/>
  <c r="C8" i="84"/>
  <c r="C2" i="84"/>
  <c r="B11" i="84"/>
  <c r="C41" i="66" l="1"/>
  <c r="E41" i="66" l="1"/>
  <c r="F41" i="66" s="1"/>
  <c r="F35" i="65"/>
  <c r="B7" i="70"/>
  <c r="B7" i="73"/>
  <c r="D12" i="52"/>
  <c r="C6" i="70" l="1"/>
  <c r="E6" i="70"/>
  <c r="H6" i="70" s="1"/>
  <c r="H7" i="73"/>
  <c r="C6" i="73"/>
  <c r="H7" i="70" l="1"/>
  <c r="C10" i="73"/>
  <c r="C9" i="73"/>
  <c r="F7" i="73"/>
  <c r="I7" i="73" s="1"/>
  <c r="E8" i="73"/>
  <c r="H6" i="58"/>
  <c r="E9" i="52"/>
  <c r="E8" i="52"/>
  <c r="E8" i="70"/>
  <c r="F8" i="70" s="1"/>
  <c r="I8" i="70" s="1"/>
  <c r="C9" i="70"/>
  <c r="C13" i="52"/>
  <c r="D13" i="52"/>
  <c r="E12" i="52"/>
  <c r="C17" i="52"/>
  <c r="D17" i="52"/>
  <c r="E15" i="52"/>
  <c r="E6" i="52"/>
  <c r="H8" i="73" l="1"/>
  <c r="F8" i="73"/>
  <c r="I8" i="73" s="1"/>
  <c r="E7" i="52"/>
  <c r="C33" i="57"/>
  <c r="F7" i="70"/>
  <c r="I7" i="70" s="1"/>
  <c r="E17" i="52"/>
  <c r="E13" i="52"/>
  <c r="C10" i="70"/>
  <c r="H8" i="70"/>
  <c r="F6" i="70"/>
  <c r="F9" i="70" l="1"/>
  <c r="I9" i="70" s="1"/>
  <c r="I6" i="70"/>
  <c r="F10" i="70"/>
  <c r="I10" i="70" s="1"/>
  <c r="E6" i="73"/>
  <c r="H6" i="73" s="1"/>
  <c r="F6" i="73" l="1"/>
  <c r="I6" i="73" l="1"/>
  <c r="F10" i="73"/>
  <c r="I10" i="73" s="1"/>
  <c r="F9" i="73"/>
  <c r="I9" i="73" s="1"/>
</calcChain>
</file>

<file path=xl/sharedStrings.xml><?xml version="1.0" encoding="utf-8"?>
<sst xmlns="http://schemas.openxmlformats.org/spreadsheetml/2006/main" count="674" uniqueCount="428">
  <si>
    <t>(1)</t>
    <phoneticPr fontId="20" type="noConversion"/>
  </si>
  <si>
    <t>SCF</t>
    <phoneticPr fontId="20" type="noConversion"/>
  </si>
  <si>
    <t>All Liquid Assets</t>
    <phoneticPr fontId="20" type="noConversion"/>
  </si>
  <si>
    <t>Credit Limit ($)</t>
    <phoneticPr fontId="20" type="noConversion"/>
  </si>
  <si>
    <t>JPMCI</t>
    <phoneticPr fontId="20" type="noConversion"/>
  </si>
  <si>
    <t>Total Outflows ($)</t>
    <phoneticPr fontId="20" type="noConversion"/>
  </si>
  <si>
    <t>Other Income</t>
  </si>
  <si>
    <t>Dataset</t>
    <phoneticPr fontId="20" type="noConversion"/>
  </si>
  <si>
    <t>Sample</t>
    <phoneticPr fontId="20" type="noConversion"/>
  </si>
  <si>
    <t>Checking Account</t>
    <phoneticPr fontId="20" type="noConversion"/>
  </si>
  <si>
    <t>Parameter</t>
  </si>
  <si>
    <t>Asset Balance</t>
    <phoneticPr fontId="20" type="noConversion"/>
  </si>
  <si>
    <t>(2)</t>
    <phoneticPr fontId="20" type="noConversion"/>
  </si>
  <si>
    <t>(3)</t>
    <phoneticPr fontId="20" type="noConversion"/>
  </si>
  <si>
    <t>(4)</t>
    <phoneticPr fontId="20" type="noConversion"/>
  </si>
  <si>
    <t>Annual Income &lt; Median</t>
    <phoneticPr fontId="20" type="noConversion"/>
  </si>
  <si>
    <t>Has Chase Credit Card</t>
    <phoneticPr fontId="20" type="noConversion"/>
  </si>
  <si>
    <t>Share &lt; Age 21</t>
    <phoneticPr fontId="20" type="noConversion"/>
  </si>
  <si>
    <t>Exhaust UI</t>
    <phoneticPr fontId="20" type="noConversion"/>
  </si>
  <si>
    <t>External Benchmarks</t>
    <phoneticPr fontId="20" type="noConversion"/>
  </si>
  <si>
    <t>SIPP</t>
    <phoneticPr fontId="20" type="noConversion"/>
  </si>
  <si>
    <t>Revolving Balance ($)</t>
    <phoneticPr fontId="20" type="noConversion"/>
  </si>
  <si>
    <t>New Charges ($)</t>
    <phoneticPr fontId="20" type="noConversion"/>
  </si>
  <si>
    <t>Paper Checks</t>
    <phoneticPr fontId="20" type="noConversion"/>
  </si>
  <si>
    <t>(1)</t>
    <phoneticPr fontId="20" type="noConversion"/>
  </si>
  <si>
    <t>(2)</t>
    <phoneticPr fontId="20" type="noConversion"/>
  </si>
  <si>
    <t>(3)</t>
    <phoneticPr fontId="20" type="noConversion"/>
  </si>
  <si>
    <t>Employed</t>
  </si>
  <si>
    <t>SIPP</t>
    <phoneticPr fontId="20" type="noConversion"/>
  </si>
  <si>
    <t>p50</t>
  </si>
  <si>
    <t>p90</t>
  </si>
  <si>
    <t>p10</t>
  </si>
  <si>
    <t>Mean</t>
  </si>
  <si>
    <t>Median</t>
  </si>
  <si>
    <t>Category</t>
  </si>
  <si>
    <t>(8)</t>
    <phoneticPr fontId="20" type="noConversion"/>
  </si>
  <si>
    <t>(1)</t>
    <phoneticPr fontId="20" type="noConversion"/>
  </si>
  <si>
    <t>(2)</t>
    <phoneticPr fontId="20" type="noConversion"/>
  </si>
  <si>
    <t>(3)</t>
    <phoneticPr fontId="20" type="noConversion"/>
  </si>
  <si>
    <t>(4)</t>
    <phoneticPr fontId="20" type="noConversion"/>
  </si>
  <si>
    <t>(5)</t>
    <phoneticPr fontId="20" type="noConversion"/>
  </si>
  <si>
    <t>(6)</t>
    <phoneticPr fontId="20" type="noConversion"/>
  </si>
  <si>
    <t>(7)</t>
    <phoneticPr fontId="20" type="noConversion"/>
  </si>
  <si>
    <t>Total Inflows ($)</t>
    <phoneticPr fontId="20" type="noConversion"/>
  </si>
  <si>
    <t>Utilities</t>
  </si>
  <si>
    <t>Share &gt; 0</t>
  </si>
  <si>
    <t>Baseline</t>
    <phoneticPr fontId="20" type="noConversion"/>
  </si>
  <si>
    <t>Food Away From Home</t>
  </si>
  <si>
    <t>Pre Onset</t>
  </si>
  <si>
    <t>--</t>
    <phoneticPr fontId="20" type="noConversion"/>
  </si>
  <si>
    <t>Makes ACH Mortgage Payments</t>
    <phoneticPr fontId="20" type="noConversion"/>
  </si>
  <si>
    <t>Age &lt; Median</t>
    <phoneticPr fontId="20" type="noConversion"/>
  </si>
  <si>
    <t>p-val vs baseline</t>
    <phoneticPr fontId="20" type="noConversion"/>
  </si>
  <si>
    <t>(5)</t>
  </si>
  <si>
    <t>UI Recipient, Pre-Onset</t>
  </si>
  <si>
    <t>Food ($)</t>
  </si>
  <si>
    <t>Change in $ (2) - (1)</t>
  </si>
  <si>
    <t>(3)</t>
  </si>
  <si>
    <t>(4)</t>
  </si>
  <si>
    <t>UI Benefits / Income in Bottom Tercile</t>
  </si>
  <si>
    <t>UI Benefits / Income in Top Tercile</t>
  </si>
  <si>
    <t>Total Assets in Bottom Tercile</t>
  </si>
  <si>
    <t>Total Assets in Top Tercile</t>
  </si>
  <si>
    <t>Chase Assets in Bottom Tercile</t>
  </si>
  <si>
    <t>Chase Assets in Top Tercile</t>
  </si>
  <si>
    <t>(1)</t>
  </si>
  <si>
    <t>(2)</t>
  </si>
  <si>
    <t>JPMCI</t>
  </si>
  <si>
    <t>Benchmark</t>
  </si>
  <si>
    <t>Benchmark Source</t>
  </si>
  <si>
    <t>Number of U.S. States</t>
  </si>
  <si>
    <t>SIPP</t>
  </si>
  <si>
    <t>SCF</t>
  </si>
  <si>
    <t>--</t>
  </si>
  <si>
    <t>Total Income</t>
  </si>
  <si>
    <t>Labor Earnings</t>
  </si>
  <si>
    <t>Baily-Chetty Approximation</t>
  </si>
  <si>
    <t>JPMCI Nondurables</t>
  </si>
  <si>
    <t>Gruber (1997) Food</t>
  </si>
  <si>
    <t>Structural Model Simulation</t>
  </si>
  <si>
    <t>JPMCI Mean ($)</t>
  </si>
  <si>
    <r>
      <t>While Receiving UI</t>
    </r>
    <r>
      <rPr>
        <vertAlign val="superscript"/>
        <sz val="10"/>
        <color indexed="8"/>
        <rFont val="Latin Modern Roman 10 Regular"/>
      </rPr>
      <t>b</t>
    </r>
  </si>
  <si>
    <r>
      <t>(b) Food</t>
    </r>
    <r>
      <rPr>
        <vertAlign val="superscript"/>
        <sz val="10"/>
        <color indexed="8"/>
        <rFont val="Latin Modern Roman 10 Regular"/>
      </rPr>
      <t>d</t>
    </r>
  </si>
  <si>
    <t>Total Checking Account Outflows</t>
  </si>
  <si>
    <t>Pre Onset ($)</t>
  </si>
  <si>
    <t>Household Earnings (Mean)</t>
  </si>
  <si>
    <t xml:space="preserve"> Household Income (Mean)</t>
  </si>
  <si>
    <t>Person Earn (Mean)</t>
  </si>
  <si>
    <t>Others' Earnings (Mean)</t>
  </si>
  <si>
    <t xml:space="preserve"> Household Income (Median)</t>
  </si>
  <si>
    <t>Demographics and Economic Characteristics</t>
  </si>
  <si>
    <t>Assets and Liabilities</t>
  </si>
  <si>
    <t>Spending Change in $</t>
  </si>
  <si>
    <t>Pre-Onset Mean ($)</t>
  </si>
  <si>
    <t>Total Checking Account Inflows</t>
  </si>
  <si>
    <t>Detail</t>
  </si>
  <si>
    <t>Tax Refunds, Social Security (Old Age and Disability), Child Support, Unemployment Insurance, Veterans Benefits, Supplemental Security Income</t>
  </si>
  <si>
    <t>Government</t>
  </si>
  <si>
    <t>Transfers from Checking, Savings, Money Market, and Investment Accounts</t>
  </si>
  <si>
    <t>Transfers to Checking, Savings, Money Market, and Investment Accounts</t>
  </si>
  <si>
    <t>Cash, Investment Income, Interest, Refunds</t>
  </si>
  <si>
    <t xml:space="preserve">Labor </t>
  </si>
  <si>
    <t>Earnings Paid By Direct Deposit</t>
  </si>
  <si>
    <t>Welfare Change as an Equivalent Increase in Lifetime Income</t>
  </si>
  <si>
    <t>N Checking Account Outcomes</t>
  </si>
  <si>
    <t>N Credit Card Outcomes</t>
  </si>
  <si>
    <t>Post Onset ($)</t>
  </si>
  <si>
    <t>Medical</t>
  </si>
  <si>
    <t>Groceries</t>
  </si>
  <si>
    <t>$</t>
  </si>
  <si>
    <t>%</t>
  </si>
  <si>
    <t>Pre
Exhaustion</t>
  </si>
  <si>
    <t>Post Exhaustion</t>
  </si>
  <si>
    <t>Change 
(col 3 - col 2)</t>
  </si>
  <si>
    <t>Ratio 
(col 2 / col 1)</t>
  </si>
  <si>
    <t>UI Duration ↑ 1 Month</t>
  </si>
  <si>
    <r>
      <t>Uncategorized</t>
    </r>
    <r>
      <rPr>
        <vertAlign val="superscript"/>
        <sz val="10"/>
        <color indexed="8"/>
        <rFont val="Latin Modern Roman 10 Regular"/>
      </rPr>
      <t>a</t>
    </r>
  </si>
  <si>
    <t>Unemployed</t>
  </si>
  <si>
    <t>Receive UI</t>
  </si>
  <si>
    <t>Share Other Earn &gt; 0</t>
  </si>
  <si>
    <t>Data</t>
  </si>
  <si>
    <t>Ratio of Spending Drop to Income Drop</t>
  </si>
  <si>
    <t>Telecom</t>
  </si>
  <si>
    <t>Home Improvement</t>
  </si>
  <si>
    <t>Transfer to External Account</t>
  </si>
  <si>
    <t>Durable Expenditures</t>
  </si>
  <si>
    <t>Alcoholic beverages</t>
  </si>
  <si>
    <t>Food away from home</t>
  </si>
  <si>
    <t>Gasoline and motor oil</t>
  </si>
  <si>
    <t>Housekeeping supplies</t>
  </si>
  <si>
    <t>Personal care products and services</t>
  </si>
  <si>
    <t>Public and other transportation</t>
  </si>
  <si>
    <t>Tobacco products and smoking supplies</t>
  </si>
  <si>
    <t>Utilities, fuels, and public services</t>
  </si>
  <si>
    <t>Apparel and services</t>
  </si>
  <si>
    <t>Education</t>
  </si>
  <si>
    <t>Fees and admissions</t>
  </si>
  <si>
    <t>Household furnishings and equipment</t>
  </si>
  <si>
    <t>Other lodging</t>
  </si>
  <si>
    <t>Other vehicle expenses</t>
  </si>
  <si>
    <t>Vehicle rental, leases, licenses, and other charges</t>
  </si>
  <si>
    <t>Total Comparables</t>
  </si>
  <si>
    <t>Alcoholic beverages purchased for off-premises consumption</t>
  </si>
  <si>
    <t>Food and nonalcoholic beverages purchased for off-premises consumption</t>
  </si>
  <si>
    <t>Food services</t>
  </si>
  <si>
    <t>Household utilities</t>
  </si>
  <si>
    <t>Motor vehicle fuels, lubricants, and fluids</t>
  </si>
  <si>
    <t>Postal and delivery services</t>
  </si>
  <si>
    <t>Professional and other services</t>
  </si>
  <si>
    <t>Public transportation (air)</t>
  </si>
  <si>
    <t>Public transportation (other)</t>
  </si>
  <si>
    <t>Tobacco</t>
  </si>
  <si>
    <t>Clothing and footwear</t>
  </si>
  <si>
    <t>Household maintenance</t>
  </si>
  <si>
    <t>Recreation - Other</t>
  </si>
  <si>
    <t>Sporting equipment, supplies, guns, and ammunities, and sports and recreational vehicles</t>
  </si>
  <si>
    <t>Furnishings and durable household equipment</t>
  </si>
  <si>
    <t>Hotels and motels</t>
  </si>
  <si>
    <t>Membership clubs, sports centers, parks, theaters, and museums</t>
  </si>
  <si>
    <t>Motor vehicle parts, accessories, and maintenance and repair</t>
  </si>
  <si>
    <t>Other durable goods</t>
  </si>
  <si>
    <t>Other motor vehicle services</t>
  </si>
  <si>
    <t>Video, audio, photographic, and information processing equipment, media, and services</t>
  </si>
  <si>
    <t>Entertainment</t>
  </si>
  <si>
    <t>Ratio to Benchmark</t>
  </si>
  <si>
    <t>Drugs</t>
  </si>
  <si>
    <t>Pharmaceutical products</t>
  </si>
  <si>
    <t>Insurance</t>
  </si>
  <si>
    <t>Drug Stores</t>
  </si>
  <si>
    <t>Food at home</t>
  </si>
  <si>
    <t>PCE</t>
  </si>
  <si>
    <t>PCE Mean ($)</t>
  </si>
  <si>
    <t>Ratio to PCE</t>
  </si>
  <si>
    <t>Dollars</t>
  </si>
  <si>
    <t>Percent</t>
  </si>
  <si>
    <t>% with channel</t>
    <phoneticPr fontId="20" type="noConversion"/>
  </si>
  <si>
    <t>Families with this channel</t>
    <phoneticPr fontId="20" type="noConversion"/>
  </si>
  <si>
    <t>Estimate for all families</t>
    <phoneticPr fontId="20" type="noConversion"/>
  </si>
  <si>
    <t>(3)</t>
    <phoneticPr fontId="20" type="noConversion"/>
  </si>
  <si>
    <t>(4)</t>
    <phoneticPr fontId="20" type="noConversion"/>
  </si>
  <si>
    <t>(5)</t>
    <phoneticPr fontId="20" type="noConversion"/>
  </si>
  <si>
    <t>(6)</t>
    <phoneticPr fontId="20" type="noConversion"/>
  </si>
  <si>
    <t>Calibrated Consumption Parameters</t>
  </si>
  <si>
    <t>Estimated Consumption Parameters</t>
  </si>
  <si>
    <t>Calibrated Search Parameters</t>
  </si>
  <si>
    <t>Estimated Search Parameters</t>
  </si>
  <si>
    <t>Convexity of Job Search Cost ξ</t>
  </si>
  <si>
    <t>Goodness of Fit</t>
  </si>
  <si>
    <t>N Estimated Parameters</t>
  </si>
  <si>
    <t>Consumption Goodness of Fit</t>
  </si>
  <si>
    <t>Search Goodness of Fit</t>
  </si>
  <si>
    <t>Total Goodness of Fit</t>
  </si>
  <si>
    <t>Employed Income</t>
  </si>
  <si>
    <t>Unemployed (&gt;6 months) Income</t>
  </si>
  <si>
    <t>Income Measures</t>
  </si>
  <si>
    <t>Spending Measures</t>
  </si>
  <si>
    <t>Transfer from External Account</t>
  </si>
  <si>
    <t>Checking Account</t>
  </si>
  <si>
    <t>Retail Durables</t>
  </si>
  <si>
    <t>One Name on Account</t>
  </si>
  <si>
    <t>Shared Account, Other HH Member Employed</t>
  </si>
  <si>
    <t>Shared Account, Other HH Member Not Employed</t>
  </si>
  <si>
    <t>Exhaust in 2015 or Later</t>
  </si>
  <si>
    <t>(A) Have Chase Checking Account</t>
  </si>
  <si>
    <t>(B) Have Outside Checking Account</t>
  </si>
  <si>
    <t>(C) Have Outside Credit Card</t>
  </si>
  <si>
    <t>Sum Over All Bank Accounts (A)+(B)</t>
  </si>
  <si>
    <t>Sum Over All Payment Channels (A)+(B)+(C)</t>
  </si>
  <si>
    <t>Pre-onset Spending</t>
  </si>
  <si>
    <t>Notes: This table compares liquid assets in the 2013 Survey of Consumer Finances (SCF) to UI recipients that meet the sampling criteria described in Section 2.1. Liquid assets include checking and saving accounts, money market accounts, certificates of deposit, savings bonds, non-retirement mutual funds, stocks and bonds. When households have multiple checking accounts in the SCF, we report statistics for "the checking account you use the most."  Employed is defined as at least $15,000 of annual pre-tax labor income in the SCF.</t>
  </si>
  <si>
    <t>Ground Transportation</t>
  </si>
  <si>
    <t>Miscellaneous Durables</t>
  </si>
  <si>
    <t>Spending</t>
  </si>
  <si>
    <t>Other Bank Account Outflows</t>
  </si>
  <si>
    <t>Retail Nondurables</t>
  </si>
  <si>
    <t>Change 
(col 4 / col 2)</t>
  </si>
  <si>
    <t>Durable</t>
  </si>
  <si>
    <t>Other ND</t>
  </si>
  <si>
    <t>Strict ND</t>
  </si>
  <si>
    <t>Nondurable</t>
  </si>
  <si>
    <t>Change in % (3) / (1)</t>
  </si>
  <si>
    <t>Auto Repair</t>
  </si>
  <si>
    <r>
      <t>Type</t>
    </r>
    <r>
      <rPr>
        <vertAlign val="superscript"/>
        <sz val="10"/>
        <color indexed="8"/>
        <rFont val="Latin Modern Roman 10 Regular"/>
      </rPr>
      <t>a</t>
    </r>
  </si>
  <si>
    <r>
      <t>Category</t>
    </r>
    <r>
      <rPr>
        <vertAlign val="superscript"/>
        <sz val="10"/>
        <color indexed="8"/>
        <rFont val="Latin Modern Roman 10 Regular"/>
      </rPr>
      <t>b</t>
    </r>
  </si>
  <si>
    <t>Nondurables</t>
  </si>
  <si>
    <t>Durables</t>
  </si>
  <si>
    <r>
      <t>Two-Month 
Change at Onset</t>
    </r>
    <r>
      <rPr>
        <vertAlign val="superscript"/>
        <sz val="9"/>
        <color indexed="8"/>
        <rFont val="Latin Modern Roman 10 Regular"/>
      </rPr>
      <t>a</t>
    </r>
  </si>
  <si>
    <r>
      <t>Monthly Change During UI Receipt</t>
    </r>
    <r>
      <rPr>
        <vertAlign val="superscript"/>
        <sz val="9"/>
        <color indexed="8"/>
        <rFont val="Latin Modern Roman 10 Regular"/>
      </rPr>
      <t>b</t>
    </r>
  </si>
  <si>
    <r>
      <t>Two-Month 
Change at Exhaustion</t>
    </r>
    <r>
      <rPr>
        <vertAlign val="superscript"/>
        <sz val="9"/>
        <color indexed="8"/>
        <rFont val="Latin Modern Roman 10 Regular"/>
      </rPr>
      <t>c</t>
    </r>
  </si>
  <si>
    <r>
      <t>Chase Credit Cards</t>
    </r>
    <r>
      <rPr>
        <vertAlign val="superscript"/>
        <sz val="9"/>
        <color indexed="8"/>
        <rFont val="Latin Modern Roman 10 Regular"/>
      </rPr>
      <t>f</t>
    </r>
  </si>
  <si>
    <t>Flights</t>
  </si>
  <si>
    <t>Medical Copay</t>
  </si>
  <si>
    <t>Professional &amp; Personal Services</t>
  </si>
  <si>
    <t>Total</t>
  </si>
  <si>
    <r>
      <t>Nondurable Expenditures</t>
    </r>
    <r>
      <rPr>
        <vertAlign val="superscript"/>
        <sz val="10"/>
        <color indexed="8"/>
        <rFont val="Latin Modern Roman 10 Regular"/>
      </rPr>
      <t/>
    </r>
  </si>
  <si>
    <t>Hotels &amp; Rental Cars</t>
  </si>
  <si>
    <t>Total (with Not in JPMCI)</t>
  </si>
  <si>
    <t>-</t>
  </si>
  <si>
    <t>Miscellaneous</t>
  </si>
  <si>
    <t>Pets, toys, hobbies, and playground equipment</t>
  </si>
  <si>
    <t>Reading</t>
  </si>
  <si>
    <t>Social services and religious activities</t>
  </si>
  <si>
    <t>Share by Durability</t>
  </si>
  <si>
    <t>Nondurable
Share</t>
  </si>
  <si>
    <t>Durable
Share</t>
  </si>
  <si>
    <r>
      <t>Other
Share</t>
    </r>
    <r>
      <rPr>
        <vertAlign val="superscript"/>
        <sz val="10"/>
        <color indexed="8"/>
        <rFont val="Latin Modern Roman 10 Regular"/>
      </rPr>
      <t>b</t>
    </r>
  </si>
  <si>
    <t>Payment</t>
  </si>
  <si>
    <r>
      <t>Consumption Share</t>
    </r>
    <r>
      <rPr>
        <vertAlign val="superscript"/>
        <sz val="10"/>
        <color indexed="8"/>
        <rFont val="Latin Modern Roman 10 Regular"/>
      </rPr>
      <t>a</t>
    </r>
  </si>
  <si>
    <r>
      <t>Cash and Miscellaneous Nondurables</t>
    </r>
    <r>
      <rPr>
        <vertAlign val="superscript"/>
        <sz val="10"/>
        <color indexed="8"/>
        <rFont val="Latin Modern Roman 10 Regular"/>
      </rPr>
      <t>a</t>
    </r>
  </si>
  <si>
    <t>CE Survey Mean ($)</t>
  </si>
  <si>
    <t>Ratio to CE Survey</t>
  </si>
  <si>
    <r>
      <t>Cash and Miscellaneous Nondurables</t>
    </r>
    <r>
      <rPr>
        <vertAlign val="superscript"/>
        <sz val="8"/>
        <color indexed="8"/>
        <rFont val="Latin Modern Roman 10 Regular"/>
      </rPr>
      <t>a</t>
    </r>
  </si>
  <si>
    <r>
      <t>Not in JPMCI</t>
    </r>
    <r>
      <rPr>
        <vertAlign val="superscript"/>
        <sz val="8"/>
        <color indexed="8"/>
        <rFont val="Latin Modern Roman 10 Regular"/>
      </rPr>
      <t>b</t>
    </r>
  </si>
  <si>
    <t>Housing supplies</t>
  </si>
  <si>
    <t>CE Survey</t>
  </si>
  <si>
    <t>Sample</t>
  </si>
  <si>
    <t>Winsorization</t>
  </si>
  <si>
    <t>95th percentile</t>
  </si>
  <si>
    <t>% of Pre-onset mean</t>
  </si>
  <si>
    <t>99th percentile</t>
  </si>
  <si>
    <t>99.99th percentile</t>
  </si>
  <si>
    <t>None</t>
  </si>
  <si>
    <r>
      <t>Analysis Sample</t>
    </r>
    <r>
      <rPr>
        <vertAlign val="superscript"/>
        <sz val="10"/>
        <color indexed="8"/>
        <rFont val="Latin Modern Roman 10 Regular"/>
      </rPr>
      <t>a</t>
    </r>
  </si>
  <si>
    <t>All Valid UI Spells</t>
  </si>
  <si>
    <r>
      <t>All Valid UI Spells</t>
    </r>
    <r>
      <rPr>
        <vertAlign val="superscript"/>
        <sz val="10"/>
        <color indexed="8"/>
        <rFont val="Latin Modern Roman 10 Regular"/>
      </rPr>
      <t>b</t>
    </r>
  </si>
  <si>
    <r>
      <t>Labor Income Prior to UI Receipt</t>
    </r>
    <r>
      <rPr>
        <vertAlign val="superscript"/>
        <sz val="10"/>
        <color indexed="8"/>
        <rFont val="Latin Modern Roman 10 Regular"/>
      </rPr>
      <t>c</t>
    </r>
  </si>
  <si>
    <t>Two-Month Spending Change at Exhaustion</t>
  </si>
  <si>
    <t>Share</t>
  </si>
  <si>
    <t>Debt</t>
  </si>
  <si>
    <t>Uncategorized</t>
  </si>
  <si>
    <t>Saving</t>
  </si>
  <si>
    <t>Table 1: Summary Statistics Prior to Unemployment Onset</t>
  </si>
  <si>
    <t>Table 2: Representativeness: Spending in JPMCI Data Compared to External Benchmarks</t>
  </si>
  <si>
    <t>Table 3: Representativeness: Spending in JPMCI Data Compared to the Consumer Expenditure Survey</t>
  </si>
  <si>
    <t>Table 4: Representativeness: Spending in JPMCI Data Using PCE Category</t>
  </si>
  <si>
    <t>Table 5: Representativeness: Income in JPMCI Data Compared to External Benchmarks</t>
  </si>
  <si>
    <t>Table 6: Representativeness: Assets in JPMCI Data Compared to External Benchmarks</t>
  </si>
  <si>
    <t>Table 7: Sensitivity of Spending Drop to Sample and Winsorization</t>
  </si>
  <si>
    <t>Separation Rate</t>
  </si>
  <si>
    <t>Monthy Interest Rate R</t>
  </si>
  <si>
    <t>Unemployed (1-6 months) Income</t>
  </si>
  <si>
    <t>Value</t>
  </si>
  <si>
    <t>Naive Hyperbolic Discount Factor β</t>
  </si>
  <si>
    <t>Cost of Job Search k</t>
  </si>
  <si>
    <t>N Moments</t>
  </si>
  <si>
    <t>Consumption-Smoothing Gains Only</t>
  </si>
  <si>
    <t>UI Benefits ↑ 1.8%</t>
  </si>
  <si>
    <t>Exponential Discount Factor δ</t>
  </si>
  <si>
    <t>JPMCI Nondurables,  γ=0.999</t>
  </si>
  <si>
    <t>Gruber (1997) Food,  γ=0.999</t>
  </si>
  <si>
    <t>JPMCI Nondurables,  γ=4.0</t>
  </si>
  <si>
    <t>Gruber (1997) Food,  γ=4.0</t>
  </si>
  <si>
    <t>Table 14: Spending Decomposition at Unemployment Onset</t>
  </si>
  <si>
    <r>
      <t>Initial Assets a</t>
    </r>
    <r>
      <rPr>
        <vertAlign val="subscript"/>
        <sz val="10"/>
        <color rgb="FF000000"/>
        <rFont val="Latin Modern Roman 10 Regular"/>
      </rPr>
      <t>0</t>
    </r>
  </si>
  <si>
    <r>
      <t xml:space="preserve">Borrowing Limit </t>
    </r>
    <r>
      <rPr>
        <u/>
        <sz val="10"/>
        <color rgb="FF000000"/>
        <rFont val="Latin Modern Roman 10 Regular"/>
      </rPr>
      <t>a</t>
    </r>
  </si>
  <si>
    <t>Mortgage, Home Equity, Auto Loan, Student Loan, Non-Chase Credit Card Bills</t>
  </si>
  <si>
    <r>
      <t>Uncategorized</t>
    </r>
    <r>
      <rPr>
        <vertAlign val="superscript"/>
        <sz val="10"/>
        <color indexed="8"/>
        <rFont val="Latin Modern Roman 10 Regular"/>
      </rPr>
      <t>a</t>
    </r>
    <r>
      <rPr>
        <sz val="10"/>
        <color indexed="8"/>
        <rFont val="Latin Modern Roman 10 Regular"/>
      </rPr>
      <t xml:space="preserve"> + Paper Checks</t>
    </r>
  </si>
  <si>
    <t>Nondurable Spending</t>
  </si>
  <si>
    <t>Durable Spending</t>
  </si>
  <si>
    <t>All Nondurable</t>
  </si>
  <si>
    <t>(a) Nondurables</t>
  </si>
  <si>
    <r>
      <t>Annual (t=-1,0,…10)</t>
    </r>
    <r>
      <rPr>
        <vertAlign val="superscript"/>
        <sz val="10"/>
        <color rgb="FF000000"/>
        <rFont val="Latin Modern Roman 10 Regular"/>
      </rPr>
      <t>c</t>
    </r>
  </si>
  <si>
    <r>
      <t>Onset (t=-1)</t>
    </r>
    <r>
      <rPr>
        <vertAlign val="superscript"/>
        <sz val="10"/>
        <color rgb="FF000000"/>
        <rFont val="Latin Modern Roman 10 Regular"/>
      </rPr>
      <t>a</t>
    </r>
  </si>
  <si>
    <t xml:space="preserve"> Table 15: Model Environment Parameters</t>
  </si>
  <si>
    <t>Table 4: Welfare Impact of Changes in UI Generosity</t>
  </si>
  <si>
    <t>Model Fit</t>
  </si>
  <si>
    <t>Low Job Search Cost Population Share</t>
  </si>
  <si>
    <t>{4.7, 53.6}</t>
  </si>
  <si>
    <t>Impatient/Myopic Population Share</t>
  </si>
  <si>
    <t>{0.522, 0.899}</t>
  </si>
  <si>
    <t>Monthly Exponential Discount Factor δ</t>
  </si>
  <si>
    <t>4 types</t>
  </si>
  <si>
    <t>2 types</t>
  </si>
  <si>
    <t>Heterogeneity in β</t>
  </si>
  <si>
    <t>Standard Model</t>
  </si>
  <si>
    <t>Difference 
(col 2 - col 1)</t>
  </si>
  <si>
    <t>Model</t>
  </si>
  <si>
    <t>75th Percentile</t>
  </si>
  <si>
    <t>25th Percentile</t>
  </si>
  <si>
    <t xml:space="preserve">(2) </t>
  </si>
  <si>
    <t>Search Goodness Of Fit</t>
  </si>
  <si>
    <t>ξ</t>
  </si>
  <si>
    <t>BCMC - Benefit Extension</t>
  </si>
  <si>
    <t>BCMC - Benefit Increase</t>
  </si>
  <si>
    <t>{9.0, 129.5}</t>
  </si>
  <si>
    <t>Heterogeneity in δ</t>
  </si>
  <si>
    <t>Heterogeneity in β, fixed ξ</t>
  </si>
  <si>
    <t>1</t>
  </si>
  <si>
    <t>4</t>
  </si>
  <si>
    <t>{0.450, 1.000}</t>
  </si>
  <si>
    <t>{4.5, 55.0}</t>
  </si>
  <si>
    <t>{3.4, 33.5}</t>
  </si>
  <si>
    <t>Consumption-Smoothing Gains and Moral Hazard Loss</t>
  </si>
  <si>
    <t>UI Benefits ↑ 2.0 or 1.9%</t>
  </si>
  <si>
    <t>{4.5, 50.0}</t>
  </si>
  <si>
    <t>Data: Schmieder and von Wachter (2017) Literature Review</t>
  </si>
  <si>
    <t>Data Source</t>
  </si>
  <si>
    <r>
      <t>JPMCI with SCF</t>
    </r>
    <r>
      <rPr>
        <vertAlign val="superscript"/>
        <sz val="11"/>
        <color theme="1"/>
        <rFont val="Latin Modern Roman 10 Regular"/>
      </rPr>
      <t>a</t>
    </r>
  </si>
  <si>
    <r>
      <t>Number of Periods</t>
    </r>
    <r>
      <rPr>
        <vertAlign val="superscript"/>
        <sz val="10"/>
        <color rgb="FF000000"/>
        <rFont val="Latin Modern Roman 10 Regular"/>
      </rPr>
      <t>d</t>
    </r>
  </si>
  <si>
    <r>
      <t>Cagetti (2003)</t>
    </r>
    <r>
      <rPr>
        <vertAlign val="superscript"/>
        <sz val="11"/>
        <color theme="1"/>
        <rFont val="Latin Modern Roman 10 Regular"/>
      </rPr>
      <t>b</t>
    </r>
  </si>
  <si>
    <r>
      <t>BLS (2014)</t>
    </r>
    <r>
      <rPr>
        <vertAlign val="superscript"/>
        <sz val="11"/>
        <color theme="1"/>
        <rFont val="Latin Modern Roman 10 Regular"/>
      </rPr>
      <t>c</t>
    </r>
  </si>
  <si>
    <t>Table 3: Model Estimates</t>
  </si>
  <si>
    <r>
      <t>Risk Aversion γ</t>
    </r>
    <r>
      <rPr>
        <vertAlign val="superscript"/>
        <sz val="10"/>
        <color rgb="FF000000"/>
        <rFont val="Latin Modern Roman 10 Regular"/>
      </rPr>
      <t>a</t>
    </r>
  </si>
  <si>
    <r>
      <t>Total (with Cash and Misc Nondurables)</t>
    </r>
    <r>
      <rPr>
        <vertAlign val="superscript"/>
        <sz val="10"/>
        <color rgb="FF000000"/>
        <rFont val="Latin Modern Roman 10 Regular"/>
      </rPr>
      <t>b</t>
    </r>
  </si>
  <si>
    <r>
      <t>Not in JPMCI</t>
    </r>
    <r>
      <rPr>
        <vertAlign val="superscript"/>
        <sz val="10"/>
        <rFont val="Latin Modern Roman 10 Regular"/>
      </rPr>
      <t>c</t>
    </r>
  </si>
  <si>
    <r>
      <t>Other Bank Account Outflows</t>
    </r>
    <r>
      <rPr>
        <vertAlign val="superscript"/>
        <sz val="10"/>
        <color rgb="FF000000"/>
        <rFont val="Latin Modern Roman 10 Regular"/>
      </rPr>
      <t>d</t>
    </r>
  </si>
  <si>
    <t>Other Heterogeneity</t>
  </si>
  <si>
    <t>{--, 1.000}</t>
  </si>
  <si>
    <t>{0.551, --}</t>
  </si>
  <si>
    <t>Consumption-Smoothing Gains and Moral Hazard Loss [Baily-Chetty]</t>
  </si>
  <si>
    <t>Consumption-Smoothing Gains Only [Baily-Chetty]</t>
  </si>
  <si>
    <t>Heterogeneity in β, fixed ξ = 1.0</t>
  </si>
  <si>
    <t>Heterogeneity in β, Consumption Gains Only</t>
  </si>
  <si>
    <r>
      <t>Risk Aversion γ</t>
    </r>
    <r>
      <rPr>
        <vertAlign val="superscript"/>
        <sz val="9"/>
        <color theme="1"/>
        <rFont val="Latin Modern Roman 10 Regular"/>
      </rPr>
      <t>a</t>
    </r>
  </si>
  <si>
    <r>
      <t xml:space="preserve">Borrowing Limit </t>
    </r>
    <r>
      <rPr>
        <u/>
        <sz val="9"/>
        <color rgb="FF000000"/>
        <rFont val="Latin Modern Roman 10 Regular"/>
      </rPr>
      <t>a</t>
    </r>
  </si>
  <si>
    <t>Table 21: Share of Spending Type by Payment Method in DCPC</t>
  </si>
  <si>
    <t>Table 20: Welfare Impact of Changes in UI Generosity in Structural Models</t>
  </si>
  <si>
    <t>Table 19: Welfare Impact of Changes in UI Generosity with Low and High Risk Aversion</t>
  </si>
  <si>
    <t>Table 18: Model Robustness</t>
  </si>
  <si>
    <t>Table 17: Model-Implied Search Responses to Changes in UI Generosity</t>
  </si>
  <si>
    <t>Table 1: Representativeness: JPMCI Data Compared to External Benchmarks</t>
  </si>
  <si>
    <t>Mean Age</t>
  </si>
  <si>
    <t>Ratio 
(1) / (2)</t>
  </si>
  <si>
    <t>Median Checking Account Balance</t>
  </si>
  <si>
    <r>
      <t>Mean Income (Pre-tax Direct Deposit + Paper Checks)</t>
    </r>
    <r>
      <rPr>
        <vertAlign val="superscript"/>
        <sz val="10"/>
        <color indexed="8"/>
        <rFont val="Latin Modern Roman 10 Regular"/>
      </rPr>
      <t>b</t>
    </r>
  </si>
  <si>
    <r>
      <t>Mean Spending</t>
    </r>
    <r>
      <rPr>
        <vertAlign val="superscript"/>
        <sz val="10"/>
        <color indexed="8"/>
        <rFont val="Latin Modern Roman 10 Regular"/>
      </rPr>
      <t>a</t>
    </r>
  </si>
  <si>
    <t>Table 2: Spending Change at UI Exhaustion</t>
  </si>
  <si>
    <t>Number of Types</t>
  </si>
  <si>
    <r>
      <rPr>
        <sz val="10"/>
        <color rgb="FF000000"/>
        <rFont val="Calibri"/>
        <family val="2"/>
      </rPr>
      <t>Δ</t>
    </r>
    <r>
      <rPr>
        <sz val="10"/>
        <color rgb="FF000000"/>
        <rFont val="Latin Modern Roman 10 Regular"/>
      </rPr>
      <t>Welfare - 
UI Benefit Increase</t>
    </r>
  </si>
  <si>
    <r>
      <rPr>
        <sz val="10"/>
        <color rgb="FF000000"/>
        <rFont val="Calibri"/>
        <family val="2"/>
      </rPr>
      <t>Δ</t>
    </r>
    <r>
      <rPr>
        <sz val="10"/>
        <color rgb="FF000000"/>
        <rFont val="Latin Modern Roman 10 Regular"/>
      </rPr>
      <t>Welfare - 
UI Duration Extension</t>
    </r>
  </si>
  <si>
    <t xml:space="preserve">Notes: We evaluate the welfare impact of budget-neutral tax-financed changes in the generosity of UI benefits as a percentage of lifetime income for CRRA utility with risk aversion of 2. We use a sufficient statistic formula which generalizes the Baily-Chetty formula to allow for finite duration of UI benefits. See Section 5 for details.
Rows 1 and 2 show the welfare gains in the absence of a fiscal externality from UI benefits. We compare a UI benefit increase of 1.77 percent of monthly employed income with a one-month extension of UI benefits. These changes have the same fiscal cost and require a tax increase of 0.14 percent of monthly employed income to fund.
Rows 3 and 4 show the welfare gains with taxes adjusted for the fiscal externality arising from moral hazard in response to changes in UI benefits. Fiscal externalities are the median estimates in the literature review in Schmieder and Von Wachter (2017). We compare a UI benefit increase of 2.03 percent with a one-month extension of UI benefits. These change have the same fiscal cost and require a tax increase of 0.21 percent to fund.
</t>
  </si>
  <si>
    <t>Mean ($)</t>
  </si>
  <si>
    <t>Median ($)</t>
  </si>
  <si>
    <t>Std Dev ($)</t>
  </si>
  <si>
    <t>Notes: n= 182,361. This table presents summary statistics three months prior to the onset of UI for households that meet the sampling criteria described in Section 2.1. 
a. This category is constructed as the residual of checking account transactions and includes electronic transfers which cannot be assigned to a category.</t>
  </si>
  <si>
    <t>Household operations</t>
  </si>
  <si>
    <t>Other entertainment supplies, equipment, and services</t>
  </si>
  <si>
    <t>Share in Poverty</t>
  </si>
  <si>
    <t>Pre-onset mean</t>
  </si>
  <si>
    <t>Drop</t>
  </si>
  <si>
    <r>
      <t>Nondurable (%</t>
    </r>
    <r>
      <rPr>
        <vertAlign val="superscript"/>
        <sz val="9"/>
        <color indexed="8"/>
        <rFont val="Latin Modern Roman 10 Regular"/>
      </rPr>
      <t>d</t>
    </r>
    <r>
      <rPr>
        <sz val="9"/>
        <color indexed="8"/>
        <rFont val="Latin Modern Roman 10 Regular"/>
      </rPr>
      <t>)</t>
    </r>
  </si>
  <si>
    <t>Nondurable ($)</t>
  </si>
  <si>
    <t>Strict Nondurable ($)</t>
  </si>
  <si>
    <r>
      <t>Direct Deposit Labor + UI</t>
    </r>
    <r>
      <rPr>
        <vertAlign val="superscript"/>
        <sz val="9"/>
        <color indexed="8"/>
        <rFont val="Latin Modern Roman 10 Regular"/>
      </rPr>
      <t>e</t>
    </r>
    <r>
      <rPr>
        <sz val="9"/>
        <color indexed="8"/>
        <rFont val="Latin Modern Roman 10 Regular"/>
      </rPr>
      <t xml:space="preserve"> ($)</t>
    </r>
  </si>
  <si>
    <t>Spending Drop at Onset</t>
  </si>
  <si>
    <t>Notes: This table quantifies how nondurable spending changes on outside credit cards and outside checking accounts affect the estimated drop in spending at the onset of unemployment. To approximate outside checking accounts, we examine unlinked checking accounts within Chase for customers that Chase infers are members of the same household. Onset is defined as the period from three months before the first UI check (t=-3) to one month before the first UI check (t=-1). See Section 3.1.3 for details. 
Column 1 estimates the share of UI recipients with each channel. Row B: The McKinsey Consumer Financial Life Survey reports that 28 percent of households had checking accounts at multiple banks. Row C: We estimate using the SCF that 64 percent of UI recipients with a bank account have an outside credit card.
Column 2 shows our estimate of spending within this payment channel among households that have this payment channel. Row A is households that receive UI and meet the sampling criteria described in Section 2.1. Row B is households in row A that have an unlinked checking account with Chase. Row C is households in row A that have a Chase credit card. In row C, we estimate spending on non-Chase credit cards as spending on Chase credit cards times the ratio of electronic payments on non-Chase credit cards to payments on Chase cards. 
Column 3 shows the change in spending. For outside checking accounts we use Appendix Figure 5 and for credit cards we use Appendix Table 7.
Column 4 multiplies the drop for families with the channel (column 3) by the percent of families with each channel (column 1). Column 5 recomputes the drop in spending relative to onset using the denominator in column 2. Column 6 multiplies the drop in column 5 by column 1.</t>
  </si>
  <si>
    <t>Notes: This table quantifies how nondurables spending changes on outside credit cards and outside checking accounts affect the estimated drop in spending at UI benefit exhaustion. To approximate outside checking accounts, we examine unlinked checking accounts within Chase for customers that Chase infers are members of the same household. Exhaustion is defined as the difference from one month before the last UI payment to one month after the last UI payment for benefit exhaustees. See Section 3.1.3 for details. 
Column 1 estimates the share of UI recipients with each channel. Row B: The McKinsey Consumer Financial Life Survey reports that 28 percent of households had checking accounts at multiple banks. Row C: We estimate using the SCF that 64 percent of UI recipients with a bank account have an outside credit card.
Column 2 shows our best estimate of spending within this payment channel among households that have this payment channel. Row A is households that exhaust UI and meet the sampling criteria described in Section 2.1. Row B is households in row A that have an unlinked checking account with Chase. Row C is households in row A that have a Chase credit card. In row C, we estimate spending on non-Chase credit cards as spending on Chase credit cards times the ratio of electronic payments on non-Chase credit cards to payments on Chase cards. 
Column 3 shows the change in spending. For outside checking accounts we use Appendix Figure 5 and for credit cards we use Appendix Table 7.
Column 4 multiplies the drop for families with the channel (column 3) by the percent of families with each channel (column 1). Column 5 recomputes the drop in spending relative to onset using the denominator in column 2. Column 6 multiplies the drop in column 5 by column 1.</t>
  </si>
  <si>
    <t>Spending Drop at Exhaustion</t>
  </si>
  <si>
    <r>
      <t>Notes: This table computes the spending drop for various time horizons and various spending concepts. In each column, we compute the percent change in spending from three months before UI onset to the given reference period, i.e. (Spend</t>
    </r>
    <r>
      <rPr>
        <vertAlign val="subscript"/>
        <sz val="10"/>
        <color indexed="8"/>
        <rFont val="Latin Modern Roman 10 Regular"/>
      </rPr>
      <t>reference</t>
    </r>
    <r>
      <rPr>
        <sz val="10"/>
        <color indexed="8"/>
        <rFont val="Latin Modern Roman 10 Regular"/>
      </rPr>
      <t xml:space="preserve"> - Spend</t>
    </r>
    <r>
      <rPr>
        <vertAlign val="subscript"/>
        <sz val="10"/>
        <color indexed="8"/>
        <rFont val="Latin Modern Roman 10 Regular"/>
      </rPr>
      <t>t=-3</t>
    </r>
    <r>
      <rPr>
        <sz val="10"/>
        <color indexed="8"/>
        <rFont val="Latin Modern Roman 10 Regular"/>
      </rPr>
      <t>) / Spend</t>
    </r>
    <r>
      <rPr>
        <vertAlign val="subscript"/>
        <sz val="10"/>
        <color indexed="8"/>
        <rFont val="Latin Modern Roman 10 Regular"/>
      </rPr>
      <t>t=-3</t>
    </r>
    <r>
      <rPr>
        <sz val="10"/>
        <color indexed="8"/>
        <rFont val="Latin Modern Roman 10 Regular"/>
      </rPr>
      <t>. Time subscripts are relative to the first month of UI receipt. The reference period for each column is specified in the column-specific notes below. Sample is households that receive UI and meet the sampling criteria described in Section 2.1.
a. Spend</t>
    </r>
    <r>
      <rPr>
        <vertAlign val="subscript"/>
        <sz val="10"/>
        <color indexed="8"/>
        <rFont val="Latin Modern Roman 10 Regular"/>
      </rPr>
      <t>reference</t>
    </r>
    <r>
      <rPr>
        <sz val="10"/>
        <color indexed="8"/>
        <rFont val="Latin Modern Roman 10 Regular"/>
      </rPr>
      <t xml:space="preserve"> = Spend</t>
    </r>
    <r>
      <rPr>
        <vertAlign val="subscript"/>
        <sz val="10"/>
        <color indexed="8"/>
        <rFont val="Latin Modern Roman 10 Regular"/>
      </rPr>
      <t>t=-1</t>
    </r>
    <r>
      <rPr>
        <sz val="10"/>
        <color indexed="8"/>
        <rFont val="Latin Modern Roman 10 Regular"/>
      </rPr>
      <t>. This column reports the average spending drop in the first month of unemployment relative to three months prior to UI receipt. 
b. Spend</t>
    </r>
    <r>
      <rPr>
        <vertAlign val="subscript"/>
        <sz val="10"/>
        <color indexed="8"/>
        <rFont val="Latin Modern Roman 10 Regular"/>
      </rPr>
      <t>reference</t>
    </r>
    <r>
      <rPr>
        <sz val="10"/>
        <color indexed="8"/>
        <rFont val="Latin Modern Roman 10 Regular"/>
      </rPr>
      <t xml:space="preserve"> = Mean(Spend</t>
    </r>
    <r>
      <rPr>
        <vertAlign val="subscript"/>
        <sz val="10"/>
        <color indexed="8"/>
        <rFont val="Latin Modern Roman 10 Regular"/>
      </rPr>
      <t xml:space="preserve">t=0, </t>
    </r>
    <r>
      <rPr>
        <sz val="10"/>
        <color indexed="8"/>
        <rFont val="Latin Modern Roman 10 Regular"/>
      </rPr>
      <t>Spend</t>
    </r>
    <r>
      <rPr>
        <vertAlign val="subscript"/>
        <sz val="10"/>
        <color indexed="8"/>
        <rFont val="Latin Modern Roman 10 Regular"/>
      </rPr>
      <t xml:space="preserve">t=-1,   </t>
    </r>
    <r>
      <rPr>
        <sz val="10"/>
        <color indexed="8"/>
        <rFont val="Latin Modern Roman 10 Regular"/>
      </rPr>
      <t>...Spend</t>
    </r>
    <r>
      <rPr>
        <vertAlign val="subscript"/>
        <sz val="10"/>
        <color indexed="8"/>
        <rFont val="Latin Modern Roman 10 Regular"/>
      </rPr>
      <t>t=T</t>
    </r>
    <r>
      <rPr>
        <sz val="10"/>
        <color indexed="8"/>
        <rFont val="Latin Modern Roman 10 Regular"/>
      </rPr>
      <t>). T is the last month of UI receipt for a given household in our sample. This column reports the average spending drop while households are receiving UI relative to three months prior to UI receipt.</t>
    </r>
    <r>
      <rPr>
        <vertAlign val="subscript"/>
        <sz val="10"/>
        <color indexed="8"/>
        <rFont val="Latin Modern Roman 10 Regular"/>
      </rPr>
      <t xml:space="preserve"> </t>
    </r>
    <r>
      <rPr>
        <sz val="10"/>
        <color indexed="8"/>
        <rFont val="Latin Modern Roman 10 Regular"/>
      </rPr>
      <t xml:space="preserve">
c. Spend</t>
    </r>
    <r>
      <rPr>
        <vertAlign val="subscript"/>
        <sz val="10"/>
        <color indexed="8"/>
        <rFont val="Latin Modern Roman 10 Regular"/>
      </rPr>
      <t>reference</t>
    </r>
    <r>
      <rPr>
        <sz val="10"/>
        <color indexed="8"/>
        <rFont val="Latin Modern Roman 10 Regular"/>
      </rPr>
      <t xml:space="preserve"> = Mean(Spend</t>
    </r>
    <r>
      <rPr>
        <vertAlign val="subscript"/>
        <sz val="10"/>
        <color indexed="8"/>
        <rFont val="Latin Modern Roman 10 Regular"/>
      </rPr>
      <t>t=-1</t>
    </r>
    <r>
      <rPr>
        <sz val="10"/>
        <color indexed="8"/>
        <rFont val="Latin Modern Roman 10 Regular"/>
      </rPr>
      <t>, Spend</t>
    </r>
    <r>
      <rPr>
        <vertAlign val="subscript"/>
        <sz val="10"/>
        <color indexed="8"/>
        <rFont val="Latin Modern Roman 10 Regular"/>
      </rPr>
      <t>t=0,</t>
    </r>
    <r>
      <rPr>
        <sz val="10"/>
        <color indexed="8"/>
        <rFont val="Latin Modern Roman 10 Regular"/>
      </rPr>
      <t xml:space="preserve"> ... Spend</t>
    </r>
    <r>
      <rPr>
        <vertAlign val="subscript"/>
        <sz val="10"/>
        <color indexed="8"/>
        <rFont val="Latin Modern Roman 10 Regular"/>
      </rPr>
      <t>t=10</t>
    </r>
    <r>
      <rPr>
        <sz val="10"/>
        <color indexed="8"/>
        <rFont val="Latin Modern Roman 10 Regular"/>
      </rPr>
      <t>). This column reports the average spending drop in the year after job loss relative to three months prior to UI receipt. 
d. Gruber (1997) estimates a drop in food spending of 6.8 percent. The reference period in the PSID for food spending is ambiguous. If the reference period is unemployment onset, the comparable estimate is 6.3 percent, while if the reference period is an annual time horizon after job loss, then the comparable estimate is 4.3 percent.</t>
    </r>
  </si>
  <si>
    <t>Cost of Extensions Relative to Increases 
(col 2) / (col 1) - 1</t>
  </si>
  <si>
    <t>Heterogeneity in β, ξ=1.0</t>
  </si>
  <si>
    <t>Estimate one β</t>
  </si>
  <si>
    <t>No heterogeneity in k</t>
  </si>
  <si>
    <t>Months Since First UI Check</t>
  </si>
  <si>
    <t>Job-Finding Rate</t>
  </si>
  <si>
    <t>Estimate</t>
  </si>
  <si>
    <t>Standard Error</t>
  </si>
  <si>
    <t>Nondurable Consumption</t>
  </si>
  <si>
    <t xml:space="preserve"> Table 16: Model Target Moments</t>
  </si>
  <si>
    <t>{0.6003, 0.9894}</t>
  </si>
  <si>
    <t>Notes: This table compares the representativenessness of UI recipients in the JPMCI data that meet the sampling criteria described in Section 2.1 to external benchmarks from the Consumer Expenditure (CE) Survey for 2015, Bureau of Economic Analysis' Table 2.4.5U for 2015 (PCE), the Survey of Income and Program Participation for 2004 (SIPP), and the Survey of Consumer Finances for 2013 (SCF). All income and spending varibles are monthly.  
a. Definition of nondurable and durable spending from Lusardi (1996). See Section 2.2 for details.
b. Labor income is adjusted for the fact that some earnings are paid by paper check rather than direct deposit (see notes to online Appendix Table 5 for details).</t>
  </si>
  <si>
    <t>Notes:  n=27,740 households who exhausted UI benefits and meet the sampling criteria described in Section 2.1. This table decomposes the drop in spending during unemployment into 27 categories. Column 1 is three months prior to the first UI payment, column 2 is the month before UI exhaustion and column 3 is the month after UI exhaustion. 
a. Spending categories of strict nondurable, other nondurable, and durable from Lusardi (1996). Cash withdrawals and miscellaneous nondurables are included in the headline nondurables series.
b. See online Appendix B for additional details.</t>
  </si>
  <si>
    <t>Consumption-Smoothing Gains and Fiscal Externality Loss</t>
  </si>
  <si>
    <t>Total (with Cash and Miscellaneous Nondurables)</t>
  </si>
  <si>
    <t>"Notes: This table compares monthly spending for a one percent sample of all JPMCI households (not just UI recipients) with at least five monthly bank account outflows to the Bureau of Economic Analysis' Personal Consumption Expenditures (PCE) from 2015. See online Appendix B.2.3 for details.
a. Cash and miscellaneous nondurables are classified as nondurable on the basis of payment method. See Section 2.2 for details.
b. Spending not in JPMCI includes pensions and Social Security, health insurance, auto purchases, and shelter.</t>
  </si>
  <si>
    <t xml:space="preserve">Notes: All income statistics are monthly, for the 12-month period prior to the onset of unemployment. All variables are in dollars, other than variables explicitly labeled "share."
The first three rows are from the Survey of Income and Program Participation panel (SIPP) and are inflated to 2015 $ using CPI-U. This survey covered years 2004-2007. "Unemployed" are people with a reported job separation followed by unemployment in the subsequent month. "Receive UI" are people who report positive UI income.
JPMCI data are for September 2013 through June 2016 for UI recipients that meet the sampling criteria described in Section 2.1. We define income as all inflows which are not explicitly categorized as transfers to external bank accounts and we rescale these inflows into pre-tax dollars. We assume an average tax rate (federal income and payroll) of 12 percent below $6,671, 13 percent below $11,048, 14 percent below $15,316, 15 percent below $19,484, 17 percent below $23,588, 18 percent below $29,592, 20 percent below $37,428, 23 percent below $50,798, 25 percent below $69,933, 28 percent below $117,368, 36 percent below $257,355, 47 percent below $510,789, 52 percent below $824,902 and 53 percent above. We calculate in the Survey of Consumer Finances that 15 percent of labor earnings are paid by paper check or pre-paid debit card. The JPMCI data only show labor income paid by direct deposit and so we adjust the JPMCI estimate upward by 15 percent.
</t>
  </si>
  <si>
    <t xml:space="preserve">Notes: This table shows the spending drop at exhaustion under alternative sampling assumptions and winsorization procedures. 
a. UI recipients that meet the sampling criteria described in Section 2.1. This includes restricting the sample to households with at least five bank account outflows each month.
b. UI recipients with a single contiguous spell as defined in Section 2.1. This sample includes UI recipients with five or fewer bank account outflows each month.
c. UI recipients with a single contiguous UI spell as defined in Section 2.1 and receive labor income by direct deposit in at least one of the six months prior to UI receipt. </t>
  </si>
  <si>
    <t>Table 8: Income, Spending, and Borrowing at Onset, During UI Receipt, and Benefit Exhaustion</t>
  </si>
  <si>
    <t>Spending Drop Compared to Three Months Before UI Onset</t>
  </si>
  <si>
    <t>Notes:  n=182,361 households. This table decomposes the drop in spending at the onset of unemployment into 27 categories. Column 1 is three months prior to the first UI payment and column 2 is one month prior to the first UI payment. Sample is households that receive UI and meet the sampling criteria described in Section 2.1.
a. Spending categories of strict nondurable, other nondurable, and durable from Lusardi (1996). Cash withdrawals and miscellaneous nondurables are included in the headline nondurables series.
b. See online Appendix B for additional details.</t>
  </si>
  <si>
    <t>Notes: This table shows the assumptions about the economic enviroment for the model in Section 4.
a. We estimate total liquid assets at onset by multiplying median checking account balances in JPMCI by the ratio of total liquid assets to checking account balances in the SCF. 
b. Following Cagetti (2003), we choose a monthly real interest rate of 0.25 percent, which translates to an annual interest rate of 3 percent. 
c. We choose an exogenous separation rate to UI of 2.5 percent in order to match the 11.5 percent of households with an unemployed member during 2014 (Bureau of Labor Statistics, 2014).
d. We consider a time horizon of 240 months, corresponding to a middle-aged worker with 20 years left in her career.</t>
  </si>
  <si>
    <t>Notes: Schmieder and von Wachter (2017) propose a metric ﻿which is the ratio of behavioral cost (BC)—the total cost to the government of increasing UI generosity, including the extra spending induced because UI recipients will respond by taking longer to find a job— to the mechanical cost (MC) of increasing generosity absent any change in behavior. They call this statistic the “BCMC” ratio. In this table we present the BCMC ratios from the Schmieder and von Wachter (2017) literature review and those implied by various models we consider for one-month benefit extensions and for increases in the benefit level of the same fiscal cost.</t>
  </si>
  <si>
    <t>Notes: We evaluate the welfare impact of budget-neutral tax-financed changes in the generosity of UI benefits as a percentage of lifetime income for CRRA utility for risk aversion parameter values of γ=0.999 and γ=4.0. See Section 5 for further details.
Column 1 considers a policy that raises monthly benefits by 1.77 percent and raises taxes during employment by 0.14 percent; this tax revenue is sufficient to finance the increase in benefits if there is no job search distortion from increased UI benefits. 
Column 2 considers a policy that extends potential UI benefit durations by one month and raises taxes during employment by 0.14 percent; this tax revenue is sufficient to finance the extension in benefits if there is no job search distortion from UI extensions. 
Column 3 considers a policy that raises monthly benefits by 2.00 percent (1.85 percent), and raises taxes during employment by 0.19 percent (0.17 percent) in the models with γ=0.999 (4.0) respectively; this tax revenue is sufficient to finance the increase in benefits when increased UI levels reduce job search.
Column 4 considers a policy that extends potential UI benefit durations by one month and raises taxes during employment by 0.19 (0.17 percent) in the models with γ=0.999 (4.0) respectively; this tax revenue is sufficient to finance the extension in benefits when extended UI durations reduce job search.</t>
  </si>
  <si>
    <t xml:space="preserve">Notes: We evaluate the welfare impact of budget-neutral tax-financed changes in the generosity of UI benefits as a percentage of lifetime income for CRRA utility with risk aversion of 2 using the Baily-Chetty approximation, and using a structural model with endogenous job search. Rows 1-4 repeat the results in Table 4 and present the Baily-Chetty results without and with moral hazard. Rows 5-7 present the simulation results from our estimated structural models in Appendix Table 18.
In rows 1, 2 and 5, a one-month benefit extension has the same fiscal cost as a 1.77 percent increase in benefits, and requires a tax increase of 0.14 percent to fund.
In rows 3 and 4, a one-month benefit extension has the same fiscal cost as a 2.03 percent increase in benefits, and requires a tax increase of 0.21 percent to fund.
In row 6, a one-month benefit extension has the same fiscal cost as a 1.75 percent increase in benefits, and requires a tax increase of 0.18 percent to fund.
In row 7, a one-month benefit extension has the same fiscal cost as a 1.78 percent increase in benefits, and requires a tax increase of 0.18 percent to fund.
</t>
  </si>
  <si>
    <t>Notes: Federal Reserve's 2012 Diary of Consumer Payment Choice (DCPC). We classify payment recipients in the DCPC using the Lusardi (1996) taxonomy. Note that nondurable and durable shares include some miscellaneous consumption and transactions where some detail is missing. Exact method of allocation is outlined in Appendix B.1.2.
a. This is the sum of nondurable and durable shares.
b. This includes taxes and inter-household transfers.</t>
  </si>
  <si>
    <t>Notes: n = 182,361. This table compares monthly spending by UI recipients that meet the sampling criteria described in Section 2.1 to the Consumer Expenditure (CE) Survey and the Bureau of Economic Analysis' Personal Consumption Expenditures (PCE) from 2015. See online Appendix B.2 for details.
a. Cash and miscellaneous nondurables are classified as nondurable on the basis of payment method. See Section 2.2 for details.
b. This nondurable spending estimate is the sum of the rows above. Because each spending category has been winsorized at the 95th percentile, this estimate is slightly smaller than the estimate when winsorization is applied after summing categories in Appendix Table 1.
c. JPMCI durables spending does not capture pensions and Social Security, health insurance, auto purchases, and shelter.
d. Other bank account outflows include transfers to external accounts (likely saving), debt payments, paper checks, and uncategorizable electronic transactions.</t>
  </si>
  <si>
    <t>Notes: This table compares monthly spending for a one percent sample of all JPMCI households (not just UI recipients) with at least five monthly bank account outflows to the Consumer Expenditure (CE) Survey from 2015. See online Appendix B.2.3 for details.
a. Cash and miscellaneous nondurables are classified as nondurable on the basis of payment method. See Section 2.2 for details.
b. JPMCI durables spending does not capture pensions and Social Security, health insurance, auto purchases, and shelter.</t>
  </si>
  <si>
    <t xml:space="preserve">Notes: This table examines heterogeneity in the spending response to the onset of unemployment by pre-onset characteristics. Onset is defined as the period from three months before the first UI check (t=-3) to one month before the first UI check (t=-1). Standard errors are in parentheses. Column 1 reports the drop in spending for the subsample of interest. Column 2 reports the ratio of the spending drop as a fraction of the income loss. Column 3 reports the p-value for the null hypothesis that the MPC in the baseline sample is the same as in the MPC subsample. Sample is households that receive UI and meeting the sampling criteria described in Section 2.1.
</t>
  </si>
  <si>
    <t xml:space="preserve">Notes: This table examines heterogeneity in the spending response to exhaustion by pre-onset characteristics. Exhaustion is defined using one month before the last UI check and one month after the last UI check among UI exhaustees. Standard errors are in parentheses. Column 1 reports the drop in spending for the subsample of interest. Column 2 reports the ratio of the spending drop as a fraction of the income loss. Column 3 reports the p-value for the null hypothesis that the MPC in the baseline sample is the same as in the MPC subsample. Sample is households that exhaust UI benefits and meet the sampling criteria described in Section 2.1.
</t>
  </si>
  <si>
    <t xml:space="preserve">Notes: This table reports the moments for the "stay-unemployed" used in equation (8) to fit the models in Section 4. The nondurable consumption moments are depicted in Figure 3 and the job search moments are depicted in Figure 7. For the weight matrix W in equation (8), we use the inverse of the variances implied by the standard errors above. </t>
  </si>
  <si>
    <r>
      <rPr>
        <sz val="9"/>
        <color theme="1"/>
        <rFont val="Latin Modern Roman 10 Regular"/>
      </rPr>
      <t>Notes: This table presents parameter estimates of models of consumption and job search during unemployment. The model is described in Section 4.1 and is fit using equation (8) to the data on spending and job search during an unemployment spell from Figures 3 and 7, respectively. Columns 1 and 2 allow for unobserved heterogeneity in job search costs. Columns 3 and 4 allow for unobserved heterogeneity in time preference parameters by allowing for differences in β and δ respectively. In column 1, β is fixed at 1, while in columns 2 and 3, β is estimated and is constrained to be between 0 and 1. Similarly in column 4, δ is estimated and is constrained to be between 0 and 1. Goodness of fit total may not be sum of components due to rounding. Standard errors of estimated parameters in parentheses. 
a. Calibrated from Carroll (1997)</t>
    </r>
    <r>
      <rPr>
        <sz val="10"/>
        <color theme="1"/>
        <rFont val="Latin Modern Roman 10 Regular"/>
      </rPr>
      <t xml:space="preserve">
</t>
    </r>
  </si>
  <si>
    <t>"Notes: This table presents parameter estimates of models of consumption and job search during unemployment. The model is described in Section 4.1 and is fit using equation (8) to the data on spending and job search during an unemployment spell from Figures 3 and 7, respectively. Standard errors of estimated parameters in parentheses. 
Column 1 examines a representative agent model with no heterogeneity in job search costs. 
Column 2 reproduces our preferred β-heterogeneity model from Table 3, column 3.
Column 3 re-estimates the β-heterogeneity model, restricting the β parameter to 1 for the high-β types.
Column 4 re-estimates the β-heterogeneity model, restricting the job search cost parameter ξ to 1
In columns 2, 3 and 4, β is constrained to be between 0 and 1. 
a. Calibrated from Carroll (1997).</t>
  </si>
  <si>
    <t>Table 9: Spending Drop at Onset By Pre-Onset Characteristics</t>
  </si>
  <si>
    <t>Table 10: Spending Drop at Exhaustion By Pre-Onset Characteristics</t>
  </si>
  <si>
    <t xml:space="preserve">Table 11: Robustness Checks to Alternative Payment Channels at Onset									</t>
  </si>
  <si>
    <t>Table 12: Robustness Checks to Alternative Payment Channels at Exhaustion</t>
  </si>
  <si>
    <t>Table 13: Spending Drop Using Alternative Time Horizons</t>
  </si>
  <si>
    <t>Notes: Standard errors are shown in parentheses underneath regression coefficients and are clustered by household. Sample is households that receive UI and meet the sampling criteria described in Section 2.1.
a. Each observation is a household. Onset is defined as difference from three months before the first UI payment to one month before the first UI payment. 
b. Each observation is a household-month. 
c. Each observation is a household. The sample is exhaustees eligible for 26 weeks of benefits. Exhaustion is defined as the difference from one month before the last UI payment to one month after the last UI payment for benefit exhaustees. This two-month time horizon differs from the one-month time horizon that is used in Section 3.1.2 and Figures 2 and 3. Using that one-month time horizon, we estimate a 12 percent drop in spending at exhaustion.
d. The dependent variable is the outcome variable as a percent of the pre-unemployment-onset mean.
e. This definition of income is lower than the mean for labor earnings in Table 1 because it excludes labor income paid by paper checks and it is post-tax rather than pre-tax.
f. The revolving balance variable captures a stock rather than a flow. For example, a $23 increase in credit card balance at onset corresponds to spending $11.50 extra on the card each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</si>
</sst>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
    <numFmt numFmtId="166" formatCode="0.000%"/>
    <numFmt numFmtId="167" formatCode="#,##0.0"/>
    <numFmt numFmtId="168" formatCode="#,##0.000"/>
    <numFmt numFmtId="169" formatCode="0.0"/>
    <numFmt numFmtId="170" formatCode="0.0000"/>
    <numFmt numFmtId="171" formatCode="#,##0.0000"/>
    <numFmt numFmtId="172" formatCode="&quot;$&quot;#,##0"/>
  </numFmts>
  <fonts count="69">
    <font>
      <sz val="10"/>
      <color indexed="8"/>
      <name val="Arial"/>
      <family val="2"/>
    </font>
    <font>
      <sz val="11"/>
      <color theme="1"/>
      <name val="Calibri"/>
      <family val="2"/>
      <scheme val="minor"/>
    </font>
    <font>
      <sz val="11"/>
      <color theme="1"/>
      <name val="Calibri"/>
      <family val="2"/>
      <scheme val="minor"/>
    </font>
    <font>
      <sz val="10"/>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indexed="9"/>
      <name val="Arial"/>
      <family val="2"/>
    </font>
    <font>
      <sz val="10"/>
      <color indexed="10"/>
      <name val="Arial"/>
      <family val="2"/>
    </font>
    <font>
      <i/>
      <sz val="10"/>
      <color rgb="FF7F7F7F"/>
      <name val="Arial"/>
      <family val="2"/>
    </font>
    <font>
      <b/>
      <sz val="10"/>
      <color indexed="8"/>
      <name val="Arial"/>
      <family val="2"/>
    </font>
    <font>
      <sz val="10"/>
      <color indexed="9"/>
      <name val="Arial"/>
      <family val="2"/>
    </font>
    <font>
      <sz val="8"/>
      <name val="Verdana"/>
      <family val="2"/>
    </font>
    <font>
      <sz val="8"/>
      <name val="Arial"/>
      <family val="2"/>
    </font>
    <font>
      <b/>
      <sz val="10"/>
      <color indexed="8"/>
      <name val="Latin Modern Roman 10 Regular"/>
    </font>
    <font>
      <sz val="10"/>
      <color indexed="8"/>
      <name val="Latin Modern Roman 10 Regular"/>
    </font>
    <font>
      <vertAlign val="superscript"/>
      <sz val="10"/>
      <color indexed="8"/>
      <name val="Latin Modern Roman 10 Regular"/>
    </font>
    <font>
      <u/>
      <sz val="10"/>
      <color indexed="8"/>
      <name val="Latin Modern Roman 10 Regular"/>
    </font>
    <font>
      <sz val="10"/>
      <color indexed="9"/>
      <name val="Latin Modern Roman 10 Regular"/>
    </font>
    <font>
      <sz val="8"/>
      <color indexed="8"/>
      <name val="Latin Modern Roman 10 Regular"/>
    </font>
    <font>
      <vertAlign val="subscript"/>
      <sz val="10"/>
      <color indexed="8"/>
      <name val="Latin Modern Roman 10 Regular"/>
    </font>
    <font>
      <sz val="10"/>
      <name val="Arial"/>
      <family val="2"/>
    </font>
    <font>
      <u/>
      <sz val="10"/>
      <color theme="10"/>
      <name val="Arial"/>
      <family val="2"/>
    </font>
    <font>
      <u/>
      <sz val="10"/>
      <color theme="11"/>
      <name val="Arial"/>
      <family val="2"/>
    </font>
    <font>
      <sz val="11"/>
      <color theme="1"/>
      <name val="Calibri"/>
      <family val="2"/>
      <scheme val="minor"/>
    </font>
    <font>
      <sz val="10"/>
      <color theme="1"/>
      <name val="Latin Modern Roman 10 Regular"/>
    </font>
    <font>
      <sz val="9"/>
      <color indexed="8"/>
      <name val="Latin Modern Roman 10 Regular"/>
    </font>
    <font>
      <b/>
      <sz val="9"/>
      <color indexed="8"/>
      <name val="Latin Modern Roman 10 Regular"/>
    </font>
    <font>
      <vertAlign val="superscript"/>
      <sz val="9"/>
      <color indexed="8"/>
      <name val="Latin Modern Roman 10 Regular"/>
    </font>
    <font>
      <u/>
      <sz val="9"/>
      <color indexed="8"/>
      <name val="Latin Modern Roman 10 Regular"/>
    </font>
    <font>
      <sz val="10"/>
      <color theme="0"/>
      <name val="Latin Modern Roman 10 Regular"/>
    </font>
    <font>
      <sz val="10"/>
      <color rgb="FF000000"/>
      <name val="Arial"/>
      <family val="2"/>
    </font>
    <font>
      <sz val="10"/>
      <name val="Latin Modern Roman 10 Regular"/>
    </font>
    <font>
      <vertAlign val="superscript"/>
      <sz val="10"/>
      <name val="Latin Modern Roman 10 Regular"/>
    </font>
    <font>
      <u/>
      <sz val="10"/>
      <name val="Latin Modern Roman 10 Regular"/>
    </font>
    <font>
      <u/>
      <sz val="8"/>
      <color indexed="8"/>
      <name val="Latin Modern Roman 10 Regular"/>
    </font>
    <font>
      <vertAlign val="superscript"/>
      <sz val="8"/>
      <color indexed="8"/>
      <name val="Latin Modern Roman 10 Regular"/>
    </font>
    <font>
      <sz val="8"/>
      <name val="Latin Modern Roman 10 Regular"/>
    </font>
    <font>
      <b/>
      <sz val="8"/>
      <color indexed="8"/>
      <name val="Latin Modern Roman 10 Regular"/>
    </font>
    <font>
      <sz val="10"/>
      <color theme="1"/>
      <name val="Arial"/>
      <family val="2"/>
    </font>
    <font>
      <b/>
      <sz val="10"/>
      <color rgb="FF000000"/>
      <name val="Latin Modern Roman 10 Regular"/>
    </font>
    <font>
      <i/>
      <sz val="10"/>
      <color rgb="FF000000"/>
      <name val="Latin Modern Roman 10 Regular"/>
    </font>
    <font>
      <sz val="10"/>
      <color rgb="FF000000"/>
      <name val="Latin Modern Roman 10 Regular"/>
    </font>
    <font>
      <sz val="9"/>
      <color rgb="FF000000"/>
      <name val="Latin Modern Roman 10 Regular"/>
    </font>
    <font>
      <i/>
      <sz val="9"/>
      <color rgb="FF000000"/>
      <name val="Latin Modern Roman 10 Regular"/>
    </font>
    <font>
      <sz val="9"/>
      <color theme="1"/>
      <name val="Latin Modern Roman 10 Regular"/>
    </font>
    <font>
      <b/>
      <sz val="9"/>
      <color rgb="FF000000"/>
      <name val="Latin Modern Roman 10 Regular"/>
    </font>
    <font>
      <vertAlign val="subscript"/>
      <sz val="10"/>
      <color rgb="FF000000"/>
      <name val="Latin Modern Roman 10 Regular"/>
    </font>
    <font>
      <u/>
      <sz val="10"/>
      <color rgb="FF000000"/>
      <name val="Latin Modern Roman 10 Regular"/>
    </font>
    <font>
      <b/>
      <sz val="10"/>
      <color theme="1"/>
      <name val="Latin Modern Roman 10 Regular"/>
    </font>
    <font>
      <vertAlign val="superscript"/>
      <sz val="10"/>
      <color rgb="FF000000"/>
      <name val="Latin Modern Roman 10 Regular"/>
    </font>
    <font>
      <sz val="9"/>
      <color theme="1"/>
      <name val="Calibri"/>
      <family val="2"/>
      <scheme val="minor"/>
    </font>
    <font>
      <sz val="10"/>
      <color rgb="FF000000"/>
      <name val="Calibri"/>
      <family val="2"/>
    </font>
    <font>
      <sz val="10"/>
      <color rgb="FF000000"/>
      <name val="Latin Modern Roman 10 Regular"/>
      <family val="2"/>
    </font>
    <font>
      <sz val="11"/>
      <color theme="1"/>
      <name val="Latin Modern Roman 10 Regular"/>
    </font>
    <font>
      <vertAlign val="superscript"/>
      <sz val="11"/>
      <color theme="1"/>
      <name val="Latin Modern Roman 10 Regular"/>
    </font>
    <font>
      <sz val="8"/>
      <color rgb="FF000000"/>
      <name val="Latin Modern Roman 10 Regular"/>
    </font>
    <font>
      <b/>
      <sz val="9"/>
      <color theme="1"/>
      <name val="Latin Modern Roman 10 Regular"/>
    </font>
    <font>
      <vertAlign val="superscript"/>
      <sz val="9"/>
      <color theme="1"/>
      <name val="Latin Modern Roman 10 Regular"/>
    </font>
    <font>
      <u/>
      <sz val="9"/>
      <color rgb="FF000000"/>
      <name val="Latin Modern Roman 10 Regula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double">
        <color auto="1"/>
      </bottom>
      <diagonal/>
    </border>
    <border>
      <left/>
      <right/>
      <top style="double">
        <color auto="1"/>
      </top>
      <bottom/>
      <diagonal/>
    </border>
    <border>
      <left/>
      <right/>
      <top style="double">
        <color auto="1"/>
      </top>
      <bottom style="thin">
        <color auto="1"/>
      </bottom>
      <diagonal/>
    </border>
  </borders>
  <cellStyleXfs count="7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9" fontId="3" fillId="0" borderId="0" applyFont="0" applyFill="0" applyBorder="0" applyAlignment="0" applyProtection="0"/>
    <xf numFmtId="0" fontId="39" fillId="0" borderId="0"/>
    <xf numFmtId="9" fontId="32" fillId="0" borderId="0" applyFont="0" applyFill="0" applyBorder="0" applyAlignment="0" applyProtection="0"/>
    <xf numFmtId="0" fontId="32" fillId="0" borderId="0"/>
    <xf numFmtId="0" fontId="32" fillId="0" borderId="0"/>
    <xf numFmtId="9" fontId="3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3" fillId="0" borderId="0" applyFont="0" applyFill="0" applyBorder="0" applyAlignment="0" applyProtection="0"/>
  </cellStyleXfs>
  <cellXfs count="339">
    <xf numFmtId="0" fontId="0" fillId="0" borderId="0" xfId="0"/>
    <xf numFmtId="0" fontId="23" fillId="0" borderId="11" xfId="0" applyFont="1" applyBorder="1"/>
    <xf numFmtId="0" fontId="23" fillId="0" borderId="0" xfId="0" applyFont="1"/>
    <xf numFmtId="0" fontId="23" fillId="0" borderId="0" xfId="0" applyFont="1" applyAlignment="1">
      <alignment horizontal="center"/>
    </xf>
    <xf numFmtId="0" fontId="23" fillId="0" borderId="0" xfId="0" applyFont="1" applyAlignment="1">
      <alignment horizontal="center" wrapText="1"/>
    </xf>
    <xf numFmtId="0" fontId="23" fillId="0" borderId="0" xfId="0" applyFont="1" applyAlignment="1">
      <alignment wrapText="1"/>
    </xf>
    <xf numFmtId="0" fontId="23" fillId="0" borderId="10" xfId="0" quotePrefix="1" applyFont="1" applyBorder="1" applyAlignment="1">
      <alignment horizontal="center" wrapText="1"/>
    </xf>
    <xf numFmtId="0" fontId="23" fillId="0" borderId="0" xfId="0" applyFont="1" applyBorder="1"/>
    <xf numFmtId="0" fontId="23" fillId="0" borderId="0" xfId="0" quotePrefix="1" applyFont="1" applyAlignment="1">
      <alignment horizontal="center"/>
    </xf>
    <xf numFmtId="9" fontId="23" fillId="0" borderId="0" xfId="0" applyNumberFormat="1" applyFont="1"/>
    <xf numFmtId="0" fontId="22" fillId="0" borderId="0" xfId="0" applyFont="1"/>
    <xf numFmtId="0" fontId="23" fillId="0" borderId="0" xfId="0" applyFont="1" applyAlignment="1">
      <alignment horizontal="right"/>
    </xf>
    <xf numFmtId="1" fontId="23" fillId="0" borderId="0" xfId="0" applyNumberFormat="1" applyFont="1" applyAlignment="1">
      <alignment horizontal="right"/>
    </xf>
    <xf numFmtId="0" fontId="26" fillId="0" borderId="0" xfId="0" applyFont="1"/>
    <xf numFmtId="0" fontId="22" fillId="0" borderId="0" xfId="0" applyFont="1" applyBorder="1"/>
    <xf numFmtId="0" fontId="23" fillId="0" borderId="10" xfId="0" quotePrefix="1" applyFont="1" applyBorder="1" applyAlignment="1">
      <alignment horizontal="center"/>
    </xf>
    <xf numFmtId="164" fontId="23" fillId="0" borderId="0" xfId="0" applyNumberFormat="1" applyFont="1"/>
    <xf numFmtId="0" fontId="23" fillId="0" borderId="0" xfId="0" applyFont="1" applyBorder="1" applyAlignment="1">
      <alignment horizontal="center" wrapText="1"/>
    </xf>
    <xf numFmtId="0" fontId="23" fillId="0" borderId="0" xfId="0" applyFont="1" applyBorder="1" applyAlignment="1">
      <alignment horizontal="center"/>
    </xf>
    <xf numFmtId="0" fontId="23" fillId="0" borderId="0" xfId="0" applyFont="1" applyBorder="1" applyAlignment="1">
      <alignment wrapText="1"/>
    </xf>
    <xf numFmtId="0" fontId="23" fillId="0" borderId="0" xfId="0" applyFont="1" applyAlignment="1"/>
    <xf numFmtId="0" fontId="25" fillId="0" borderId="0" xfId="0" applyFont="1"/>
    <xf numFmtId="2" fontId="23" fillId="0" borderId="11" xfId="0" applyNumberFormat="1" applyFont="1" applyBorder="1"/>
    <xf numFmtId="167" fontId="23" fillId="0" borderId="0" xfId="0" applyNumberFormat="1" applyFont="1"/>
    <xf numFmtId="3" fontId="23" fillId="0" borderId="0" xfId="0" applyNumberFormat="1" applyFont="1" applyAlignment="1">
      <alignment horizontal="right" wrapText="1"/>
    </xf>
    <xf numFmtId="3" fontId="23" fillId="0" borderId="0" xfId="0" applyNumberFormat="1" applyFont="1" applyAlignment="1">
      <alignment horizontal="center" wrapText="1"/>
    </xf>
    <xf numFmtId="3" fontId="23" fillId="0" borderId="0" xfId="0" applyNumberFormat="1" applyFont="1" applyAlignment="1">
      <alignment horizontal="center"/>
    </xf>
    <xf numFmtId="3" fontId="23" fillId="0" borderId="11" xfId="0" applyNumberFormat="1" applyFont="1" applyBorder="1"/>
    <xf numFmtId="0" fontId="23" fillId="0" borderId="0" xfId="0" applyFont="1" applyAlignment="1">
      <alignment wrapText="1"/>
    </xf>
    <xf numFmtId="0" fontId="23" fillId="0" borderId="0" xfId="0" applyFont="1" applyAlignment="1">
      <alignment wrapText="1"/>
    </xf>
    <xf numFmtId="0" fontId="23" fillId="0" borderId="10" xfId="0" applyFont="1" applyBorder="1"/>
    <xf numFmtId="167" fontId="23" fillId="0" borderId="11" xfId="0" applyNumberFormat="1" applyFont="1" applyBorder="1"/>
    <xf numFmtId="0" fontId="27" fillId="0" borderId="0" xfId="0" applyFont="1" applyBorder="1" applyAlignment="1">
      <alignment wrapText="1"/>
    </xf>
    <xf numFmtId="0" fontId="23" fillId="0" borderId="0" xfId="0" applyFont="1" applyBorder="1" applyAlignment="1">
      <alignment vertical="center"/>
    </xf>
    <xf numFmtId="0" fontId="27" fillId="0" borderId="0" xfId="0" applyFont="1" applyBorder="1" applyAlignment="1">
      <alignment vertical="center" wrapText="1"/>
    </xf>
    <xf numFmtId="3" fontId="23" fillId="0" borderId="0" xfId="0" applyNumberFormat="1" applyFont="1" applyBorder="1" applyAlignment="1">
      <alignment vertical="center"/>
    </xf>
    <xf numFmtId="0" fontId="23" fillId="0" borderId="11" xfId="0" applyFont="1" applyBorder="1" applyAlignment="1">
      <alignment vertical="center"/>
    </xf>
    <xf numFmtId="0" fontId="23" fillId="0" borderId="10" xfId="0" applyFont="1" applyBorder="1" applyAlignment="1">
      <alignment vertical="center"/>
    </xf>
    <xf numFmtId="0" fontId="27" fillId="0" borderId="10" xfId="0" applyFont="1" applyBorder="1" applyAlignment="1">
      <alignment vertical="center" wrapText="1"/>
    </xf>
    <xf numFmtId="0" fontId="23" fillId="0" borderId="0" xfId="0" applyFont="1" applyBorder="1" applyAlignment="1">
      <alignment horizontal="center"/>
    </xf>
    <xf numFmtId="0" fontId="23" fillId="0" borderId="0" xfId="0" applyFont="1" applyAlignment="1"/>
    <xf numFmtId="0" fontId="25" fillId="0" borderId="0" xfId="0" applyFont="1" applyAlignment="1"/>
    <xf numFmtId="0" fontId="29" fillId="0" borderId="0" xfId="0" applyFont="1" applyAlignment="1"/>
    <xf numFmtId="4" fontId="23" fillId="0" borderId="0" xfId="0" applyNumberFormat="1" applyFont="1" applyAlignment="1">
      <alignment horizontal="right" wrapText="1"/>
    </xf>
    <xf numFmtId="0" fontId="23" fillId="0" borderId="0" xfId="0" applyFont="1" applyAlignment="1"/>
    <xf numFmtId="0" fontId="23" fillId="0" borderId="0" xfId="0" applyFont="1" applyAlignment="1"/>
    <xf numFmtId="0" fontId="23" fillId="0" borderId="0" xfId="0" applyFont="1" applyAlignment="1">
      <alignment wrapText="1"/>
    </xf>
    <xf numFmtId="0" fontId="23" fillId="0" borderId="0" xfId="0" applyFont="1" applyAlignment="1"/>
    <xf numFmtId="0" fontId="23" fillId="0" borderId="0" xfId="0" applyFont="1" applyBorder="1" applyAlignment="1"/>
    <xf numFmtId="0" fontId="32" fillId="0" borderId="0" xfId="52"/>
    <xf numFmtId="0" fontId="34" fillId="0" borderId="0" xfId="0" applyFont="1" applyAlignment="1"/>
    <xf numFmtId="0" fontId="35" fillId="0" borderId="0" xfId="0" applyFont="1"/>
    <xf numFmtId="0" fontId="34" fillId="0" borderId="0" xfId="0" applyFont="1" applyBorder="1" applyAlignment="1">
      <alignment horizontal="center"/>
    </xf>
    <xf numFmtId="0" fontId="34" fillId="0" borderId="0" xfId="0" applyFont="1"/>
    <xf numFmtId="0" fontId="34" fillId="0" borderId="10" xfId="0" applyFont="1" applyBorder="1" applyAlignment="1">
      <alignment horizontal="center" wrapText="1"/>
    </xf>
    <xf numFmtId="0" fontId="34" fillId="0" borderId="0" xfId="0" applyFont="1" applyBorder="1" applyAlignment="1">
      <alignment horizontal="center" wrapText="1"/>
    </xf>
    <xf numFmtId="2" fontId="34" fillId="0" borderId="10" xfId="0" applyNumberFormat="1" applyFont="1" applyBorder="1" applyAlignment="1">
      <alignment horizontal="center" wrapText="1"/>
    </xf>
    <xf numFmtId="0" fontId="34" fillId="0" borderId="0" xfId="0" applyFont="1" applyAlignment="1">
      <alignment wrapText="1"/>
    </xf>
    <xf numFmtId="0" fontId="37" fillId="0" borderId="0" xfId="0" applyFont="1"/>
    <xf numFmtId="0" fontId="22" fillId="0" borderId="11" xfId="0" applyFont="1" applyBorder="1" applyAlignment="1"/>
    <xf numFmtId="0" fontId="23" fillId="0" borderId="0" xfId="0" applyFont="1" applyBorder="1" applyAlignment="1"/>
    <xf numFmtId="0" fontId="34" fillId="0" borderId="11" xfId="0" applyFont="1" applyBorder="1" applyAlignment="1">
      <alignment horizontal="center"/>
    </xf>
    <xf numFmtId="0" fontId="34" fillId="0" borderId="0" xfId="0" applyFont="1" applyAlignment="1">
      <alignment horizontal="center" wrapText="1"/>
    </xf>
    <xf numFmtId="165" fontId="34" fillId="0" borderId="0" xfId="0" applyNumberFormat="1" applyFont="1" applyAlignment="1">
      <alignment horizontal="center" wrapText="1"/>
    </xf>
    <xf numFmtId="0" fontId="34" fillId="0" borderId="10" xfId="0" quotePrefix="1" applyFont="1" applyBorder="1" applyAlignment="1">
      <alignment horizontal="center" wrapText="1"/>
    </xf>
    <xf numFmtId="0" fontId="34" fillId="0" borderId="0" xfId="0" quotePrefix="1" applyFont="1" applyBorder="1" applyAlignment="1">
      <alignment horizontal="center" wrapText="1"/>
    </xf>
    <xf numFmtId="0" fontId="34" fillId="0" borderId="0" xfId="0" quotePrefix="1" applyFont="1" applyAlignment="1">
      <alignment horizontal="center"/>
    </xf>
    <xf numFmtId="2" fontId="34" fillId="0" borderId="0" xfId="0" quotePrefix="1" applyNumberFormat="1" applyFont="1" applyBorder="1" applyAlignment="1">
      <alignment horizontal="center" wrapText="1"/>
    </xf>
    <xf numFmtId="0" fontId="34" fillId="0" borderId="0" xfId="0" applyFont="1" applyAlignment="1">
      <alignment horizontal="center"/>
    </xf>
    <xf numFmtId="0" fontId="34" fillId="0" borderId="0" xfId="0" applyFont="1" applyBorder="1"/>
    <xf numFmtId="0" fontId="34" fillId="0" borderId="11" xfId="0" applyFont="1" applyBorder="1"/>
    <xf numFmtId="0" fontId="34" fillId="0" borderId="11" xfId="0" quotePrefix="1" applyFont="1" applyBorder="1" applyAlignment="1">
      <alignment horizontal="center" wrapText="1"/>
    </xf>
    <xf numFmtId="2" fontId="34" fillId="0" borderId="11" xfId="0" quotePrefix="1" applyNumberFormat="1" applyFont="1" applyBorder="1" applyAlignment="1">
      <alignment horizontal="center" wrapText="1"/>
    </xf>
    <xf numFmtId="165" fontId="34" fillId="0" borderId="0" xfId="0" quotePrefix="1" applyNumberFormat="1" applyFont="1" applyBorder="1" applyAlignment="1">
      <alignment horizontal="center" wrapText="1"/>
    </xf>
    <xf numFmtId="0" fontId="38" fillId="0" borderId="0" xfId="0" applyFont="1"/>
    <xf numFmtId="0" fontId="23" fillId="0" borderId="0" xfId="0" applyFont="1" applyFill="1"/>
    <xf numFmtId="167" fontId="23" fillId="0" borderId="0" xfId="0" applyNumberFormat="1" applyFont="1" applyFill="1"/>
    <xf numFmtId="3" fontId="34" fillId="0" borderId="0" xfId="0" applyNumberFormat="1" applyFont="1" applyBorder="1" applyAlignment="1">
      <alignment horizontal="right"/>
    </xf>
    <xf numFmtId="165" fontId="34" fillId="0" borderId="0" xfId="0" applyNumberFormat="1" applyFont="1" applyAlignment="1">
      <alignment horizontal="right"/>
    </xf>
    <xf numFmtId="9" fontId="23" fillId="0" borderId="0" xfId="61" applyFont="1"/>
    <xf numFmtId="0" fontId="23" fillId="0" borderId="10" xfId="0" applyFont="1" applyFill="1" applyBorder="1" applyAlignment="1">
      <alignment horizontal="center" wrapText="1"/>
    </xf>
    <xf numFmtId="0" fontId="40" fillId="0" borderId="0" xfId="0" applyFont="1" applyAlignment="1"/>
    <xf numFmtId="0" fontId="42" fillId="0" borderId="0" xfId="0" applyFont="1" applyAlignment="1"/>
    <xf numFmtId="0" fontId="43" fillId="0" borderId="0" xfId="0" applyFont="1" applyAlignment="1"/>
    <xf numFmtId="0" fontId="27" fillId="0" borderId="0" xfId="0" applyFont="1"/>
    <xf numFmtId="3" fontId="27" fillId="0" borderId="0" xfId="0" applyNumberFormat="1" applyFont="1" applyAlignment="1">
      <alignment horizontal="right" wrapText="1"/>
    </xf>
    <xf numFmtId="3" fontId="27" fillId="0" borderId="0" xfId="0" applyNumberFormat="1" applyFont="1" applyAlignment="1">
      <alignment horizontal="center" wrapText="1"/>
    </xf>
    <xf numFmtId="4" fontId="27" fillId="0" borderId="0" xfId="0" applyNumberFormat="1" applyFont="1" applyAlignment="1">
      <alignment horizontal="right" wrapText="1"/>
    </xf>
    <xf numFmtId="0" fontId="27" fillId="0" borderId="0" xfId="0" applyFont="1" applyAlignment="1"/>
    <xf numFmtId="0" fontId="27" fillId="0" borderId="0" xfId="0" applyFont="1" applyAlignment="1">
      <alignment wrapText="1"/>
    </xf>
    <xf numFmtId="3" fontId="27" fillId="0" borderId="0" xfId="0" applyNumberFormat="1" applyFont="1"/>
    <xf numFmtId="0" fontId="43" fillId="0" borderId="0" xfId="0" applyFont="1"/>
    <xf numFmtId="3" fontId="27" fillId="0" borderId="0" xfId="0" applyNumberFormat="1" applyFont="1" applyAlignment="1">
      <alignment horizontal="center"/>
    </xf>
    <xf numFmtId="0" fontId="27" fillId="0" borderId="0" xfId="0" applyFont="1" applyBorder="1"/>
    <xf numFmtId="0" fontId="45" fillId="0" borderId="0" xfId="0" applyFont="1" applyAlignment="1"/>
    <xf numFmtId="0" fontId="21" fillId="0" borderId="0" xfId="0" applyFont="1" applyAlignment="1"/>
    <xf numFmtId="0" fontId="46" fillId="0" borderId="0" xfId="0" applyFont="1"/>
    <xf numFmtId="0" fontId="27" fillId="0" borderId="0" xfId="0" applyFont="1" applyBorder="1" applyAlignment="1">
      <alignment horizontal="center"/>
    </xf>
    <xf numFmtId="0" fontId="27" fillId="0" borderId="10" xfId="0" applyFont="1" applyBorder="1" applyAlignment="1">
      <alignment horizontal="center" wrapText="1"/>
    </xf>
    <xf numFmtId="0" fontId="27" fillId="0" borderId="0" xfId="0" applyFont="1" applyBorder="1" applyAlignment="1">
      <alignment horizontal="center" wrapText="1"/>
    </xf>
    <xf numFmtId="2" fontId="27" fillId="0" borderId="10" xfId="0" applyNumberFormat="1" applyFont="1" applyBorder="1" applyAlignment="1">
      <alignment horizontal="center" wrapText="1"/>
    </xf>
    <xf numFmtId="0" fontId="43" fillId="0" borderId="0" xfId="0" applyFont="1" applyAlignment="1">
      <alignment wrapText="1"/>
    </xf>
    <xf numFmtId="0" fontId="45" fillId="0" borderId="0" xfId="0" applyFont="1" applyAlignment="1">
      <alignment wrapText="1"/>
    </xf>
    <xf numFmtId="0" fontId="23" fillId="0" borderId="0" xfId="0" applyFont="1" applyBorder="1" applyAlignment="1">
      <alignment horizontal="center"/>
    </xf>
    <xf numFmtId="0" fontId="23" fillId="0" borderId="10" xfId="0" applyFont="1" applyBorder="1" applyAlignment="1">
      <alignment horizontal="center"/>
    </xf>
    <xf numFmtId="2" fontId="23" fillId="0" borderId="0" xfId="0" applyNumberFormat="1" applyFont="1" applyBorder="1" applyAlignment="1">
      <alignment horizontal="center" wrapText="1"/>
    </xf>
    <xf numFmtId="2" fontId="23" fillId="0" borderId="10" xfId="0" quotePrefix="1" applyNumberFormat="1" applyFont="1" applyBorder="1" applyAlignment="1">
      <alignment horizontal="center" wrapText="1"/>
    </xf>
    <xf numFmtId="164" fontId="23" fillId="0" borderId="0" xfId="0" applyNumberFormat="1" applyFont="1" applyBorder="1" applyAlignment="1">
      <alignment horizontal="center"/>
    </xf>
    <xf numFmtId="164" fontId="23" fillId="0" borderId="0" xfId="61" applyNumberFormat="1" applyFont="1" applyAlignment="1">
      <alignment horizontal="center"/>
    </xf>
    <xf numFmtId="0" fontId="50" fillId="0" borderId="0" xfId="52" applyFont="1" applyAlignment="1">
      <alignment horizontal="right" wrapText="1"/>
    </xf>
    <xf numFmtId="0" fontId="50" fillId="0" borderId="11" xfId="52" applyFont="1" applyBorder="1" applyAlignment="1">
      <alignment horizontal="right" wrapText="1"/>
    </xf>
    <xf numFmtId="0" fontId="27" fillId="0" borderId="11" xfId="0" applyFont="1" applyBorder="1" applyAlignment="1">
      <alignment vertical="center" wrapText="1"/>
    </xf>
    <xf numFmtId="0" fontId="50" fillId="0" borderId="13" xfId="52" applyFont="1" applyBorder="1" applyAlignment="1">
      <alignment horizontal="center" wrapText="1"/>
    </xf>
    <xf numFmtId="0" fontId="59" fillId="0" borderId="0" xfId="67" applyFont="1"/>
    <xf numFmtId="0" fontId="48" fillId="0" borderId="0" xfId="67" applyFont="1" applyBorder="1" applyAlignment="1">
      <alignment horizontal="center" wrapText="1"/>
    </xf>
    <xf numFmtId="0" fontId="33" fillId="0" borderId="0" xfId="67" applyFont="1" applyBorder="1" applyAlignment="1">
      <alignment horizontal="center" vertical="top" wrapText="1"/>
    </xf>
    <xf numFmtId="0" fontId="40" fillId="0" borderId="0" xfId="67" applyFont="1" applyBorder="1" applyAlignment="1">
      <alignment horizontal="center" vertical="top" wrapText="1"/>
    </xf>
    <xf numFmtId="0" fontId="33" fillId="0" borderId="0" xfId="67" applyFont="1" applyBorder="1" applyAlignment="1">
      <alignment wrapText="1"/>
    </xf>
    <xf numFmtId="0" fontId="33" fillId="0" borderId="0" xfId="67" applyFont="1" applyBorder="1"/>
    <xf numFmtId="49" fontId="33" fillId="0" borderId="10" xfId="67" applyNumberFormat="1" applyFont="1" applyBorder="1" applyAlignment="1">
      <alignment horizontal="center" wrapText="1"/>
    </xf>
    <xf numFmtId="0" fontId="59" fillId="0" borderId="0" xfId="67" applyFont="1" applyAlignment="1">
      <alignment horizontal="center" vertical="center"/>
    </xf>
    <xf numFmtId="2" fontId="33" fillId="0" borderId="0" xfId="67" applyNumberFormat="1" applyFont="1" applyBorder="1" applyAlignment="1">
      <alignment horizontal="center" vertical="center" wrapText="1"/>
    </xf>
    <xf numFmtId="169" fontId="50" fillId="0" borderId="0" xfId="67" applyNumberFormat="1" applyFont="1" applyBorder="1" applyAlignment="1">
      <alignment horizontal="center" wrapText="1"/>
    </xf>
    <xf numFmtId="0" fontId="33" fillId="0" borderId="11" xfId="67" applyFont="1" applyBorder="1" applyAlignment="1">
      <alignment wrapText="1"/>
    </xf>
    <xf numFmtId="0" fontId="50" fillId="0" borderId="11" xfId="67" applyNumberFormat="1" applyFont="1" applyBorder="1" applyAlignment="1">
      <alignment horizontal="left" wrapText="1"/>
    </xf>
    <xf numFmtId="0" fontId="2" fillId="0" borderId="0" xfId="68"/>
    <xf numFmtId="0" fontId="50" fillId="0" borderId="0" xfId="67" applyFont="1" applyBorder="1" applyAlignment="1">
      <alignment horizontal="center" wrapText="1"/>
    </xf>
    <xf numFmtId="170" fontId="33" fillId="0" borderId="0" xfId="67" applyNumberFormat="1" applyFont="1" applyBorder="1" applyAlignment="1">
      <alignment horizontal="center" wrapText="1"/>
    </xf>
    <xf numFmtId="0" fontId="33" fillId="0" borderId="0" xfId="67" applyFont="1" applyBorder="1" applyAlignment="1">
      <alignment horizontal="center" wrapText="1"/>
    </xf>
    <xf numFmtId="169" fontId="33" fillId="0" borderId="0" xfId="67" applyNumberFormat="1" applyFont="1" applyBorder="1" applyAlignment="1">
      <alignment horizontal="center" wrapText="1"/>
    </xf>
    <xf numFmtId="2" fontId="33" fillId="0" borderId="0" xfId="67" applyNumberFormat="1" applyFont="1" applyBorder="1" applyAlignment="1">
      <alignment horizontal="center" wrapText="1"/>
    </xf>
    <xf numFmtId="1" fontId="33" fillId="0" borderId="0" xfId="67" applyNumberFormat="1" applyFont="1" applyBorder="1" applyAlignment="1">
      <alignment horizontal="center"/>
    </xf>
    <xf numFmtId="0" fontId="47" fillId="0" borderId="0" xfId="68" applyFont="1"/>
    <xf numFmtId="0" fontId="52" fillId="0" borderId="0" xfId="68" applyFont="1" applyAlignment="1">
      <alignment vertical="center"/>
    </xf>
    <xf numFmtId="0" fontId="53" fillId="0" borderId="0" xfId="68" applyFont="1" applyAlignment="1">
      <alignment wrapText="1"/>
    </xf>
    <xf numFmtId="0" fontId="51" fillId="0" borderId="0" xfId="68" applyFont="1" applyAlignment="1">
      <alignment horizontal="center" wrapText="1"/>
    </xf>
    <xf numFmtId="49" fontId="53" fillId="0" borderId="10" xfId="68" applyNumberFormat="1" applyFont="1" applyBorder="1" applyAlignment="1">
      <alignment horizontal="center" wrapText="1"/>
    </xf>
    <xf numFmtId="0" fontId="51" fillId="0" borderId="10" xfId="68" applyFont="1" applyBorder="1" applyAlignment="1">
      <alignment horizontal="center" wrapText="1"/>
    </xf>
    <xf numFmtId="0" fontId="54" fillId="0" borderId="0" xfId="68" applyFont="1" applyAlignment="1">
      <alignment vertical="center"/>
    </xf>
    <xf numFmtId="166" fontId="53" fillId="0" borderId="0" xfId="68" applyNumberFormat="1" applyFont="1" applyAlignment="1">
      <alignment horizontal="center"/>
    </xf>
    <xf numFmtId="166" fontId="53" fillId="33" borderId="0" xfId="68" applyNumberFormat="1" applyFont="1" applyFill="1" applyAlignment="1">
      <alignment horizontal="center" wrapText="1"/>
    </xf>
    <xf numFmtId="166" fontId="51" fillId="0" borderId="0" xfId="68" applyNumberFormat="1" applyFont="1" applyAlignment="1">
      <alignment horizontal="center" wrapText="1"/>
    </xf>
    <xf numFmtId="2" fontId="51" fillId="33" borderId="0" xfId="68" applyNumberFormat="1" applyFont="1" applyFill="1" applyAlignment="1">
      <alignment horizontal="center" wrapText="1"/>
    </xf>
    <xf numFmtId="166" fontId="53" fillId="0" borderId="0" xfId="68" applyNumberFormat="1" applyFont="1" applyAlignment="1">
      <alignment horizontal="center" wrapText="1"/>
    </xf>
    <xf numFmtId="0" fontId="53" fillId="0" borderId="0" xfId="68" applyFont="1" applyAlignment="1">
      <alignment horizontal="center" wrapText="1"/>
    </xf>
    <xf numFmtId="0" fontId="53" fillId="0" borderId="11" xfId="68" applyFont="1" applyBorder="1" applyAlignment="1">
      <alignment wrapText="1"/>
    </xf>
    <xf numFmtId="166" fontId="53" fillId="0" borderId="11" xfId="68" applyNumberFormat="1" applyFont="1" applyBorder="1" applyAlignment="1">
      <alignment horizontal="center"/>
    </xf>
    <xf numFmtId="2" fontId="51" fillId="33" borderId="11" xfId="68" applyNumberFormat="1" applyFont="1" applyFill="1" applyBorder="1" applyAlignment="1">
      <alignment horizontal="center" wrapText="1"/>
    </xf>
    <xf numFmtId="0" fontId="1" fillId="0" borderId="0" xfId="70"/>
    <xf numFmtId="0" fontId="49" fillId="0" borderId="0" xfId="70" applyFont="1" applyAlignment="1">
      <alignment vertical="center"/>
    </xf>
    <xf numFmtId="0" fontId="33" fillId="0" borderId="0" xfId="70" applyFont="1" applyAlignment="1">
      <alignment wrapText="1"/>
    </xf>
    <xf numFmtId="0" fontId="61" fillId="0" borderId="0" xfId="70" applyFont="1" applyBorder="1" applyAlignment="1">
      <alignment horizontal="center" wrapText="1"/>
    </xf>
    <xf numFmtId="0" fontId="50" fillId="0" borderId="0" xfId="70" applyFont="1" applyBorder="1" applyAlignment="1">
      <alignment horizontal="center" wrapText="1"/>
    </xf>
    <xf numFmtId="49" fontId="50" fillId="0" borderId="10" xfId="70" applyNumberFormat="1" applyFont="1" applyBorder="1" applyAlignment="1">
      <alignment horizontal="center" wrapText="1"/>
    </xf>
    <xf numFmtId="0" fontId="50" fillId="0" borderId="10" xfId="70" applyFont="1" applyBorder="1" applyAlignment="1">
      <alignment horizontal="center" wrapText="1"/>
    </xf>
    <xf numFmtId="0" fontId="48" fillId="0" borderId="0" xfId="70" applyFont="1" applyAlignment="1">
      <alignment vertical="center"/>
    </xf>
    <xf numFmtId="166" fontId="33" fillId="0" borderId="0" xfId="70" applyNumberFormat="1" applyFont="1" applyAlignment="1">
      <alignment horizontal="center"/>
    </xf>
    <xf numFmtId="2" fontId="50" fillId="33" borderId="0" xfId="70" applyNumberFormat="1" applyFont="1" applyFill="1" applyAlignment="1">
      <alignment horizontal="center" wrapText="1"/>
    </xf>
    <xf numFmtId="166" fontId="50" fillId="0" borderId="0" xfId="70" applyNumberFormat="1" applyFont="1" applyAlignment="1">
      <alignment horizontal="center" wrapText="1"/>
    </xf>
    <xf numFmtId="0" fontId="33" fillId="0" borderId="11" xfId="70" applyFont="1" applyBorder="1" applyAlignment="1">
      <alignment wrapText="1"/>
    </xf>
    <xf numFmtId="166" fontId="33" fillId="0" borderId="11" xfId="70" applyNumberFormat="1" applyFont="1" applyBorder="1" applyAlignment="1">
      <alignment horizontal="center"/>
    </xf>
    <xf numFmtId="166" fontId="50" fillId="0" borderId="11" xfId="70" applyNumberFormat="1" applyFont="1" applyBorder="1" applyAlignment="1">
      <alignment horizontal="center" wrapText="1"/>
    </xf>
    <xf numFmtId="0" fontId="62" fillId="0" borderId="0" xfId="71" applyFont="1"/>
    <xf numFmtId="0" fontId="33" fillId="0" borderId="0" xfId="71" applyFont="1" applyAlignment="1">
      <alignment wrapText="1"/>
    </xf>
    <xf numFmtId="0" fontId="50" fillId="0" borderId="0" xfId="71" applyFont="1" applyAlignment="1">
      <alignment horizontal="center" wrapText="1"/>
    </xf>
    <xf numFmtId="0" fontId="50" fillId="0" borderId="10" xfId="71" quotePrefix="1" applyFont="1" applyBorder="1" applyAlignment="1">
      <alignment horizontal="center" wrapText="1"/>
    </xf>
    <xf numFmtId="0" fontId="48" fillId="33" borderId="0" xfId="71" applyFont="1" applyFill="1" applyAlignment="1">
      <alignment vertical="center"/>
    </xf>
    <xf numFmtId="0" fontId="33" fillId="0" borderId="0" xfId="71" applyFont="1" applyAlignment="1">
      <alignment horizontal="center" wrapText="1"/>
    </xf>
    <xf numFmtId="9" fontId="33" fillId="0" borderId="0" xfId="72" applyFont="1" applyAlignment="1">
      <alignment horizontal="center" wrapText="1"/>
    </xf>
    <xf numFmtId="0" fontId="57" fillId="0" borderId="0" xfId="71" applyFont="1" applyAlignment="1">
      <alignment vertical="center"/>
    </xf>
    <xf numFmtId="169" fontId="33" fillId="0" borderId="0" xfId="71" applyNumberFormat="1" applyFont="1" applyAlignment="1">
      <alignment horizontal="center" wrapText="1"/>
    </xf>
    <xf numFmtId="1" fontId="50" fillId="0" borderId="0" xfId="71" applyNumberFormat="1" applyFont="1" applyAlignment="1">
      <alignment horizontal="center" wrapText="1"/>
    </xf>
    <xf numFmtId="0" fontId="40" fillId="0" borderId="0" xfId="71" applyFont="1" applyAlignment="1">
      <alignment wrapText="1"/>
    </xf>
    <xf numFmtId="0" fontId="33" fillId="0" borderId="11" xfId="71" applyFont="1" applyBorder="1" applyAlignment="1">
      <alignment wrapText="1"/>
    </xf>
    <xf numFmtId="0" fontId="40" fillId="0" borderId="11" xfId="71" applyFont="1" applyBorder="1" applyAlignment="1">
      <alignment wrapText="1"/>
    </xf>
    <xf numFmtId="9" fontId="33" fillId="0" borderId="11" xfId="72" applyFont="1" applyBorder="1" applyAlignment="1">
      <alignment horizontal="center" wrapText="1"/>
    </xf>
    <xf numFmtId="169" fontId="33" fillId="0" borderId="11" xfId="71" applyNumberFormat="1" applyFont="1" applyBorder="1" applyAlignment="1">
      <alignment horizontal="center" wrapText="1"/>
    </xf>
    <xf numFmtId="1" fontId="50" fillId="0" borderId="11" xfId="71" applyNumberFormat="1" applyFont="1" applyBorder="1" applyAlignment="1">
      <alignment horizontal="center" wrapText="1"/>
    </xf>
    <xf numFmtId="166" fontId="33" fillId="33" borderId="0" xfId="70" applyNumberFormat="1" applyFont="1" applyFill="1" applyAlignment="1">
      <alignment horizontal="center" wrapText="1"/>
    </xf>
    <xf numFmtId="2" fontId="50" fillId="0" borderId="0" xfId="70" applyNumberFormat="1" applyFont="1" applyAlignment="1">
      <alignment horizontal="center" wrapText="1"/>
    </xf>
    <xf numFmtId="0" fontId="33" fillId="0" borderId="0" xfId="70" applyFont="1" applyBorder="1" applyAlignment="1">
      <alignment wrapText="1"/>
    </xf>
    <xf numFmtId="166" fontId="33" fillId="0" borderId="0" xfId="70" applyNumberFormat="1" applyFont="1" applyBorder="1" applyAlignment="1">
      <alignment horizontal="center"/>
    </xf>
    <xf numFmtId="166" fontId="33" fillId="33" borderId="0" xfId="70" applyNumberFormat="1" applyFont="1" applyFill="1" applyBorder="1" applyAlignment="1">
      <alignment horizontal="center" wrapText="1"/>
    </xf>
    <xf numFmtId="166" fontId="50" fillId="0" borderId="0" xfId="70" quotePrefix="1" applyNumberFormat="1" applyFont="1" applyBorder="1" applyAlignment="1">
      <alignment horizontal="center" wrapText="1"/>
    </xf>
    <xf numFmtId="166" fontId="33" fillId="0" borderId="0" xfId="70" applyNumberFormat="1" applyFont="1" applyAlignment="1">
      <alignment horizontal="center" wrapText="1"/>
    </xf>
    <xf numFmtId="0" fontId="40" fillId="0" borderId="0" xfId="70" applyFont="1" applyAlignment="1">
      <alignment horizontal="left" wrapText="1"/>
    </xf>
    <xf numFmtId="0" fontId="40" fillId="0" borderId="11" xfId="70" applyFont="1" applyBorder="1" applyAlignment="1">
      <alignment horizontal="left" wrapText="1"/>
    </xf>
    <xf numFmtId="166" fontId="33" fillId="0" borderId="11" xfId="70" applyNumberFormat="1" applyFont="1" applyBorder="1" applyAlignment="1">
      <alignment horizontal="center" wrapText="1"/>
    </xf>
    <xf numFmtId="2" fontId="50" fillId="0" borderId="11" xfId="70" quotePrefix="1" applyNumberFormat="1" applyFont="1" applyBorder="1" applyAlignment="1">
      <alignment horizontal="center" wrapText="1"/>
    </xf>
    <xf numFmtId="166" fontId="51" fillId="0" borderId="11" xfId="68" applyNumberFormat="1" applyFont="1" applyBorder="1" applyAlignment="1">
      <alignment horizontal="center" wrapText="1"/>
    </xf>
    <xf numFmtId="166" fontId="53" fillId="33" borderId="11" xfId="68" applyNumberFormat="1" applyFont="1" applyFill="1" applyBorder="1" applyAlignment="1">
      <alignment horizontal="center" wrapText="1"/>
    </xf>
    <xf numFmtId="0" fontId="34" fillId="0" borderId="11" xfId="0" applyFont="1" applyBorder="1" applyAlignment="1">
      <alignment horizontal="center"/>
    </xf>
    <xf numFmtId="0" fontId="23" fillId="0" borderId="0" xfId="0" applyFont="1" applyBorder="1" applyAlignment="1">
      <alignment horizontal="center"/>
    </xf>
    <xf numFmtId="0" fontId="34" fillId="0" borderId="0" xfId="0" applyFont="1" applyAlignment="1">
      <alignment wrapText="1"/>
    </xf>
    <xf numFmtId="0" fontId="1" fillId="0" borderId="0" xfId="52" applyFont="1"/>
    <xf numFmtId="0" fontId="62" fillId="0" borderId="0" xfId="52" applyFont="1" applyAlignment="1">
      <alignment horizontal="center"/>
    </xf>
    <xf numFmtId="2" fontId="23" fillId="0" borderId="0" xfId="0" applyNumberFormat="1" applyFont="1" applyAlignment="1">
      <alignment horizontal="center"/>
    </xf>
    <xf numFmtId="2" fontId="23" fillId="0" borderId="11" xfId="0" applyNumberFormat="1" applyFont="1" applyBorder="1" applyAlignment="1">
      <alignment horizontal="center"/>
    </xf>
    <xf numFmtId="0" fontId="1" fillId="0" borderId="0" xfId="68" applyFont="1"/>
    <xf numFmtId="2" fontId="50" fillId="0" borderId="0" xfId="70" quotePrefix="1" applyNumberFormat="1" applyFont="1" applyBorder="1" applyAlignment="1">
      <alignment horizontal="center" wrapText="1"/>
    </xf>
    <xf numFmtId="0" fontId="50" fillId="0" borderId="10" xfId="70" quotePrefix="1" applyFont="1" applyBorder="1" applyAlignment="1">
      <alignment horizontal="center" wrapText="1"/>
    </xf>
    <xf numFmtId="49" fontId="53" fillId="0" borderId="0" xfId="68" applyNumberFormat="1" applyFont="1" applyBorder="1" applyAlignment="1">
      <alignment horizontal="center" wrapText="1"/>
    </xf>
    <xf numFmtId="0" fontId="65" fillId="0" borderId="0" xfId="68" applyFont="1" applyAlignment="1">
      <alignment vertical="center"/>
    </xf>
    <xf numFmtId="0" fontId="51" fillId="0" borderId="0" xfId="67" applyFont="1" applyBorder="1" applyAlignment="1">
      <alignment horizontal="center" wrapText="1"/>
    </xf>
    <xf numFmtId="0" fontId="53" fillId="0" borderId="0" xfId="68" applyFont="1" applyBorder="1" applyAlignment="1">
      <alignment horizontal="center" wrapText="1"/>
    </xf>
    <xf numFmtId="170" fontId="53" fillId="0" borderId="0" xfId="67" applyNumberFormat="1" applyFont="1" applyBorder="1" applyAlignment="1">
      <alignment horizontal="center" wrapText="1"/>
    </xf>
    <xf numFmtId="0" fontId="53" fillId="0" borderId="0" xfId="67" applyFont="1" applyBorder="1" applyAlignment="1">
      <alignment horizontal="center" wrapText="1"/>
    </xf>
    <xf numFmtId="169" fontId="53" fillId="0" borderId="0" xfId="67" applyNumberFormat="1" applyFont="1" applyBorder="1" applyAlignment="1">
      <alignment horizontal="center" wrapText="1"/>
    </xf>
    <xf numFmtId="2" fontId="53" fillId="0" borderId="0" xfId="67" applyNumberFormat="1" applyFont="1" applyBorder="1" applyAlignment="1">
      <alignment horizontal="center" vertical="center" wrapText="1"/>
    </xf>
    <xf numFmtId="169" fontId="51" fillId="0" borderId="0" xfId="67" applyNumberFormat="1" applyFont="1" applyBorder="1" applyAlignment="1">
      <alignment horizontal="center" wrapText="1"/>
    </xf>
    <xf numFmtId="2" fontId="53" fillId="0" borderId="0" xfId="67" applyNumberFormat="1" applyFont="1" applyBorder="1" applyAlignment="1">
      <alignment horizontal="center" wrapText="1"/>
    </xf>
    <xf numFmtId="0" fontId="53" fillId="0" borderId="0" xfId="68" applyFont="1" applyBorder="1" applyAlignment="1">
      <alignment wrapText="1"/>
    </xf>
    <xf numFmtId="0" fontId="53" fillId="0" borderId="0" xfId="67" applyFont="1" applyBorder="1" applyAlignment="1">
      <alignment wrapText="1"/>
    </xf>
    <xf numFmtId="0" fontId="51" fillId="0" borderId="0" xfId="68" applyFont="1" applyBorder="1" applyAlignment="1">
      <alignment horizontal="center" wrapText="1"/>
    </xf>
    <xf numFmtId="170" fontId="51" fillId="0" borderId="0" xfId="68" applyNumberFormat="1" applyFont="1" applyBorder="1" applyAlignment="1">
      <alignment horizontal="center" wrapText="1"/>
    </xf>
    <xf numFmtId="0" fontId="51" fillId="0" borderId="0" xfId="68" applyFont="1" applyBorder="1" applyAlignment="1">
      <alignment wrapText="1"/>
    </xf>
    <xf numFmtId="169" fontId="53" fillId="0" borderId="0" xfId="68" applyNumberFormat="1" applyFont="1" applyBorder="1" applyAlignment="1">
      <alignment horizontal="center" wrapText="1"/>
    </xf>
    <xf numFmtId="0" fontId="51" fillId="0" borderId="0" xfId="67" applyNumberFormat="1" applyFont="1" applyBorder="1" applyAlignment="1">
      <alignment horizontal="left" vertical="center" wrapText="1"/>
    </xf>
    <xf numFmtId="2" fontId="53" fillId="0" borderId="0" xfId="68" applyNumberFormat="1" applyFont="1" applyBorder="1" applyAlignment="1">
      <alignment horizontal="center" wrapText="1"/>
    </xf>
    <xf numFmtId="169" fontId="53" fillId="0" borderId="0" xfId="67" applyNumberFormat="1" applyFont="1" applyBorder="1" applyAlignment="1">
      <alignment horizontal="center" vertical="center" wrapText="1"/>
    </xf>
    <xf numFmtId="169" fontId="51" fillId="0" borderId="0" xfId="68" applyNumberFormat="1" applyFont="1" applyBorder="1" applyAlignment="1">
      <alignment horizontal="center" wrapText="1"/>
    </xf>
    <xf numFmtId="0" fontId="51" fillId="0" borderId="0" xfId="67" applyNumberFormat="1" applyFont="1" applyBorder="1" applyAlignment="1">
      <alignment horizontal="left" wrapText="1"/>
    </xf>
    <xf numFmtId="0" fontId="50" fillId="0" borderId="0" xfId="67" applyFont="1" applyBorder="1" applyAlignment="1">
      <alignment horizontal="center" vertical="top" wrapText="1"/>
    </xf>
    <xf numFmtId="0" fontId="48" fillId="0" borderId="0" xfId="67" applyFont="1" applyBorder="1" applyAlignment="1">
      <alignment vertical="center"/>
    </xf>
    <xf numFmtId="0" fontId="33" fillId="0" borderId="0" xfId="67" applyFont="1" applyBorder="1" applyAlignment="1">
      <alignment horizontal="center" vertical="center" wrapText="1"/>
    </xf>
    <xf numFmtId="0" fontId="50" fillId="0" borderId="0" xfId="67" applyNumberFormat="1" applyFont="1" applyBorder="1" applyAlignment="1">
      <alignment horizontal="left" wrapText="1"/>
    </xf>
    <xf numFmtId="0" fontId="50" fillId="0" borderId="0" xfId="67" applyNumberFormat="1" applyFont="1" applyBorder="1" applyAlignment="1">
      <alignment horizontal="center" vertical="center" wrapText="1"/>
    </xf>
    <xf numFmtId="165" fontId="33" fillId="0" borderId="0" xfId="67" applyNumberFormat="1" applyFont="1" applyBorder="1" applyAlignment="1">
      <alignment horizontal="center" wrapText="1"/>
    </xf>
    <xf numFmtId="49" fontId="33" fillId="0" borderId="0" xfId="67" applyNumberFormat="1" applyFont="1" applyBorder="1" applyAlignment="1">
      <alignment horizontal="center" vertical="center" wrapText="1"/>
    </xf>
    <xf numFmtId="165" fontId="50" fillId="0" borderId="0" xfId="67" applyNumberFormat="1" applyFont="1" applyBorder="1" applyAlignment="1">
      <alignment horizontal="center" wrapText="1"/>
    </xf>
    <xf numFmtId="0" fontId="50" fillId="0" borderId="0" xfId="67" applyNumberFormat="1" applyFont="1" applyBorder="1" applyAlignment="1">
      <alignment horizontal="left" vertical="center" wrapText="1"/>
    </xf>
    <xf numFmtId="1" fontId="50" fillId="0" borderId="11" xfId="67" applyNumberFormat="1" applyFont="1" applyBorder="1" applyAlignment="1">
      <alignment horizontal="center" wrapText="1"/>
    </xf>
    <xf numFmtId="0" fontId="53" fillId="0" borderId="12" xfId="68" applyFont="1" applyBorder="1" applyAlignment="1">
      <alignment horizontal="center" wrapText="1"/>
    </xf>
    <xf numFmtId="172" fontId="23" fillId="0" borderId="0" xfId="0" applyNumberFormat="1" applyFont="1" applyAlignment="1">
      <alignment horizontal="center"/>
    </xf>
    <xf numFmtId="172" fontId="23" fillId="0" borderId="0" xfId="73" applyNumberFormat="1" applyFont="1" applyAlignment="1">
      <alignment horizontal="center"/>
    </xf>
    <xf numFmtId="0" fontId="50" fillId="0" borderId="0" xfId="52" applyFont="1" applyBorder="1" applyAlignment="1">
      <alignment horizontal="center" wrapText="1"/>
    </xf>
    <xf numFmtId="0" fontId="50" fillId="0" borderId="10" xfId="52" applyFont="1" applyBorder="1" applyAlignment="1">
      <alignment horizontal="center" wrapText="1"/>
    </xf>
    <xf numFmtId="0" fontId="50" fillId="0" borderId="12" xfId="52" applyFont="1" applyBorder="1" applyAlignment="1">
      <alignment horizontal="center" wrapText="1"/>
    </xf>
    <xf numFmtId="0" fontId="53" fillId="0" borderId="0" xfId="67" applyFont="1" applyAlignment="1">
      <alignment horizontal="center"/>
    </xf>
    <xf numFmtId="0" fontId="33" fillId="0" borderId="0" xfId="67" applyFont="1" applyBorder="1" applyAlignment="1">
      <alignment horizontal="center" vertical="center"/>
    </xf>
    <xf numFmtId="0" fontId="50" fillId="0" borderId="0" xfId="67" applyNumberFormat="1" applyFont="1" applyBorder="1" applyAlignment="1">
      <alignment horizontal="center" vertical="center"/>
    </xf>
    <xf numFmtId="0" fontId="33" fillId="0" borderId="0" xfId="67" applyFont="1" applyBorder="1" applyAlignment="1">
      <alignment horizontal="center"/>
    </xf>
    <xf numFmtId="0" fontId="50" fillId="0" borderId="0" xfId="68" applyFont="1" applyBorder="1" applyAlignment="1">
      <alignment horizontal="center" wrapText="1"/>
    </xf>
    <xf numFmtId="0" fontId="33" fillId="0" borderId="0" xfId="68" applyFont="1" applyBorder="1" applyAlignment="1">
      <alignment horizontal="center" wrapText="1"/>
    </xf>
    <xf numFmtId="0" fontId="33" fillId="0" borderId="0" xfId="67" applyFont="1" applyAlignment="1">
      <alignment horizontal="center"/>
    </xf>
    <xf numFmtId="169" fontId="33" fillId="0" borderId="0" xfId="68" applyNumberFormat="1" applyFont="1" applyBorder="1" applyAlignment="1">
      <alignment horizontal="center" wrapText="1"/>
    </xf>
    <xf numFmtId="2" fontId="33" fillId="0" borderId="0" xfId="68" applyNumberFormat="1" applyFont="1" applyBorder="1" applyAlignment="1">
      <alignment horizontal="center" wrapText="1"/>
    </xf>
    <xf numFmtId="0" fontId="68" fillId="0" borderId="0" xfId="67" applyFont="1"/>
    <xf numFmtId="169" fontId="50" fillId="0" borderId="0" xfId="68" applyNumberFormat="1" applyFont="1" applyBorder="1" applyAlignment="1">
      <alignment horizontal="center" wrapText="1"/>
    </xf>
    <xf numFmtId="1" fontId="50" fillId="0" borderId="0" xfId="68" applyNumberFormat="1" applyFont="1" applyBorder="1" applyAlignment="1">
      <alignment horizontal="center" wrapText="1"/>
    </xf>
    <xf numFmtId="1" fontId="50" fillId="0" borderId="11" xfId="68" applyNumberFormat="1" applyFont="1" applyBorder="1" applyAlignment="1">
      <alignment horizontal="center" wrapText="1"/>
    </xf>
    <xf numFmtId="0" fontId="23" fillId="0" borderId="11" xfId="0" applyFont="1" applyBorder="1" applyAlignment="1">
      <alignment horizontal="center"/>
    </xf>
    <xf numFmtId="0" fontId="23" fillId="0" borderId="0" xfId="0" applyFont="1" applyBorder="1" applyAlignment="1">
      <alignment horizontal="center"/>
    </xf>
    <xf numFmtId="0" fontId="34" fillId="0" borderId="0" xfId="0" applyFont="1" applyBorder="1" applyAlignment="1">
      <alignment horizontal="center"/>
    </xf>
    <xf numFmtId="0" fontId="23" fillId="0" borderId="0" xfId="0" applyFont="1" applyBorder="1" applyAlignment="1">
      <alignment horizontal="center" wrapText="1"/>
    </xf>
    <xf numFmtId="0" fontId="23" fillId="0" borderId="10" xfId="0" applyFont="1" applyBorder="1" applyAlignment="1">
      <alignment horizontal="center"/>
    </xf>
    <xf numFmtId="9" fontId="23" fillId="0" borderId="0" xfId="0" applyNumberFormat="1" applyFont="1" applyAlignment="1">
      <alignment horizontal="center"/>
    </xf>
    <xf numFmtId="167" fontId="23" fillId="0" borderId="0" xfId="0" applyNumberFormat="1" applyFont="1" applyAlignment="1">
      <alignment horizontal="center"/>
    </xf>
    <xf numFmtId="164" fontId="23" fillId="0" borderId="0" xfId="0" applyNumberFormat="1" applyFont="1" applyAlignment="1">
      <alignment horizontal="center"/>
    </xf>
    <xf numFmtId="167" fontId="23" fillId="0" borderId="0" xfId="0" applyNumberFormat="1" applyFont="1" applyBorder="1" applyAlignment="1">
      <alignment horizontal="center"/>
    </xf>
    <xf numFmtId="167" fontId="23" fillId="0" borderId="11" xfId="0" applyNumberFormat="1" applyFont="1" applyBorder="1" applyAlignment="1">
      <alignment horizontal="center"/>
    </xf>
    <xf numFmtId="164" fontId="23" fillId="0" borderId="11" xfId="0" applyNumberFormat="1" applyFont="1" applyBorder="1" applyAlignment="1">
      <alignment horizontal="center"/>
    </xf>
    <xf numFmtId="3" fontId="23" fillId="0" borderId="0" xfId="0" applyNumberFormat="1" applyFont="1" applyBorder="1" applyAlignment="1">
      <alignment horizontal="center"/>
    </xf>
    <xf numFmtId="4" fontId="23" fillId="0" borderId="0" xfId="0" applyNumberFormat="1" applyFont="1" applyBorder="1" applyAlignment="1">
      <alignment horizontal="center"/>
    </xf>
    <xf numFmtId="3" fontId="23" fillId="0" borderId="0" xfId="0" applyNumberFormat="1" applyFont="1" applyBorder="1" applyAlignment="1">
      <alignment horizontal="center" vertical="center"/>
    </xf>
    <xf numFmtId="4" fontId="23" fillId="0" borderId="0" xfId="0" applyNumberFormat="1" applyFont="1" applyBorder="1" applyAlignment="1">
      <alignment horizontal="center" vertical="center"/>
    </xf>
    <xf numFmtId="3" fontId="23" fillId="0" borderId="10" xfId="0" applyNumberFormat="1" applyFont="1" applyBorder="1" applyAlignment="1">
      <alignment horizontal="center" vertical="center"/>
    </xf>
    <xf numFmtId="4" fontId="23" fillId="0" borderId="10" xfId="0" applyNumberFormat="1" applyFont="1" applyBorder="1" applyAlignment="1">
      <alignment horizontal="center" vertical="center"/>
    </xf>
    <xf numFmtId="3" fontId="23" fillId="0" borderId="11" xfId="0" applyNumberFormat="1" applyFont="1" applyBorder="1" applyAlignment="1">
      <alignment horizontal="center" vertical="center"/>
    </xf>
    <xf numFmtId="4" fontId="23" fillId="0" borderId="11" xfId="0" applyNumberFormat="1" applyFont="1" applyBorder="1" applyAlignment="1">
      <alignment horizontal="center" vertical="center"/>
    </xf>
    <xf numFmtId="4" fontId="23" fillId="0" borderId="0" xfId="0" applyNumberFormat="1" applyFont="1" applyAlignment="1">
      <alignment horizontal="center" wrapText="1"/>
    </xf>
    <xf numFmtId="3" fontId="23" fillId="0" borderId="0" xfId="0" quotePrefix="1" applyNumberFormat="1" applyFont="1" applyAlignment="1">
      <alignment horizontal="center" wrapText="1"/>
    </xf>
    <xf numFmtId="4" fontId="27" fillId="0" borderId="0" xfId="0" applyNumberFormat="1" applyFont="1" applyAlignment="1">
      <alignment horizontal="center" wrapText="1"/>
    </xf>
    <xf numFmtId="3" fontId="27" fillId="0" borderId="0" xfId="0" quotePrefix="1" applyNumberFormat="1" applyFont="1" applyAlignment="1">
      <alignment horizontal="center" wrapText="1"/>
    </xf>
    <xf numFmtId="2" fontId="23" fillId="0" borderId="0" xfId="0" applyNumberFormat="1" applyFont="1" applyBorder="1" applyAlignment="1">
      <alignment horizontal="center"/>
    </xf>
    <xf numFmtId="0" fontId="0" fillId="0" borderId="0" xfId="0" applyAlignment="1">
      <alignment horizontal="center"/>
    </xf>
    <xf numFmtId="3" fontId="23" fillId="0" borderId="11" xfId="0" applyNumberFormat="1" applyFont="1" applyBorder="1" applyAlignment="1">
      <alignment horizontal="center"/>
    </xf>
    <xf numFmtId="0" fontId="0" fillId="0" borderId="11" xfId="0" applyBorder="1" applyAlignment="1">
      <alignment horizontal="center"/>
    </xf>
    <xf numFmtId="3" fontId="34" fillId="0" borderId="0" xfId="0" applyNumberFormat="1" applyFont="1" applyAlignment="1">
      <alignment horizontal="center"/>
    </xf>
    <xf numFmtId="168" fontId="34" fillId="0" borderId="0" xfId="0" applyNumberFormat="1" applyFont="1" applyAlignment="1">
      <alignment horizontal="center"/>
    </xf>
    <xf numFmtId="171" fontId="34" fillId="0" borderId="0" xfId="0" applyNumberFormat="1" applyFont="1" applyAlignment="1">
      <alignment horizontal="center"/>
    </xf>
    <xf numFmtId="165" fontId="34" fillId="0" borderId="0" xfId="0" applyNumberFormat="1" applyFont="1" applyAlignment="1">
      <alignment horizontal="center"/>
    </xf>
    <xf numFmtId="167" fontId="34" fillId="0" borderId="0" xfId="0" applyNumberFormat="1" applyFont="1" applyAlignment="1">
      <alignment horizontal="center"/>
    </xf>
    <xf numFmtId="170" fontId="34" fillId="0" borderId="0" xfId="0" applyNumberFormat="1" applyFont="1" applyAlignment="1">
      <alignment horizontal="center"/>
    </xf>
    <xf numFmtId="1" fontId="23" fillId="0" borderId="0" xfId="0" applyNumberFormat="1" applyFont="1" applyAlignment="1">
      <alignment horizontal="center"/>
    </xf>
    <xf numFmtId="1" fontId="23" fillId="0" borderId="0" xfId="0" applyNumberFormat="1" applyFont="1" applyBorder="1" applyAlignment="1">
      <alignment horizontal="center"/>
    </xf>
    <xf numFmtId="9" fontId="23" fillId="0" borderId="0" xfId="0" quotePrefix="1" applyNumberFormat="1" applyFont="1" applyAlignment="1">
      <alignment horizontal="center"/>
    </xf>
    <xf numFmtId="3" fontId="23" fillId="0" borderId="0" xfId="0" applyNumberFormat="1" applyFont="1" applyFill="1" applyAlignment="1">
      <alignment horizontal="center"/>
    </xf>
    <xf numFmtId="167" fontId="23" fillId="0" borderId="10" xfId="0" applyNumberFormat="1" applyFont="1" applyBorder="1" applyAlignment="1">
      <alignment horizontal="center"/>
    </xf>
    <xf numFmtId="164" fontId="23" fillId="0" borderId="10" xfId="0" applyNumberFormat="1" applyFont="1" applyBorder="1" applyAlignment="1">
      <alignment horizontal="center"/>
    </xf>
    <xf numFmtId="165" fontId="50" fillId="0" borderId="0" xfId="52" applyNumberFormat="1" applyFont="1" applyAlignment="1">
      <alignment horizontal="center" wrapText="1"/>
    </xf>
    <xf numFmtId="0" fontId="50" fillId="0" borderId="0" xfId="52" quotePrefix="1" applyFont="1" applyAlignment="1">
      <alignment horizontal="center" wrapText="1"/>
    </xf>
    <xf numFmtId="0" fontId="53" fillId="0" borderId="0" xfId="68" applyFont="1" applyAlignment="1">
      <alignment vertical="center" wrapText="1"/>
    </xf>
    <xf numFmtId="0" fontId="51" fillId="0" borderId="0" xfId="68" applyFont="1" applyBorder="1" applyAlignment="1">
      <alignment vertical="center" wrapText="1"/>
    </xf>
    <xf numFmtId="0" fontId="51" fillId="0" borderId="0" xfId="68" applyFont="1" applyBorder="1" applyAlignment="1">
      <alignment horizontal="center" vertical="center" wrapText="1"/>
    </xf>
    <xf numFmtId="0" fontId="53" fillId="0" borderId="0" xfId="67" applyFont="1" applyBorder="1" applyAlignment="1">
      <alignment horizontal="center" vertical="center" wrapText="1"/>
    </xf>
    <xf numFmtId="0" fontId="2" fillId="0" borderId="0" xfId="68" applyAlignment="1">
      <alignment vertical="center"/>
    </xf>
    <xf numFmtId="0" fontId="53" fillId="0" borderId="0" xfId="68" applyFont="1" applyBorder="1" applyAlignment="1">
      <alignment vertical="center" wrapText="1"/>
    </xf>
    <xf numFmtId="1" fontId="51" fillId="0" borderId="0" xfId="68" applyNumberFormat="1" applyFont="1" applyBorder="1" applyAlignment="1">
      <alignment horizontal="center" vertical="center" wrapText="1"/>
    </xf>
    <xf numFmtId="1" fontId="53" fillId="0" borderId="0" xfId="67" applyNumberFormat="1" applyFont="1" applyBorder="1" applyAlignment="1">
      <alignment horizontal="center" vertical="center"/>
    </xf>
    <xf numFmtId="0" fontId="53" fillId="0" borderId="11" xfId="68" applyFont="1" applyBorder="1" applyAlignment="1">
      <alignment vertical="center" wrapText="1"/>
    </xf>
    <xf numFmtId="1" fontId="51" fillId="0" borderId="11" xfId="68" applyNumberFormat="1" applyFont="1" applyBorder="1" applyAlignment="1">
      <alignment horizontal="center" vertical="center" wrapText="1"/>
    </xf>
    <xf numFmtId="9" fontId="23" fillId="0" borderId="0" xfId="61" applyFont="1" applyAlignment="1">
      <alignment horizontal="center"/>
    </xf>
    <xf numFmtId="9" fontId="23" fillId="0" borderId="11" xfId="61" applyFont="1" applyBorder="1" applyAlignment="1">
      <alignment horizontal="center"/>
    </xf>
    <xf numFmtId="0" fontId="23" fillId="0" borderId="12" xfId="0" applyFont="1" applyFill="1" applyBorder="1" applyAlignment="1">
      <alignment horizontal="left" vertical="top" wrapText="1"/>
    </xf>
    <xf numFmtId="0" fontId="23" fillId="0" borderId="12" xfId="0" applyFont="1" applyBorder="1" applyAlignment="1">
      <alignment horizontal="left" vertical="top" wrapText="1"/>
    </xf>
    <xf numFmtId="0" fontId="23" fillId="0" borderId="11" xfId="0" applyFont="1" applyBorder="1" applyAlignment="1">
      <alignment horizontal="center"/>
    </xf>
    <xf numFmtId="0" fontId="34" fillId="0" borderId="0" xfId="0" applyFont="1" applyBorder="1" applyAlignment="1">
      <alignment horizontal="left" vertical="top" wrapText="1"/>
    </xf>
    <xf numFmtId="0" fontId="50" fillId="0" borderId="11" xfId="67" applyFont="1" applyBorder="1" applyAlignment="1">
      <alignment horizontal="center" wrapText="1"/>
    </xf>
    <xf numFmtId="0" fontId="33" fillId="0" borderId="12" xfId="67" applyFont="1" applyBorder="1" applyAlignment="1">
      <alignment vertical="top" wrapText="1"/>
    </xf>
    <xf numFmtId="0" fontId="50" fillId="0" borderId="11" xfId="70" applyFont="1" applyBorder="1" applyAlignment="1">
      <alignment horizontal="center" wrapText="1"/>
    </xf>
    <xf numFmtId="0" fontId="51" fillId="0" borderId="0" xfId="70" applyFont="1" applyAlignment="1">
      <alignment vertical="top" wrapText="1"/>
    </xf>
    <xf numFmtId="0" fontId="23" fillId="0" borderId="0" xfId="0" applyFont="1" applyFill="1" applyBorder="1" applyAlignment="1">
      <alignment horizontal="left" vertical="top" wrapText="1"/>
    </xf>
    <xf numFmtId="0" fontId="23" fillId="0" borderId="0" xfId="0" applyFont="1" applyBorder="1" applyAlignment="1">
      <alignment horizontal="left" vertical="top" wrapText="1"/>
    </xf>
    <xf numFmtId="0" fontId="23" fillId="0" borderId="0" xfId="0" applyFont="1" applyBorder="1" applyAlignment="1">
      <alignment horizontal="center" vertical="center"/>
    </xf>
    <xf numFmtId="0" fontId="23" fillId="0" borderId="0" xfId="0" applyFont="1" applyBorder="1" applyAlignment="1">
      <alignment vertical="center"/>
    </xf>
    <xf numFmtId="0" fontId="27" fillId="0" borderId="12" xfId="0" applyFont="1" applyBorder="1" applyAlignment="1">
      <alignment horizontal="left" vertical="top" wrapText="1"/>
    </xf>
    <xf numFmtId="0" fontId="34" fillId="0" borderId="11" xfId="0" applyFont="1" applyBorder="1" applyAlignment="1">
      <alignment horizontal="center"/>
    </xf>
    <xf numFmtId="0" fontId="34" fillId="0" borderId="0" xfId="0" applyFont="1" applyBorder="1" applyAlignment="1">
      <alignment horizontal="center"/>
    </xf>
    <xf numFmtId="0" fontId="34" fillId="0" borderId="0" xfId="0" applyFont="1" applyBorder="1" applyAlignment="1"/>
    <xf numFmtId="0" fontId="27" fillId="0" borderId="0" xfId="0" applyFont="1" applyBorder="1" applyAlignment="1">
      <alignment horizontal="center"/>
    </xf>
    <xf numFmtId="0" fontId="27" fillId="0" borderId="0" xfId="0" applyFont="1" applyBorder="1" applyAlignment="1"/>
    <xf numFmtId="0" fontId="23" fillId="0" borderId="12" xfId="0" applyFont="1" applyBorder="1" applyAlignment="1">
      <alignment vertical="top" wrapText="1"/>
    </xf>
    <xf numFmtId="0" fontId="23" fillId="0" borderId="0" xfId="0" applyFont="1" applyBorder="1" applyAlignment="1">
      <alignment horizontal="center" wrapText="1"/>
    </xf>
    <xf numFmtId="0" fontId="34" fillId="0" borderId="0" xfId="0" applyFont="1" applyAlignment="1">
      <alignment wrapText="1"/>
    </xf>
    <xf numFmtId="0" fontId="34" fillId="0" borderId="0" xfId="0" applyFont="1" applyAlignment="1"/>
    <xf numFmtId="0" fontId="23" fillId="0" borderId="12" xfId="0" applyFont="1" applyBorder="1" applyAlignment="1">
      <alignment horizontal="center" wrapText="1"/>
    </xf>
    <xf numFmtId="0" fontId="23" fillId="0" borderId="10" xfId="0" applyFont="1" applyBorder="1" applyAlignment="1">
      <alignment horizontal="center"/>
    </xf>
    <xf numFmtId="0" fontId="23" fillId="0" borderId="13" xfId="0" applyFont="1" applyBorder="1" applyAlignment="1">
      <alignment horizontal="center" wrapText="1"/>
    </xf>
    <xf numFmtId="0" fontId="50" fillId="0" borderId="11" xfId="52" applyFont="1" applyBorder="1" applyAlignment="1">
      <alignment horizontal="center" wrapText="1"/>
    </xf>
    <xf numFmtId="0" fontId="33" fillId="0" borderId="12" xfId="52" applyFont="1" applyBorder="1" applyAlignment="1">
      <alignment horizontal="left" vertical="top" wrapText="1"/>
    </xf>
    <xf numFmtId="0" fontId="50" fillId="0" borderId="13" xfId="52" applyFont="1" applyBorder="1" applyAlignment="1">
      <alignment horizontal="center" wrapText="1"/>
    </xf>
    <xf numFmtId="0" fontId="50" fillId="0" borderId="11" xfId="71" applyFont="1" applyBorder="1" applyAlignment="1">
      <alignment horizontal="center" wrapText="1"/>
    </xf>
    <xf numFmtId="0" fontId="53" fillId="0" borderId="0" xfId="71" applyFont="1" applyBorder="1" applyAlignment="1">
      <alignment vertical="top" wrapText="1"/>
    </xf>
    <xf numFmtId="0" fontId="50" fillId="0" borderId="11" xfId="68" applyFont="1" applyBorder="1" applyAlignment="1">
      <alignment horizontal="center" wrapText="1"/>
    </xf>
    <xf numFmtId="0" fontId="64" fillId="0" borderId="12" xfId="68" applyFont="1" applyBorder="1" applyAlignment="1">
      <alignment horizontal="left" vertical="top" wrapText="1"/>
    </xf>
    <xf numFmtId="0" fontId="64" fillId="0" borderId="0" xfId="68" applyFont="1" applyBorder="1" applyAlignment="1">
      <alignment horizontal="left" vertical="top" wrapText="1"/>
    </xf>
    <xf numFmtId="0" fontId="51" fillId="0" borderId="10" xfId="68" applyFont="1" applyBorder="1" applyAlignment="1">
      <alignment horizontal="center" wrapText="1"/>
    </xf>
    <xf numFmtId="0" fontId="51" fillId="0" borderId="0" xfId="68" applyFont="1" applyAlignment="1">
      <alignment vertical="top" wrapText="1"/>
    </xf>
  </cellXfs>
  <cellStyles count="7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3" builtinId="3"/>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4" builtinId="9" hidden="1"/>
    <cellStyle name="Followed Hyperlink" xfId="56" builtinId="9" hidden="1"/>
    <cellStyle name="Followed Hyperlink" xfId="58" builtinId="9" hidden="1"/>
    <cellStyle name="Followed Hyperlink" xfId="60"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3" builtinId="8" hidden="1"/>
    <cellStyle name="Hyperlink" xfId="55" builtinId="8" hidden="1"/>
    <cellStyle name="Hyperlink" xfId="57" builtinId="8" hidden="1"/>
    <cellStyle name="Hyperlink" xfId="59" builtinId="8" hidden="1"/>
    <cellStyle name="Input" xfId="9" builtinId="20" customBuiltin="1"/>
    <cellStyle name="Linked Cell" xfId="12" builtinId="24" customBuiltin="1"/>
    <cellStyle name="Neutral" xfId="8" builtinId="28" customBuiltin="1"/>
    <cellStyle name="Normal" xfId="0" builtinId="0"/>
    <cellStyle name="Normal 2" xfId="52"/>
    <cellStyle name="Normal 2 2" xfId="65"/>
    <cellStyle name="Normal 2 2 2" xfId="68"/>
    <cellStyle name="Normal 2 2 2 2" xfId="70"/>
    <cellStyle name="Normal 2 3" xfId="64"/>
    <cellStyle name="Normal 2 3 2" xfId="67"/>
    <cellStyle name="Normal 2 3 2 2" xfId="71"/>
    <cellStyle name="Normal 3" xfId="62"/>
    <cellStyle name="Note" xfId="15" builtinId="10" customBuiltin="1"/>
    <cellStyle name="Output" xfId="10" builtinId="21" customBuiltin="1"/>
    <cellStyle name="Percent" xfId="61" builtinId="5"/>
    <cellStyle name="Percent 2" xfId="63"/>
    <cellStyle name="Percent 2 2" xfId="66"/>
    <cellStyle name="Percent 2 2 2" xfId="69"/>
    <cellStyle name="Percent 2 2 2 2" xfId="72"/>
    <cellStyle name="Title" xfId="1" builtinId="15" customBuiltin="1"/>
    <cellStyle name="Total" xfId="17" builtinId="25" customBuiltin="1"/>
    <cellStyle name="Warning Text" xfId="14" builtinId="11" customBuilti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0" Type="http://schemas.openxmlformats.org/officeDocument/2006/relationships/worksheet" Target="worksheets/sheet20.xml"/><Relationship Id="rId41" Type="http://schemas.openxmlformats.org/officeDocument/2006/relationships/externalLink" Target="externalLinks/externalLink1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terganong/repo/ui_sim/input/gn_ui2018-09-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eterganong/repo/ui_scf/out/at6_scf_liq_asset.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peterganong/Google%20Drive/gnlab/ui/disclosed/2018-09-26/gn_ui2018-0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peterganong/Google%20Drive/gnlab/ui/disclosed/2017-11-22/gn_ui2017-11-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peterganong/repo/ui_sim/input/gn_ui_targets2018-09-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Xian_Work/repo/ui_sim/out/rep_agents_log.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peterganong/repo/ui_scf/out/at20_dcpc_dur_shar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ian_Work/repo/ui_sim/out/het_agents_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ian_Work/repo/ui_sim/out/S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Xian_Work/repo/ui_sim/out/welfare_stats_lo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eterganong/Google%20Drive/gnlab/ui/tables/gn_ui2017-11-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eterganong/repo/ui_scf/out/at2_jpmc.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peterganong/repo/ui_scf/out/at3_cex.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peterganong/repo/ui_scf/out/at4_pce.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eterganong/repo/ui_scf/out/at5_sipp_inc.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_exhaust_color"/>
      <sheetName val="at1_sum_stat"/>
      <sheetName val="at5_rep_inc"/>
      <sheetName val="at6_rep_asset"/>
      <sheetName val="at7_sample_robust"/>
      <sheetName val="disclosure"/>
      <sheetName val="at11_prior_lit"/>
      <sheetName val="at12_covariate_onset"/>
      <sheetName val="at14_onset_col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6_scf_liq_ass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8_spend_path"/>
      <sheetName val="for_at9_at10_alt_pmt_chnl"/>
      <sheetName val="at12_covariate_onset"/>
      <sheetName val="at13_covariate_exhaust"/>
    </sheetNames>
    <sheetDataSet>
      <sheetData sheetId="0" refreshError="1"/>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5_asset_summary"/>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model_targets"/>
      <sheetName val="tbl_hazard_in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458.28790505761219</v>
          </cell>
          <cell r="D2">
            <v>204.99806784168709</v>
          </cell>
          <cell r="F2">
            <v>0.99073017136675445</v>
          </cell>
          <cell r="G2">
            <v>4.4278727399534299</v>
          </cell>
          <cell r="H2">
            <v>30.027672958535451</v>
          </cell>
          <cell r="I2">
            <v>1.581756465244609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_dcpc_dur_shar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349.57552415556808</v>
          </cell>
          <cell r="D2">
            <v>81.239441060889874</v>
          </cell>
          <cell r="F2">
            <v>0.67317985110218481</v>
          </cell>
          <cell r="H2">
            <v>0.98975612653351297</v>
          </cell>
          <cell r="I2">
            <v>4.4878484193559833</v>
          </cell>
          <cell r="K2">
            <v>1.4474344932200831</v>
          </cell>
        </row>
        <row r="4">
          <cell r="C4">
            <v>99.24702988560766</v>
          </cell>
          <cell r="D4">
            <v>86.285275634561373</v>
          </cell>
          <cell r="F4">
            <v>0.20005294511321689</v>
          </cell>
          <cell r="H4">
            <v>0.99511500002451181</v>
          </cell>
          <cell r="I4">
            <v>6.0604611643788742</v>
          </cell>
          <cell r="K4">
            <v>1.09639635088979</v>
          </cell>
        </row>
        <row r="5">
          <cell r="F5">
            <v>0.58768181287205201</v>
          </cell>
        </row>
        <row r="6">
          <cell r="F6">
            <v>5.3906833968865961E-2</v>
          </cell>
        </row>
        <row r="8">
          <cell r="C8">
            <v>117.1684512080184</v>
          </cell>
          <cell r="D8">
            <v>77.012407577914985</v>
          </cell>
          <cell r="F8">
            <v>0.1236886462906697</v>
          </cell>
          <cell r="H8">
            <v>0.98986605927525761</v>
          </cell>
          <cell r="I8">
            <v>7.2979863809629784</v>
          </cell>
        </row>
        <row r="9">
          <cell r="F9">
            <v>0.52600922819014606</v>
          </cell>
        </row>
        <row r="10">
          <cell r="F10">
            <v>6.6690068415009962E-2</v>
          </cell>
        </row>
        <row r="12">
          <cell r="C12">
            <v>139.0133747832331</v>
          </cell>
          <cell r="D12">
            <v>78.858343119264163</v>
          </cell>
          <cell r="F12">
            <v>0.1775676994482307</v>
          </cell>
          <cell r="H12">
            <v>0.994022183629235</v>
          </cell>
          <cell r="K12">
            <v>1.0698428293135169</v>
          </cell>
        </row>
        <row r="13">
          <cell r="F13">
            <v>0.52311513896037942</v>
          </cell>
          <cell r="I13">
            <v>5.9139139279667674</v>
          </cell>
        </row>
        <row r="14">
          <cell r="F14">
            <v>7.5853234695842528E-2</v>
          </cell>
        </row>
        <row r="16">
          <cell r="C16">
            <v>148.3563839010944</v>
          </cell>
          <cell r="D16">
            <v>97.377949866647228</v>
          </cell>
          <cell r="F16">
            <v>0.1007331088169125</v>
          </cell>
          <cell r="I16">
            <v>7.7938033392295001</v>
          </cell>
          <cell r="K16">
            <v>1.400484969461619</v>
          </cell>
        </row>
        <row r="17">
          <cell r="F17">
            <v>0.48960795875889312</v>
          </cell>
        </row>
        <row r="18">
          <cell r="F18">
            <v>6.9902332878793993E-2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0.2989340409161414</v>
          </cell>
          <cell r="C2">
            <v>0.17601591865573721</v>
          </cell>
          <cell r="D2">
            <v>0.61205091464527794</v>
          </cell>
          <cell r="E2">
            <v>0.32425254768677669</v>
          </cell>
          <cell r="F2">
            <v>0.42967070871291019</v>
          </cell>
          <cell r="G2">
            <v>0.26598039517669458</v>
          </cell>
        </row>
        <row r="3">
          <cell r="D3">
            <v>2.493620180427163E-2</v>
          </cell>
          <cell r="E3">
            <v>8.456285288450046E-3</v>
          </cell>
          <cell r="F3">
            <v>1.5429387628437831E-2</v>
          </cell>
        </row>
        <row r="4">
          <cell r="D4">
            <v>2.566470448888673E-2</v>
          </cell>
          <cell r="F4">
            <v>2.5227492168452149E-2</v>
          </cell>
        </row>
        <row r="5">
          <cell r="C5">
            <v>7.0666080538002588E-3</v>
          </cell>
        </row>
        <row r="6">
          <cell r="B6">
            <v>2.8463836295748133E-4</v>
          </cell>
          <cell r="C6">
            <v>2.72298000588197E-4</v>
          </cell>
          <cell r="D6">
            <v>9.2856209482262815E-5</v>
          </cell>
          <cell r="E6">
            <v>6.5676312335858904E-5</v>
          </cell>
          <cell r="F6">
            <v>5.3980118396965105E-4</v>
          </cell>
        </row>
        <row r="7">
          <cell r="G7">
            <v>1.576635458077931E-2</v>
          </cell>
        </row>
        <row r="8">
          <cell r="G8">
            <v>2.8165105110193318E-4</v>
          </cell>
        </row>
        <row r="9">
          <cell r="B9">
            <v>3.9805982055974121</v>
          </cell>
        </row>
        <row r="10">
          <cell r="C10">
            <v>1.8126946474226879</v>
          </cell>
          <cell r="D10">
            <v>0.96433764443581593</v>
          </cell>
          <cell r="E10">
            <v>0.94530715472516025</v>
          </cell>
          <cell r="F10">
            <v>0.27693266465791999</v>
          </cell>
          <cell r="G10">
            <v>0.77422092506965046</v>
          </cell>
        </row>
        <row r="11">
          <cell r="C11">
            <v>42.325032840956133</v>
          </cell>
          <cell r="D11">
            <v>20.314779820162698</v>
          </cell>
          <cell r="E11">
            <v>18.89843605857773</v>
          </cell>
          <cell r="F11">
            <v>4.3990210857753729</v>
          </cell>
          <cell r="G11">
            <v>12.89998962333622</v>
          </cell>
        </row>
        <row r="12">
          <cell r="B12">
            <v>9.2928584622583799E-2</v>
          </cell>
          <cell r="C12">
            <v>0.13006713917158541</v>
          </cell>
          <cell r="D12">
            <v>0.13246184543434669</v>
          </cell>
          <cell r="E12">
            <v>0.1242499020132339</v>
          </cell>
          <cell r="G12">
            <v>0.1318269803048889</v>
          </cell>
        </row>
        <row r="13">
          <cell r="D13">
            <v>6.0543188733694839E-3</v>
          </cell>
          <cell r="E13">
            <v>6.6470236644261584E-3</v>
          </cell>
          <cell r="F13">
            <v>9.2457430956867318E-3</v>
          </cell>
        </row>
        <row r="14">
          <cell r="G14">
            <v>5.5742139283644189E-3</v>
          </cell>
        </row>
        <row r="15">
          <cell r="C15">
            <v>3.8003245004957872E-2</v>
          </cell>
          <cell r="D15">
            <v>2.8632851706464679E-2</v>
          </cell>
          <cell r="E15">
            <v>3.4807725751533618E-2</v>
          </cell>
          <cell r="F15">
            <v>3.58761817233198E-2</v>
          </cell>
          <cell r="G15">
            <v>4.5224406245174868E-2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P2">
            <v>2.0827636007152268E-2</v>
          </cell>
          <cell r="R2">
            <v>1.9184354729625128E-2</v>
          </cell>
          <cell r="U2">
            <v>8.1996864352861201E-2</v>
          </cell>
        </row>
        <row r="3">
          <cell r="P3">
            <v>-2.2756006483349689E-2</v>
          </cell>
          <cell r="R3">
            <v>-2.4648269772623368E-2</v>
          </cell>
          <cell r="U3">
            <v>1.6039038797301512E-2</v>
          </cell>
        </row>
        <row r="5">
          <cell r="P5">
            <v>9.9514265531045563E-3</v>
          </cell>
          <cell r="R5">
            <v>9.2077155909517615E-3</v>
          </cell>
          <cell r="U5">
            <v>3.5731929356143367E-2</v>
          </cell>
        </row>
        <row r="7">
          <cell r="O7">
            <v>-5.0821401821671691E-3</v>
          </cell>
          <cell r="T7">
            <v>2.395877691425044E-2</v>
          </cell>
        </row>
        <row r="8">
          <cell r="P8">
            <v>4.5690009521823463E-2</v>
          </cell>
          <cell r="R8">
            <v>4.1681595516120787E-2</v>
          </cell>
          <cell r="U8">
            <v>0.21916329061312509</v>
          </cell>
        </row>
        <row r="10">
          <cell r="O10">
            <v>2.3035397187745891E-2</v>
          </cell>
          <cell r="T10">
            <v>8.0816682126154504E-2</v>
          </cell>
        </row>
        <row r="13">
          <cell r="B13">
            <v>1.209772953611294</v>
          </cell>
          <cell r="C13">
            <v>1.4466124642518361</v>
          </cell>
        </row>
        <row r="14">
          <cell r="O14">
            <v>2.412719907926604E-2</v>
          </cell>
          <cell r="T14">
            <v>5.9209282139411797E-2</v>
          </cell>
        </row>
        <row r="16">
          <cell r="B16">
            <v>1.30723931608947</v>
          </cell>
          <cell r="C16">
            <v>1.5713588104554359</v>
          </cell>
          <cell r="O16">
            <v>-3.3172055143150789E-2</v>
          </cell>
          <cell r="T16">
            <v>-3.055009823243883E-2</v>
          </cell>
        </row>
        <row r="19">
          <cell r="B19">
            <v>1.3249332679053361</v>
          </cell>
          <cell r="C19">
            <v>1.5115527734681029</v>
          </cell>
          <cell r="O19">
            <v>-2.2436519659597701E-2</v>
          </cell>
          <cell r="T19">
            <v>2.631388018036169E-3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1_sum_stat_ck"/>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_jpmc"/>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3_cex"/>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4_pc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5_sipp_in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workbookViewId="0">
      <selection activeCell="B25" sqref="B25"/>
    </sheetView>
  </sheetViews>
  <sheetFormatPr defaultColWidth="8.77734375" defaultRowHeight="13.2"/>
  <cols>
    <col min="1" max="1" width="4.44140625" style="2" customWidth="1"/>
    <col min="2" max="2" width="25.33203125" style="2" customWidth="1"/>
    <col min="3" max="3" width="8.77734375" style="2"/>
    <col min="4" max="4" width="11" style="2" customWidth="1"/>
    <col min="5" max="5" width="10.44140625" style="2" customWidth="1"/>
    <col min="6" max="6" width="13.44140625" style="2" customWidth="1"/>
    <col min="7" max="7" width="0" style="2" hidden="1" customWidth="1"/>
    <col min="8" max="8" width="10.44140625" style="2" customWidth="1"/>
    <col min="9" max="9" width="14.44140625" style="2" customWidth="1"/>
    <col min="10" max="16384" width="8.77734375" style="2"/>
  </cols>
  <sheetData>
    <row r="1" spans="1:9" ht="13.8" thickBot="1">
      <c r="A1" s="306" t="s">
        <v>360</v>
      </c>
      <c r="B1" s="306"/>
      <c r="C1" s="306"/>
      <c r="D1" s="306"/>
      <c r="E1" s="306"/>
      <c r="F1" s="306"/>
      <c r="G1" s="1"/>
    </row>
    <row r="2" spans="1:9" ht="13.8" thickTop="1">
      <c r="A2" s="39"/>
      <c r="B2" s="39"/>
      <c r="C2" s="39"/>
      <c r="D2" s="39"/>
      <c r="E2" s="39"/>
      <c r="F2" s="39"/>
      <c r="G2" s="7"/>
    </row>
    <row r="3" spans="1:9" ht="34.049999999999997" customHeight="1">
      <c r="A3" s="2" t="s">
        <v>34</v>
      </c>
      <c r="C3" s="3" t="s">
        <v>67</v>
      </c>
      <c r="D3" s="3" t="s">
        <v>68</v>
      </c>
      <c r="E3" s="4" t="s">
        <v>362</v>
      </c>
      <c r="F3" s="4" t="s">
        <v>69</v>
      </c>
      <c r="G3" s="5" t="s">
        <v>48</v>
      </c>
      <c r="H3" s="5"/>
      <c r="I3" s="5"/>
    </row>
    <row r="4" spans="1:9" ht="14.25" customHeight="1">
      <c r="C4" s="6" t="s">
        <v>0</v>
      </c>
      <c r="D4" s="6" t="s">
        <v>37</v>
      </c>
      <c r="E4" s="6" t="s">
        <v>13</v>
      </c>
      <c r="F4" s="6" t="s">
        <v>14</v>
      </c>
      <c r="G4" s="5"/>
      <c r="H4" s="5"/>
      <c r="I4" s="5"/>
    </row>
    <row r="5" spans="1:9" ht="15.6">
      <c r="A5" s="2" t="s">
        <v>365</v>
      </c>
      <c r="G5" s="2">
        <v>4266</v>
      </c>
    </row>
    <row r="6" spans="1:9">
      <c r="B6" s="2" t="s">
        <v>224</v>
      </c>
      <c r="C6" s="233">
        <f>at2_rep_jpmci!C18</f>
        <v>2317</v>
      </c>
      <c r="D6" s="233">
        <f>at2_rep_jpmci!E18</f>
        <v>1671</v>
      </c>
      <c r="E6" s="256">
        <f t="shared" ref="E6:E9" si="0">C6/D6</f>
        <v>1.3865948533812089</v>
      </c>
      <c r="F6" s="3" t="s">
        <v>254</v>
      </c>
    </row>
    <row r="7" spans="1:9">
      <c r="B7" s="2" t="s">
        <v>224</v>
      </c>
      <c r="C7" s="233">
        <f>at2_rep_jpmci!C18</f>
        <v>2317</v>
      </c>
      <c r="D7" s="233">
        <f>at2_rep_jpmci!G18</f>
        <v>3490</v>
      </c>
      <c r="E7" s="256">
        <f t="shared" si="0"/>
        <v>0.6638968481375358</v>
      </c>
      <c r="F7" s="3" t="s">
        <v>170</v>
      </c>
    </row>
    <row r="8" spans="1:9">
      <c r="B8" s="2" t="s">
        <v>225</v>
      </c>
      <c r="C8" s="233">
        <f>at2_rep_jpmci!C28</f>
        <v>395</v>
      </c>
      <c r="D8" s="233">
        <v>1280</v>
      </c>
      <c r="E8" s="256">
        <f t="shared" si="0"/>
        <v>0.30859375</v>
      </c>
      <c r="F8" s="3" t="s">
        <v>254</v>
      </c>
    </row>
    <row r="9" spans="1:9">
      <c r="B9" s="2" t="s">
        <v>225</v>
      </c>
      <c r="C9" s="233">
        <v>395</v>
      </c>
      <c r="D9" s="233">
        <v>1643</v>
      </c>
      <c r="E9" s="256">
        <f t="shared" si="0"/>
        <v>0.24041387705416919</v>
      </c>
      <c r="F9" s="3" t="s">
        <v>170</v>
      </c>
    </row>
    <row r="10" spans="1:9">
      <c r="C10" s="3"/>
      <c r="D10" s="3"/>
      <c r="E10" s="256"/>
      <c r="F10" s="3"/>
    </row>
    <row r="11" spans="1:9" ht="15.6">
      <c r="A11" s="2" t="s">
        <v>364</v>
      </c>
      <c r="C11" s="3"/>
      <c r="D11" s="3"/>
      <c r="E11" s="256"/>
      <c r="F11" s="3"/>
      <c r="G11" s="2">
        <v>4269</v>
      </c>
    </row>
    <row r="12" spans="1:9">
      <c r="B12" s="2" t="s">
        <v>75</v>
      </c>
      <c r="C12" s="233">
        <f>at5_rep_inc!G7</f>
        <v>5001.9217204494398</v>
      </c>
      <c r="D12" s="233">
        <f>at5_rep_inc!G6</f>
        <v>5750.1228323417399</v>
      </c>
      <c r="E12" s="256">
        <f>C12/D12</f>
        <v>0.86988084712138314</v>
      </c>
      <c r="F12" s="3" t="s">
        <v>71</v>
      </c>
      <c r="G12" s="2">
        <v>684</v>
      </c>
    </row>
    <row r="13" spans="1:9">
      <c r="B13" s="2" t="s">
        <v>74</v>
      </c>
      <c r="C13" s="233">
        <f>at5_rep_inc!E7</f>
        <v>6334.2585918982104</v>
      </c>
      <c r="D13" s="233">
        <f>at5_rep_inc!E6</f>
        <v>6290.3884968736402</v>
      </c>
      <c r="E13" s="256">
        <f>C13/D13</f>
        <v>1.0069741471526559</v>
      </c>
      <c r="F13" s="3" t="s">
        <v>71</v>
      </c>
      <c r="G13" s="2">
        <v>766</v>
      </c>
    </row>
    <row r="14" spans="1:9" ht="14.25" customHeight="1">
      <c r="C14" s="3"/>
      <c r="D14" s="3"/>
      <c r="E14" s="256"/>
      <c r="F14" s="3"/>
    </row>
    <row r="15" spans="1:9" ht="14.25" customHeight="1">
      <c r="A15" s="2" t="s">
        <v>361</v>
      </c>
      <c r="C15" s="3">
        <v>41.1</v>
      </c>
      <c r="D15" s="3">
        <v>44.3</v>
      </c>
      <c r="E15" s="256">
        <f>C15/D15</f>
        <v>0.9277652370203161</v>
      </c>
      <c r="F15" s="3" t="s">
        <v>71</v>
      </c>
    </row>
    <row r="16" spans="1:9" ht="14.25" customHeight="1">
      <c r="C16" s="3"/>
      <c r="D16" s="3"/>
      <c r="E16" s="256"/>
      <c r="F16" s="3"/>
    </row>
    <row r="17" spans="1:7" ht="14.25" customHeight="1">
      <c r="A17" s="2" t="s">
        <v>363</v>
      </c>
      <c r="C17" s="233">
        <f>at6_rep_asset!F5</f>
        <v>1250</v>
      </c>
      <c r="D17" s="233">
        <f>at6_rep_asset!F4</f>
        <v>1500</v>
      </c>
      <c r="E17" s="256">
        <f>C17/D17</f>
        <v>0.83333333333333337</v>
      </c>
      <c r="F17" s="3" t="s">
        <v>72</v>
      </c>
    </row>
    <row r="18" spans="1:7">
      <c r="C18" s="3"/>
      <c r="D18" s="3"/>
      <c r="E18" s="3"/>
      <c r="F18" s="3"/>
      <c r="G18" s="2">
        <v>297</v>
      </c>
    </row>
    <row r="19" spans="1:7">
      <c r="A19" s="2" t="s">
        <v>70</v>
      </c>
      <c r="C19" s="3">
        <v>20</v>
      </c>
      <c r="D19" s="3">
        <v>50</v>
      </c>
      <c r="E19" s="8" t="s">
        <v>73</v>
      </c>
      <c r="F19" s="8" t="s">
        <v>73</v>
      </c>
      <c r="G19" s="2">
        <v>430</v>
      </c>
    </row>
    <row r="20" spans="1:7" ht="13.8" thickBot="1">
      <c r="E20" s="8"/>
      <c r="F20" s="8"/>
    </row>
    <row r="21" spans="1:7" ht="179.25" customHeight="1" thickTop="1">
      <c r="A21" s="304" t="s">
        <v>400</v>
      </c>
      <c r="B21" s="305"/>
      <c r="C21" s="305"/>
      <c r="D21" s="305"/>
      <c r="E21" s="305"/>
      <c r="F21" s="305"/>
    </row>
  </sheetData>
  <mergeCells count="2">
    <mergeCell ref="A21:F21"/>
    <mergeCell ref="A1:F1"/>
  </mergeCells>
  <phoneticPr fontId="2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view="pageBreakPreview" zoomScale="145" zoomScaleNormal="100" zoomScaleSheetLayoutView="145" workbookViewId="0">
      <selection activeCell="C2" sqref="C1:E1048576"/>
    </sheetView>
  </sheetViews>
  <sheetFormatPr defaultColWidth="8.77734375" defaultRowHeight="13.2"/>
  <cols>
    <col min="1" max="1" width="0.44140625" style="2" customWidth="1"/>
    <col min="2" max="2" width="7.44140625" style="2" customWidth="1"/>
    <col min="3" max="3" width="21" style="2" customWidth="1"/>
    <col min="4" max="4" width="15.88671875" style="2" customWidth="1"/>
    <col min="5" max="7" width="6.44140625" style="2" customWidth="1"/>
    <col min="8" max="8" width="13.109375" style="2" customWidth="1"/>
    <col min="9" max="16384" width="8.77734375" style="2"/>
  </cols>
  <sheetData>
    <row r="1" spans="1:13" ht="13.8" thickBot="1">
      <c r="A1" s="306" t="s">
        <v>276</v>
      </c>
      <c r="B1" s="306"/>
      <c r="C1" s="306"/>
      <c r="D1" s="306"/>
      <c r="E1" s="306"/>
      <c r="F1" s="306"/>
      <c r="G1" s="306"/>
      <c r="H1" s="306"/>
    </row>
    <row r="2" spans="1:13" ht="13.8" thickTop="1">
      <c r="B2" s="2" t="s">
        <v>120</v>
      </c>
      <c r="C2" s="2" t="s">
        <v>8</v>
      </c>
      <c r="D2" s="2" t="s">
        <v>11</v>
      </c>
      <c r="E2" s="255" t="s">
        <v>31</v>
      </c>
      <c r="F2" s="255" t="s">
        <v>29</v>
      </c>
      <c r="G2" s="255" t="s">
        <v>30</v>
      </c>
      <c r="H2" s="255" t="s">
        <v>32</v>
      </c>
    </row>
    <row r="3" spans="1:13">
      <c r="B3" s="2" t="s">
        <v>1</v>
      </c>
      <c r="C3" s="2" t="s">
        <v>27</v>
      </c>
      <c r="D3" s="2" t="s">
        <v>2</v>
      </c>
      <c r="E3" s="3">
        <f>[10]at6_scf_liq_asset!B2</f>
        <v>270</v>
      </c>
      <c r="F3" s="26">
        <f>[10]at6_scf_liq_asset!C2</f>
        <v>4900</v>
      </c>
      <c r="G3" s="26">
        <f>[10]at6_scf_liq_asset!D2</f>
        <v>54000</v>
      </c>
      <c r="H3" s="26">
        <f>[10]at6_scf_liq_asset!E2</f>
        <v>29952.207906805201</v>
      </c>
    </row>
    <row r="4" spans="1:13">
      <c r="B4" s="2" t="s">
        <v>1</v>
      </c>
      <c r="C4" s="2" t="s">
        <v>27</v>
      </c>
      <c r="D4" s="2" t="s">
        <v>197</v>
      </c>
      <c r="E4" s="3">
        <f>[10]at6_scf_liq_asset!B3</f>
        <v>150</v>
      </c>
      <c r="F4" s="26">
        <f>[10]at6_scf_liq_asset!C3</f>
        <v>1500</v>
      </c>
      <c r="G4" s="26">
        <f>[10]at6_scf_liq_asset!D3</f>
        <v>10000</v>
      </c>
      <c r="H4" s="26">
        <f>[10]at6_scf_liq_asset!E3</f>
        <v>4920.4869881989498</v>
      </c>
    </row>
    <row r="5" spans="1:13" ht="13.8" thickBot="1">
      <c r="B5" s="2" t="s">
        <v>4</v>
      </c>
      <c r="C5" s="2" t="s">
        <v>54</v>
      </c>
      <c r="D5" s="2" t="s">
        <v>9</v>
      </c>
      <c r="E5" s="26">
        <f>[1]at6_rep_asset!C2</f>
        <v>50</v>
      </c>
      <c r="F5" s="26">
        <f>[1]at6_rep_asset!D2</f>
        <v>1250</v>
      </c>
      <c r="G5" s="26">
        <f>[1]at6_rep_asset!E2</f>
        <v>9450</v>
      </c>
      <c r="H5" s="26">
        <f>[1]at6_rep_asset!$B$2</f>
        <v>4738</v>
      </c>
    </row>
    <row r="6" spans="1:13" ht="132" customHeight="1" thickTop="1">
      <c r="B6" s="322" t="s">
        <v>209</v>
      </c>
      <c r="C6" s="322"/>
      <c r="D6" s="322"/>
      <c r="E6" s="322"/>
      <c r="F6" s="322"/>
      <c r="G6" s="322"/>
      <c r="H6" s="322"/>
      <c r="M6" s="7"/>
    </row>
    <row r="16" spans="1:13">
      <c r="B16" s="13"/>
    </row>
  </sheetData>
  <mergeCells count="2">
    <mergeCell ref="B6:H6"/>
    <mergeCell ref="A1:H1"/>
  </mergeCells>
  <phoneticPr fontId="2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view="pageBreakPreview" zoomScale="115" zoomScaleNormal="100" zoomScaleSheetLayoutView="115" workbookViewId="0">
      <selection activeCell="C2" sqref="C1:E1048576"/>
    </sheetView>
  </sheetViews>
  <sheetFormatPr defaultColWidth="8.77734375" defaultRowHeight="13.2"/>
  <cols>
    <col min="1" max="1" width="27.44140625" style="2" customWidth="1"/>
    <col min="2" max="2" width="15.33203125" style="2" customWidth="1"/>
    <col min="3" max="3" width="14.21875" style="2" customWidth="1"/>
    <col min="4" max="4" width="7.44140625" style="2" customWidth="1"/>
    <col min="5" max="5" width="18.109375" style="2" customWidth="1"/>
    <col min="6" max="16384" width="8.77734375" style="2"/>
  </cols>
  <sheetData>
    <row r="1" spans="1:10" ht="13.8" thickBot="1">
      <c r="A1" s="306" t="s">
        <v>277</v>
      </c>
      <c r="B1" s="306"/>
      <c r="C1" s="306"/>
      <c r="D1" s="306"/>
      <c r="E1" s="306"/>
    </row>
    <row r="2" spans="1:10" ht="33" customHeight="1" thickTop="1">
      <c r="A2" s="103"/>
      <c r="B2" s="103"/>
      <c r="C2" s="192"/>
      <c r="D2" s="323" t="s">
        <v>266</v>
      </c>
      <c r="E2" s="323"/>
    </row>
    <row r="3" spans="1:10">
      <c r="A3" s="2" t="s">
        <v>255</v>
      </c>
      <c r="B3" s="2" t="s">
        <v>256</v>
      </c>
      <c r="C3" s="3" t="s">
        <v>378</v>
      </c>
      <c r="D3" s="104" t="s">
        <v>379</v>
      </c>
      <c r="E3" s="104" t="s">
        <v>258</v>
      </c>
    </row>
    <row r="4" spans="1:10" ht="15.6">
      <c r="A4" s="2" t="s">
        <v>262</v>
      </c>
      <c r="B4" s="2" t="s">
        <v>257</v>
      </c>
      <c r="C4" s="233">
        <f>at8_path!C5</f>
        <v>2458.895</v>
      </c>
      <c r="D4" s="233">
        <f>at8_path!F7</f>
        <v>-263.02</v>
      </c>
      <c r="E4" s="107">
        <f>at8_path!F5</f>
        <v>-0.10696674725842298</v>
      </c>
    </row>
    <row r="5" spans="1:10" ht="15.6">
      <c r="A5" s="2" t="s">
        <v>264</v>
      </c>
      <c r="B5" s="2" t="s">
        <v>257</v>
      </c>
      <c r="C5" s="234">
        <f>[1]at7_sample_robust!B2</f>
        <v>2487.4015098847799</v>
      </c>
      <c r="D5" s="233">
        <f>[1]at7_sample_robust!C2</f>
        <v>-265.13787086274101</v>
      </c>
      <c r="E5" s="108">
        <f>[1]at7_sample_robust!D2</f>
        <v>-0.10659230920665599</v>
      </c>
    </row>
    <row r="6" spans="1:10">
      <c r="A6" s="2" t="s">
        <v>263</v>
      </c>
      <c r="B6" s="2" t="s">
        <v>259</v>
      </c>
      <c r="C6" s="234">
        <f>[1]at7_sample_robust!B3</f>
        <v>2650.4908111100399</v>
      </c>
      <c r="D6" s="233">
        <f>[1]at7_sample_robust!C3</f>
        <v>-277.47961312839698</v>
      </c>
      <c r="E6" s="108">
        <f>[1]at7_sample_robust!D3</f>
        <v>-0.104689898174817</v>
      </c>
    </row>
    <row r="7" spans="1:10">
      <c r="A7" s="2" t="s">
        <v>263</v>
      </c>
      <c r="B7" s="2" t="s">
        <v>260</v>
      </c>
      <c r="C7" s="234">
        <f>[1]at7_sample_robust!B4</f>
        <v>2776.4891431518899</v>
      </c>
      <c r="D7" s="233">
        <f>[1]at7_sample_robust!C4</f>
        <v>-331.63501640125003</v>
      </c>
      <c r="E7" s="108">
        <f>[1]at7_sample_robust!D4</f>
        <v>-0.119444016995066</v>
      </c>
    </row>
    <row r="8" spans="1:10">
      <c r="A8" s="2" t="s">
        <v>263</v>
      </c>
      <c r="B8" s="2" t="s">
        <v>261</v>
      </c>
      <c r="C8" s="234">
        <f>[1]at7_sample_robust!B5</f>
        <v>2778.4735334474599</v>
      </c>
      <c r="D8" s="233">
        <f>[1]at7_sample_robust!C5</f>
        <v>-335.00839849814002</v>
      </c>
      <c r="E8" s="108">
        <f>[1]at7_sample_robust!D5</f>
        <v>-0.120572823338169</v>
      </c>
    </row>
    <row r="9" spans="1:10" ht="16.2" thickBot="1">
      <c r="A9" s="2" t="s">
        <v>265</v>
      </c>
      <c r="B9" s="2" t="s">
        <v>257</v>
      </c>
      <c r="C9" s="234">
        <f>[1]at7_sample_robust!B6</f>
        <v>2628.6110821177899</v>
      </c>
      <c r="D9" s="233">
        <f>[1]at7_sample_robust!C6</f>
        <v>-252.61973836682</v>
      </c>
      <c r="E9" s="108">
        <f>[1]at7_sample_robust!D6</f>
        <v>-9.6103885464597402E-2</v>
      </c>
    </row>
    <row r="10" spans="1:10" ht="142.94999999999999" customHeight="1" thickTop="1">
      <c r="A10" s="322" t="s">
        <v>406</v>
      </c>
      <c r="B10" s="322"/>
      <c r="C10" s="322"/>
      <c r="D10" s="322"/>
      <c r="E10" s="322"/>
      <c r="J10" s="7"/>
    </row>
    <row r="20" spans="1:1">
      <c r="A20" s="13"/>
    </row>
  </sheetData>
  <mergeCells count="3">
    <mergeCell ref="A1:E1"/>
    <mergeCell ref="A10:E10"/>
    <mergeCell ref="D2:E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tabSelected="1" view="pageBreakPreview" topLeftCell="A8" zoomScale="115" zoomScaleNormal="100" zoomScaleSheetLayoutView="115" workbookViewId="0">
      <selection activeCell="M21" sqref="M21"/>
    </sheetView>
  </sheetViews>
  <sheetFormatPr defaultColWidth="8.77734375" defaultRowHeight="13.2"/>
  <cols>
    <col min="1" max="1" width="2.77734375" style="2" customWidth="1"/>
    <col min="2" max="2" width="32.109375" style="2" customWidth="1"/>
    <col min="3" max="3" width="8.44140625" style="2" customWidth="1"/>
    <col min="4" max="4" width="11.77734375" style="2" customWidth="1"/>
    <col min="5" max="5" width="12" style="2" customWidth="1"/>
    <col min="6" max="6" width="13.44140625" style="2" customWidth="1"/>
    <col min="7" max="16384" width="8.77734375" style="2"/>
  </cols>
  <sheetData>
    <row r="1" spans="1:6" ht="13.8" thickBot="1">
      <c r="A1" s="306" t="s">
        <v>407</v>
      </c>
      <c r="B1" s="306"/>
      <c r="C1" s="306"/>
      <c r="D1" s="306"/>
      <c r="E1" s="306"/>
      <c r="F1" s="306"/>
    </row>
    <row r="2" spans="1:6" ht="55.05" customHeight="1" thickTop="1">
      <c r="A2" s="53"/>
      <c r="B2" s="53"/>
      <c r="C2" s="62" t="s">
        <v>93</v>
      </c>
      <c r="D2" s="62" t="s">
        <v>226</v>
      </c>
      <c r="E2" s="62" t="s">
        <v>227</v>
      </c>
      <c r="F2" s="62" t="s">
        <v>228</v>
      </c>
    </row>
    <row r="3" spans="1:6" ht="17.25" customHeight="1">
      <c r="A3" s="53"/>
      <c r="B3" s="53"/>
      <c r="C3" s="64" t="s">
        <v>0</v>
      </c>
      <c r="D3" s="64" t="s">
        <v>12</v>
      </c>
      <c r="E3" s="64" t="s">
        <v>13</v>
      </c>
      <c r="F3" s="64" t="s">
        <v>14</v>
      </c>
    </row>
    <row r="4" spans="1:6" ht="13.95" customHeight="1">
      <c r="A4" s="53" t="s">
        <v>195</v>
      </c>
      <c r="B4" s="53"/>
      <c r="C4" s="77"/>
      <c r="D4" s="78"/>
      <c r="E4" s="78"/>
      <c r="F4" s="78"/>
    </row>
    <row r="5" spans="1:6" ht="13.95" customHeight="1">
      <c r="A5" s="53"/>
      <c r="B5" s="53" t="s">
        <v>380</v>
      </c>
      <c r="C5" s="278">
        <f>[11]at8_spend_path!B2</f>
        <v>2458.895</v>
      </c>
      <c r="D5" s="279">
        <f>D7/$C7</f>
        <v>-6.4065362693404959E-2</v>
      </c>
      <c r="E5" s="280">
        <f>E7/$C7</f>
        <v>-8.0727318571960169E-3</v>
      </c>
      <c r="F5" s="279">
        <f>F7/$C7</f>
        <v>-0.10696674725842298</v>
      </c>
    </row>
    <row r="6" spans="1:6" ht="13.95" customHeight="1">
      <c r="A6" s="53"/>
      <c r="B6" s="53"/>
      <c r="C6" s="278"/>
      <c r="D6" s="281" t="str">
        <f>CONCATENATE("(",ROUND([11]at8_spend_path!C5/[11]at8_spend_path!$B$4,3),")")</f>
        <v>(0.001)</v>
      </c>
      <c r="E6" s="281" t="str">
        <f>CONCATENATE("(",ROUND([11]at8_spend_path!D5/[11]at8_spend_path!$B$4,4),")")</f>
        <v>(0.0007)</v>
      </c>
      <c r="F6" s="281" t="str">
        <f>CONCATENATE("(",ROUND([11]at8_spend_path!E5/[11]at8_spend_path!$B$4,3),")")</f>
        <v>(0.003)</v>
      </c>
    </row>
    <row r="7" spans="1:6" ht="13.95" customHeight="1">
      <c r="A7" s="53"/>
      <c r="B7" s="53" t="s">
        <v>381</v>
      </c>
      <c r="C7" s="278">
        <f>[11]at8_spend_path!B4</f>
        <v>2458.895</v>
      </c>
      <c r="D7" s="278">
        <f>[11]at8_spend_path!C4</f>
        <v>-157.53</v>
      </c>
      <c r="E7" s="278">
        <f>[11]at8_spend_path!D4</f>
        <v>-19.850000000000001</v>
      </c>
      <c r="F7" s="278">
        <f>[11]at8_spend_path!E4</f>
        <v>-263.02</v>
      </c>
    </row>
    <row r="8" spans="1:6" ht="13.95" customHeight="1">
      <c r="A8" s="53"/>
      <c r="B8" s="53"/>
      <c r="C8" s="68"/>
      <c r="D8" s="281" t="str">
        <f>CONCATENATE("(",ROUND([11]at8_spend_path!C5,0),")")</f>
        <v>(3)</v>
      </c>
      <c r="E8" s="281" t="str">
        <f>CONCATENATE("(",ROUND([11]at8_spend_path!D5,0),")")</f>
        <v>(2)</v>
      </c>
      <c r="F8" s="281" t="str">
        <f>CONCATENATE("(",ROUND([11]at8_spend_path!E5,0),")")</f>
        <v>(8)</v>
      </c>
    </row>
    <row r="9" spans="1:6" ht="13.95" customHeight="1">
      <c r="A9" s="53"/>
      <c r="B9" s="53" t="s">
        <v>382</v>
      </c>
      <c r="C9" s="278">
        <f>[11]at8_spend_path!B6</f>
        <v>1105.748</v>
      </c>
      <c r="D9" s="278">
        <f>[11]at8_spend_path!C6</f>
        <v>-67.14</v>
      </c>
      <c r="E9" s="278">
        <f>[11]at8_spend_path!D6</f>
        <v>-5.64</v>
      </c>
      <c r="F9" s="278">
        <f>[11]at8_spend_path!E6</f>
        <v>-113.37</v>
      </c>
    </row>
    <row r="10" spans="1:6" ht="13.95" customHeight="1">
      <c r="A10" s="53"/>
      <c r="B10" s="53"/>
      <c r="C10" s="68"/>
      <c r="D10" s="281" t="str">
        <f>CONCATENATE("(",ROUND([11]at8_spend_path!C7,0),")")</f>
        <v>(1)</v>
      </c>
      <c r="E10" s="281" t="str">
        <f>CONCATENATE("(",ROUND([11]at8_spend_path!D7,0),")")</f>
        <v>(0)</v>
      </c>
      <c r="F10" s="281" t="str">
        <f>CONCATENATE("(",ROUND([11]at8_spend_path!E7,0),")")</f>
        <v>(3)</v>
      </c>
    </row>
    <row r="11" spans="1:6" ht="13.95" customHeight="1">
      <c r="A11" s="69"/>
      <c r="B11" s="53" t="s">
        <v>5</v>
      </c>
      <c r="C11" s="278">
        <f>[11]at8_spend_path!B8</f>
        <v>5545.74</v>
      </c>
      <c r="D11" s="278">
        <f>[11]at8_spend_path!C8</f>
        <v>-198.63</v>
      </c>
      <c r="E11" s="278">
        <f>[11]at8_spend_path!D8</f>
        <v>-96.8</v>
      </c>
      <c r="F11" s="278">
        <f>[11]at8_spend_path!E8</f>
        <v>-455.55</v>
      </c>
    </row>
    <row r="12" spans="1:6" ht="13.95" customHeight="1">
      <c r="A12" s="69"/>
      <c r="B12" s="53"/>
      <c r="C12" s="68"/>
      <c r="D12" s="281" t="str">
        <f>CONCATENATE("(",ROUND([11]at8_spend_path!C9,0),")")</f>
        <v>(8)</v>
      </c>
      <c r="E12" s="281" t="str">
        <f>CONCATENATE("(",ROUND([11]at8_spend_path!D9,0),")")</f>
        <v>(3)</v>
      </c>
      <c r="F12" s="281" t="str">
        <f>CONCATENATE("(",ROUND([11]at8_spend_path!E9,0),")")</f>
        <v>(19)</v>
      </c>
    </row>
    <row r="13" spans="1:6" ht="13.95" customHeight="1">
      <c r="A13" s="69"/>
      <c r="B13" s="53" t="s">
        <v>55</v>
      </c>
      <c r="C13" s="278">
        <f>[11]at8_spend_path!B10</f>
        <v>521.75699999999995</v>
      </c>
      <c r="D13" s="282">
        <f>[11]at8_spend_path!C10</f>
        <v>-32.64</v>
      </c>
      <c r="E13" s="282">
        <f>[11]at8_spend_path!D10</f>
        <v>1.27</v>
      </c>
      <c r="F13" s="282">
        <f>[11]at8_spend_path!E10</f>
        <v>-69.23</v>
      </c>
    </row>
    <row r="14" spans="1:6" ht="13.95" customHeight="1">
      <c r="A14" s="69"/>
      <c r="B14" s="53"/>
      <c r="C14" s="68"/>
      <c r="D14" s="281" t="str">
        <f>CONCATENATE("(",ROUND([11]at8_spend_path!C11,1),")")</f>
        <v>(0.7)</v>
      </c>
      <c r="E14" s="281" t="str">
        <f>CONCATENATE("(",ROUND([11]at8_spend_path!D11,1),")")</f>
        <v>(0.2)</v>
      </c>
      <c r="F14" s="281" t="str">
        <f>CONCATENATE("(",ROUND([11]at8_spend_path!E11,1),")")</f>
        <v>(1.7)</v>
      </c>
    </row>
    <row r="15" spans="1:6" ht="13.95" customHeight="1">
      <c r="A15" s="53" t="s">
        <v>194</v>
      </c>
      <c r="B15" s="69"/>
      <c r="C15" s="3"/>
      <c r="D15" s="3"/>
      <c r="E15" s="3"/>
      <c r="F15" s="3"/>
    </row>
    <row r="16" spans="1:6" ht="13.95" customHeight="1">
      <c r="A16" s="53"/>
      <c r="B16" s="53" t="s">
        <v>383</v>
      </c>
      <c r="C16" s="278">
        <f>[11]at8_spend_path!B12</f>
        <v>3265.3679999999999</v>
      </c>
      <c r="D16" s="278">
        <f>[11]at8_spend_path!C12</f>
        <v>-469.98</v>
      </c>
      <c r="E16" s="278">
        <f>[11]at8_spend_path!D12</f>
        <v>-73.040000000000006</v>
      </c>
      <c r="F16" s="278">
        <f>[11]at8_spend_path!E12</f>
        <v>-1300.27</v>
      </c>
    </row>
    <row r="17" spans="1:12" ht="13.95" customHeight="1">
      <c r="A17" s="53"/>
      <c r="B17" s="53"/>
      <c r="C17" s="68"/>
      <c r="D17" s="281" t="str">
        <f>CONCATENATE("(",ROUND([11]at8_spend_path!C13,0),")")</f>
        <v>(6)</v>
      </c>
      <c r="E17" s="281" t="str">
        <f>CONCATENATE("(",ROUND([11]at8_spend_path!D13,0),")")</f>
        <v>(2)</v>
      </c>
      <c r="F17" s="281" t="str">
        <f>CONCATENATE("(",ROUND([11]at8_spend_path!E13,0),")")</f>
        <v>(11)</v>
      </c>
    </row>
    <row r="18" spans="1:12" ht="13.95" customHeight="1">
      <c r="A18" s="53"/>
      <c r="B18" s="53" t="s">
        <v>43</v>
      </c>
      <c r="C18" s="278">
        <f>[11]at8_spend_path!B14</f>
        <v>5543.7740000000003</v>
      </c>
      <c r="D18" s="278">
        <f>[11]at8_spend_path!C14</f>
        <v>-164.22</v>
      </c>
      <c r="E18" s="278">
        <f>[11]at8_spend_path!D14</f>
        <v>-168.85</v>
      </c>
      <c r="F18" s="278">
        <f>[11]at8_spend_path!E14</f>
        <v>-618.11</v>
      </c>
    </row>
    <row r="19" spans="1:12" ht="13.95" customHeight="1">
      <c r="A19" s="53"/>
      <c r="B19" s="53"/>
      <c r="C19" s="68"/>
      <c r="D19" s="281" t="str">
        <f>CONCATENATE("(",ROUND([11]at8_spend_path!C15,0),")")</f>
        <v>(9)</v>
      </c>
      <c r="E19" s="281" t="str">
        <f>CONCATENATE("(",ROUND([11]at8_spend_path!D15,0),")")</f>
        <v>(3)</v>
      </c>
      <c r="F19" s="281" t="str">
        <f>CONCATENATE("(",ROUND([11]at8_spend_path!E15,0),")")</f>
        <v>(23)</v>
      </c>
    </row>
    <row r="20" spans="1:12" ht="13.95" customHeight="1">
      <c r="A20" s="53"/>
      <c r="B20" s="69" t="s">
        <v>104</v>
      </c>
      <c r="C20" s="278"/>
      <c r="D20" s="278">
        <f>[1]disclosure!$B$84</f>
        <v>182361</v>
      </c>
      <c r="E20" s="278">
        <f>[1]disclosure!$B$85</f>
        <v>538287</v>
      </c>
      <c r="F20" s="278">
        <f>[1]disclosure!$B$86</f>
        <v>27740</v>
      </c>
    </row>
    <row r="21" spans="1:12" ht="13.95" customHeight="1">
      <c r="A21" s="53"/>
      <c r="B21" s="69"/>
      <c r="C21" s="278"/>
      <c r="D21" s="278"/>
      <c r="E21" s="278"/>
      <c r="F21" s="278"/>
    </row>
    <row r="22" spans="1:12" ht="13.95" customHeight="1">
      <c r="A22" s="69" t="s">
        <v>229</v>
      </c>
      <c r="B22" s="69"/>
      <c r="C22" s="68"/>
      <c r="D22" s="281"/>
      <c r="E22" s="281"/>
      <c r="F22" s="281"/>
    </row>
    <row r="23" spans="1:12" ht="13.95" customHeight="1">
      <c r="A23" s="69"/>
      <c r="B23" s="69" t="s">
        <v>22</v>
      </c>
      <c r="C23" s="278">
        <f>[11]at8_spend_path!B16</f>
        <v>263.23</v>
      </c>
      <c r="D23" s="278">
        <f>[11]at8_spend_path!C16</f>
        <v>-14.44</v>
      </c>
      <c r="E23" s="278">
        <f>[11]at8_spend_path!D16</f>
        <v>0.5</v>
      </c>
      <c r="F23" s="278">
        <f>[11]at8_spend_path!E16</f>
        <v>-2.2599999999999998</v>
      </c>
    </row>
    <row r="24" spans="1:12" ht="13.95" customHeight="1">
      <c r="A24" s="69"/>
      <c r="B24" s="53"/>
      <c r="C24" s="68"/>
      <c r="D24" s="281" t="str">
        <f>CONCATENATE("(",ROUND([11]at8_spend_path!C17,0),")")</f>
        <v>(1)</v>
      </c>
      <c r="E24" s="283" t="str">
        <f>CONCATENATE("(",ROUND([11]at8_spend_path!D17,1),")")</f>
        <v>(0.4)</v>
      </c>
      <c r="F24" s="281" t="str">
        <f>CONCATENATE("(",ROUND([11]at8_spend_path!E17,0),")")</f>
        <v>(3)</v>
      </c>
    </row>
    <row r="25" spans="1:12" ht="13.95" customHeight="1">
      <c r="A25" s="69"/>
      <c r="B25" s="69" t="s">
        <v>21</v>
      </c>
      <c r="C25" s="278">
        <f>[11]at8_spend_path!B18</f>
        <v>2447.0639999999999</v>
      </c>
      <c r="D25" s="278">
        <f>[11]at8_spend_path!C18</f>
        <v>22.81</v>
      </c>
      <c r="E25" s="278">
        <f>[11]at8_spend_path!D18</f>
        <v>20.71</v>
      </c>
      <c r="F25" s="278">
        <f>[11]at8_spend_path!E18</f>
        <v>53.81</v>
      </c>
    </row>
    <row r="26" spans="1:12" ht="13.95" customHeight="1">
      <c r="A26" s="69"/>
      <c r="B26" s="69"/>
      <c r="C26" s="68"/>
      <c r="D26" s="281" t="str">
        <f>CONCATENATE("(",ROUND([11]at8_spend_path!C19,0),")")</f>
        <v>(6)</v>
      </c>
      <c r="E26" s="281" t="str">
        <f>CONCATENATE("(",ROUND([11]at8_spend_path!D19,0),")")</f>
        <v>(3)</v>
      </c>
      <c r="F26" s="281" t="str">
        <f>CONCATENATE("(",ROUND([11]at8_spend_path!E19,0),")")</f>
        <v>(16)</v>
      </c>
    </row>
    <row r="27" spans="1:12" ht="13.95" customHeight="1">
      <c r="A27" s="69"/>
      <c r="B27" s="69" t="s">
        <v>3</v>
      </c>
      <c r="C27" s="278">
        <f>[12]at5_asset_summary!B16</f>
        <v>12899.406000000001</v>
      </c>
      <c r="D27" s="278">
        <f>[12]at5_asset_summary!C16</f>
        <v>110.39</v>
      </c>
      <c r="E27" s="278">
        <f>[12]at5_asset_summary!D16</f>
        <v>43.76</v>
      </c>
      <c r="F27" s="278">
        <f>[12]at5_asset_summary!E16</f>
        <v>41.79</v>
      </c>
      <c r="G27" s="12"/>
    </row>
    <row r="28" spans="1:12" ht="13.95" customHeight="1">
      <c r="A28" s="69"/>
      <c r="B28" s="69"/>
      <c r="C28" s="253"/>
      <c r="D28" s="281" t="str">
        <f>CONCATENATE("(",ROUND([12]at5_asset_summary!C$17,0),")")</f>
        <v>(9)</v>
      </c>
      <c r="E28" s="281" t="str">
        <f>CONCATENATE("(",ROUND([12]at5_asset_summary!D$17,0),")")</f>
        <v>(4)</v>
      </c>
      <c r="F28" s="281" t="str">
        <f>CONCATENATE("(",ROUND([12]at5_asset_summary!E$17,0),")")</f>
        <v>(20)</v>
      </c>
      <c r="G28" s="11"/>
    </row>
    <row r="29" spans="1:12" ht="13.95" customHeight="1" thickBot="1">
      <c r="A29" s="53"/>
      <c r="B29" s="53" t="s">
        <v>105</v>
      </c>
      <c r="C29" s="68"/>
      <c r="D29" s="278">
        <f>[1]disclosure!$B$87</f>
        <v>77057</v>
      </c>
      <c r="E29" s="278">
        <f>[1]disclosure!$B$88</f>
        <v>231689</v>
      </c>
      <c r="F29" s="278">
        <f>[1]disclosure!$B$89</f>
        <v>12851</v>
      </c>
    </row>
    <row r="30" spans="1:12" ht="192" customHeight="1" thickTop="1">
      <c r="A30" s="316" t="s">
        <v>427</v>
      </c>
      <c r="B30" s="316"/>
      <c r="C30" s="316"/>
      <c r="D30" s="316"/>
      <c r="E30" s="316"/>
      <c r="F30" s="316"/>
      <c r="L30" s="7"/>
    </row>
    <row r="40" spans="1:3">
      <c r="A40" s="13"/>
      <c r="B40" s="13"/>
      <c r="C40" s="13"/>
    </row>
  </sheetData>
  <mergeCells count="2">
    <mergeCell ref="A30:F30"/>
    <mergeCell ref="A1:F1"/>
  </mergeCells>
  <phoneticPr fontId="2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workbookViewId="0">
      <selection activeCell="L27" sqref="L27"/>
    </sheetView>
  </sheetViews>
  <sheetFormatPr defaultColWidth="8.77734375" defaultRowHeight="13.2"/>
  <cols>
    <col min="1" max="1" width="1.77734375" style="2" customWidth="1"/>
    <col min="2" max="2" width="43.44140625" style="2" customWidth="1"/>
    <col min="3" max="5" width="12" style="2" customWidth="1"/>
    <col min="6" max="16384" width="8.77734375" style="2"/>
  </cols>
  <sheetData>
    <row r="1" spans="1:6" ht="13.8" thickBot="1">
      <c r="A1" s="317" t="s">
        <v>422</v>
      </c>
      <c r="B1" s="317"/>
      <c r="C1" s="317"/>
      <c r="D1" s="317"/>
      <c r="E1" s="317"/>
    </row>
    <row r="2" spans="1:6" ht="51" customHeight="1" thickTop="1">
      <c r="A2" s="53"/>
      <c r="B2" s="324"/>
      <c r="C2" s="62" t="s">
        <v>92</v>
      </c>
      <c r="D2" s="63" t="s">
        <v>121</v>
      </c>
      <c r="E2" s="63" t="s">
        <v>52</v>
      </c>
    </row>
    <row r="3" spans="1:6" ht="13.95" customHeight="1">
      <c r="A3" s="53"/>
      <c r="B3" s="324"/>
      <c r="C3" s="64" t="s">
        <v>65</v>
      </c>
      <c r="D3" s="64" t="s">
        <v>66</v>
      </c>
      <c r="E3" s="64" t="s">
        <v>57</v>
      </c>
    </row>
    <row r="4" spans="1:6" ht="15" customHeight="1">
      <c r="A4" s="53" t="s">
        <v>46</v>
      </c>
      <c r="B4" s="53"/>
      <c r="C4" s="65">
        <f>[1]at12_covariate_onset!$B$2</f>
        <v>-158</v>
      </c>
      <c r="D4" s="65">
        <f>[1]at12_covariate_onset!$C$2</f>
        <v>0.35199999999999998</v>
      </c>
      <c r="E4" s="66" t="s">
        <v>49</v>
      </c>
    </row>
    <row r="5" spans="1:6" ht="15" customHeight="1">
      <c r="A5" s="53"/>
      <c r="B5" s="57"/>
      <c r="C5" s="65"/>
      <c r="D5" s="67" t="str">
        <f>CONCATENATE("(",[11]at12_covariate_onset!$C3,")")</f>
        <v>(0.011)</v>
      </c>
      <c r="E5" s="68"/>
    </row>
    <row r="6" spans="1:6" ht="15" customHeight="1">
      <c r="A6" s="58" t="s">
        <v>90</v>
      </c>
      <c r="B6" s="51"/>
      <c r="E6" s="53"/>
    </row>
    <row r="7" spans="1:6" ht="15" customHeight="1">
      <c r="A7" s="51"/>
      <c r="B7" s="53" t="s">
        <v>15</v>
      </c>
      <c r="C7" s="65">
        <f>[1]at12_covariate_onset!B4</f>
        <v>-149</v>
      </c>
      <c r="D7" s="73">
        <f>[1]at12_covariate_onset!C4</f>
        <v>0.42199999999999999</v>
      </c>
      <c r="E7" s="65" t="str">
        <f>[11]at12_covariate_onset!D4</f>
        <v>&lt; 0.001</v>
      </c>
      <c r="F7" s="11"/>
    </row>
    <row r="8" spans="1:6" ht="15" customHeight="1">
      <c r="A8" s="53"/>
      <c r="B8" s="53"/>
      <c r="C8" s="65"/>
      <c r="D8" s="67" t="str">
        <f>CONCATENATE("(",[11]at12_covariate_onset!$C5,")")</f>
        <v>(0.017)</v>
      </c>
      <c r="E8" s="65"/>
    </row>
    <row r="9" spans="1:6" ht="15" customHeight="1">
      <c r="A9" s="53"/>
      <c r="B9" s="53" t="s">
        <v>199</v>
      </c>
      <c r="C9" s="65">
        <f>[1]at12_covariate_onset!B6</f>
        <v>-184</v>
      </c>
      <c r="D9" s="73">
        <f>[1]at12_covariate_onset!C6</f>
        <v>0.40400000000000003</v>
      </c>
      <c r="E9" s="65" t="str">
        <f>[11]at12_covariate_onset!D6</f>
        <v>&lt; 0.001</v>
      </c>
    </row>
    <row r="10" spans="1:6" ht="15" customHeight="1">
      <c r="A10" s="53"/>
      <c r="B10" s="53"/>
      <c r="C10" s="65"/>
      <c r="D10" s="67" t="str">
        <f>CONCATENATE("(",[11]at12_covariate_onset!$C7,")")</f>
        <v>(0.013)</v>
      </c>
      <c r="E10" s="65"/>
    </row>
    <row r="11" spans="1:6" ht="15" customHeight="1">
      <c r="A11" s="53"/>
      <c r="B11" s="53" t="s">
        <v>200</v>
      </c>
      <c r="C11" s="65">
        <f>[1]at12_covariate_onset!B8</f>
        <v>-94</v>
      </c>
      <c r="D11" s="73">
        <f>[1]at12_covariate_onset!C8</f>
        <v>0.38100000000000001</v>
      </c>
      <c r="E11" s="65">
        <f>[11]at12_covariate_onset!D8</f>
        <v>0.155</v>
      </c>
    </row>
    <row r="12" spans="1:6" ht="15" customHeight="1">
      <c r="A12" s="53"/>
      <c r="B12" s="53"/>
      <c r="C12" s="65"/>
      <c r="D12" s="67" t="str">
        <f>CONCATENATE("(",[11]at12_covariate_onset!$C9,")")</f>
        <v>(0.037)</v>
      </c>
      <c r="E12" s="65"/>
    </row>
    <row r="13" spans="1:6" ht="15" customHeight="1">
      <c r="A13" s="53"/>
      <c r="B13" s="193" t="s">
        <v>201</v>
      </c>
      <c r="C13" s="65">
        <f>[1]at12_covariate_onset!B10</f>
        <v>-192</v>
      </c>
      <c r="D13" s="73">
        <f>[1]at12_covariate_onset!C10</f>
        <v>0.56599999999999995</v>
      </c>
      <c r="E13" s="65" t="str">
        <f>[11]at12_covariate_onset!D10</f>
        <v>&lt; 0.001</v>
      </c>
    </row>
    <row r="14" spans="1:6" ht="15" customHeight="1">
      <c r="A14" s="53"/>
      <c r="B14" s="193"/>
      <c r="C14" s="65"/>
      <c r="D14" s="67" t="str">
        <f>CONCATENATE("(",[11]at12_covariate_onset!$C11,")")</f>
        <v>(0.033)</v>
      </c>
      <c r="E14" s="65"/>
    </row>
    <row r="15" spans="1:6" ht="15" customHeight="1">
      <c r="A15" s="53"/>
      <c r="B15" s="53" t="s">
        <v>51</v>
      </c>
      <c r="C15" s="65">
        <f>[1]at12_covariate_onset!B12</f>
        <v>-186</v>
      </c>
      <c r="D15" s="73">
        <f>[1]at12_covariate_onset!C12</f>
        <v>0.40899999999999997</v>
      </c>
      <c r="E15" s="65" t="str">
        <f>[11]at12_covariate_onset!D12</f>
        <v>&lt; 0.001</v>
      </c>
    </row>
    <row r="16" spans="1:6" ht="15" customHeight="1">
      <c r="A16" s="53"/>
      <c r="B16" s="53"/>
      <c r="C16" s="65"/>
      <c r="D16" s="67" t="str">
        <f>CONCATENATE("(",[11]at12_covariate_onset!$C13,")")</f>
        <v>(0.014)</v>
      </c>
      <c r="E16" s="65"/>
    </row>
    <row r="17" spans="1:5" ht="15" customHeight="1">
      <c r="A17" s="69"/>
      <c r="B17" s="53" t="s">
        <v>50</v>
      </c>
      <c r="C17" s="65">
        <f>[1]at12_covariate_onset!B14</f>
        <v>-142</v>
      </c>
      <c r="D17" s="73">
        <f>[1]at12_covariate_onset!C14</f>
        <v>0.28299999999999997</v>
      </c>
      <c r="E17" s="65">
        <f>[11]at12_covariate_onset!D14</f>
        <v>1E-3</v>
      </c>
    </row>
    <row r="18" spans="1:5" ht="15" customHeight="1">
      <c r="A18" s="69"/>
      <c r="B18" s="53"/>
      <c r="C18" s="65"/>
      <c r="D18" s="67" t="str">
        <f>CONCATENATE("(",[11]at12_covariate_onset!$C15,")")</f>
        <v>(0.026)</v>
      </c>
      <c r="E18" s="65"/>
    </row>
    <row r="19" spans="1:5" ht="15" customHeight="1">
      <c r="A19" s="69"/>
      <c r="B19" s="53" t="s">
        <v>59</v>
      </c>
      <c r="C19" s="65">
        <f>[1]at12_covariate_onset!B16</f>
        <v>-164</v>
      </c>
      <c r="D19" s="73">
        <f>[1]at12_covariate_onset!C16</f>
        <v>0.32</v>
      </c>
      <c r="E19" s="65">
        <f>[11]at12_covariate_onset!D16</f>
        <v>3.5000000000000003E-2</v>
      </c>
    </row>
    <row r="20" spans="1:5" ht="15" customHeight="1">
      <c r="A20" s="69"/>
      <c r="B20" s="53"/>
      <c r="C20" s="65"/>
      <c r="D20" s="67" t="str">
        <f>CONCATENATE("(",[11]at12_covariate_onset!$C17,")")</f>
        <v>(0.018)</v>
      </c>
      <c r="E20" s="65"/>
    </row>
    <row r="21" spans="1:5" ht="15" customHeight="1">
      <c r="A21" s="53"/>
      <c r="B21" s="53" t="s">
        <v>60</v>
      </c>
      <c r="C21" s="65">
        <f>[1]at12_covariate_onset!B18</f>
        <v>-149</v>
      </c>
      <c r="D21" s="73">
        <f>[1]at12_covariate_onset!C18</f>
        <v>0.36599999999999999</v>
      </c>
      <c r="E21" s="65">
        <f>[11]at12_covariate_onset!D18</f>
        <v>0.3</v>
      </c>
    </row>
    <row r="22" spans="1:5" ht="15" customHeight="1">
      <c r="A22" s="53"/>
      <c r="B22" s="53"/>
      <c r="C22" s="65"/>
      <c r="D22" s="67" t="str">
        <f>CONCATENATE("(",[11]at12_covariate_onset!$C19,")")</f>
        <v>(0.019)</v>
      </c>
      <c r="E22" s="68"/>
    </row>
    <row r="23" spans="1:5" ht="15" customHeight="1">
      <c r="A23" s="58" t="s">
        <v>91</v>
      </c>
      <c r="B23" s="58"/>
    </row>
    <row r="24" spans="1:5" ht="15" customHeight="1">
      <c r="A24" s="53"/>
      <c r="B24" s="53" t="s">
        <v>61</v>
      </c>
      <c r="C24" s="65">
        <f>[1]at12_covariate_onset!B20</f>
        <v>-202</v>
      </c>
      <c r="D24" s="73">
        <f>[1]at12_covariate_onset!C20</f>
        <v>0.46100000000000002</v>
      </c>
      <c r="E24" s="65" t="str">
        <f>[11]at12_covariate_onset!D20</f>
        <v>&lt; 0.001</v>
      </c>
    </row>
    <row r="25" spans="1:5" ht="15" customHeight="1">
      <c r="A25" s="53"/>
      <c r="B25" s="53"/>
      <c r="C25" s="65"/>
      <c r="D25" s="67" t="str">
        <f>CONCATENATE("(",[11]at12_covariate_onset!$C21,")")</f>
        <v>(0.018)</v>
      </c>
      <c r="E25" s="68"/>
    </row>
    <row r="26" spans="1:5" ht="15" customHeight="1">
      <c r="A26" s="53"/>
      <c r="B26" s="53" t="s">
        <v>62</v>
      </c>
      <c r="C26" s="65">
        <f>[1]at12_covariate_onset!B22</f>
        <v>-110</v>
      </c>
      <c r="D26" s="73">
        <f>[1]at12_covariate_onset!C22</f>
        <v>0.23599999999999999</v>
      </c>
      <c r="E26" s="65" t="str">
        <f>[11]at12_covariate_onset!D22</f>
        <v>&lt; 0.001</v>
      </c>
    </row>
    <row r="27" spans="1:5" ht="15" customHeight="1">
      <c r="A27" s="53"/>
      <c r="B27" s="53"/>
      <c r="C27" s="65"/>
      <c r="D27" s="67" t="str">
        <f>CONCATENATE("(",[11]at12_covariate_onset!$C23,")")</f>
        <v>(0.019)</v>
      </c>
      <c r="E27" s="68"/>
    </row>
    <row r="28" spans="1:5" ht="15" customHeight="1">
      <c r="A28" s="69"/>
      <c r="B28" s="53" t="s">
        <v>63</v>
      </c>
      <c r="C28" s="65">
        <f>[1]at12_covariate_onset!B24</f>
        <v>-209</v>
      </c>
      <c r="D28" s="73">
        <f>[1]at12_covariate_onset!C24</f>
        <v>0.48899999999999999</v>
      </c>
      <c r="E28" s="65" t="str">
        <f>[11]at12_covariate_onset!D24</f>
        <v>&lt; 0.001</v>
      </c>
    </row>
    <row r="29" spans="1:5" ht="15" customHeight="1">
      <c r="A29" s="69"/>
      <c r="B29" s="53"/>
      <c r="C29" s="65"/>
      <c r="D29" s="67" t="str">
        <f>CONCATENATE("(",[11]at12_covariate_onset!$C25,")")</f>
        <v>(0.017)</v>
      </c>
      <c r="E29" s="68"/>
    </row>
    <row r="30" spans="1:5" ht="15" customHeight="1">
      <c r="A30" s="69"/>
      <c r="B30" s="53" t="s">
        <v>64</v>
      </c>
      <c r="C30" s="65">
        <f>[1]at12_covariate_onset!B26</f>
        <v>-101</v>
      </c>
      <c r="D30" s="73">
        <f>[1]at12_covariate_onset!C26</f>
        <v>0.21</v>
      </c>
      <c r="E30" s="65" t="str">
        <f>[11]at12_covariate_onset!D26</f>
        <v>&lt; 0.001</v>
      </c>
    </row>
    <row r="31" spans="1:5" ht="15" customHeight="1">
      <c r="A31" s="69"/>
      <c r="B31" s="53"/>
      <c r="C31" s="65"/>
      <c r="D31" s="67" t="str">
        <f>CONCATENATE("(",[11]at12_covariate_onset!$C27,")")</f>
        <v>(0.019)</v>
      </c>
      <c r="E31" s="68"/>
    </row>
    <row r="32" spans="1:5" ht="15" customHeight="1">
      <c r="A32" s="58" t="s">
        <v>346</v>
      </c>
      <c r="B32" s="53"/>
    </row>
    <row r="33" spans="1:10" ht="15" customHeight="1">
      <c r="A33" s="58"/>
      <c r="B33" s="53" t="s">
        <v>16</v>
      </c>
      <c r="C33" s="65">
        <f>[1]at12_covariate_onset!B28</f>
        <v>-148</v>
      </c>
      <c r="D33" s="73">
        <f>[1]at12_covariate_onset!C28</f>
        <v>0.30099999999999999</v>
      </c>
      <c r="E33" s="65" t="str">
        <f>[11]at12_covariate_onset!D28</f>
        <v>&lt; 0.001</v>
      </c>
    </row>
    <row r="34" spans="1:10" ht="15" customHeight="1">
      <c r="A34" s="58"/>
      <c r="B34" s="69"/>
      <c r="C34" s="65"/>
      <c r="D34" s="67" t="str">
        <f>CONCATENATE("(",[11]at12_covariate_onset!$C29,")")</f>
        <v>(0.016)</v>
      </c>
      <c r="E34" s="68"/>
    </row>
    <row r="35" spans="1:10" ht="15" customHeight="1">
      <c r="A35" s="69"/>
      <c r="B35" s="69" t="s">
        <v>202</v>
      </c>
      <c r="C35" s="65">
        <f>[1]at12_covariate_onset!B30</f>
        <v>-162</v>
      </c>
      <c r="D35" s="73">
        <f>[1]at12_covariate_onset!C30</f>
        <v>0.34100000000000003</v>
      </c>
      <c r="E35" s="65">
        <f>[11]at12_covariate_onset!D30</f>
        <v>0.17899999999999999</v>
      </c>
    </row>
    <row r="36" spans="1:10" ht="15" customHeight="1" thickBot="1">
      <c r="A36" s="70"/>
      <c r="B36" s="70"/>
      <c r="C36" s="71"/>
      <c r="D36" s="72" t="str">
        <f>CONCATENATE("(",[11]at12_covariate_onset!$C31,")")</f>
        <v>(0.013)</v>
      </c>
      <c r="E36" s="61"/>
    </row>
    <row r="37" spans="1:10" ht="94.05" customHeight="1" thickTop="1">
      <c r="A37" s="307" t="s">
        <v>417</v>
      </c>
      <c r="B37" s="307"/>
      <c r="C37" s="307"/>
      <c r="D37" s="307"/>
      <c r="E37" s="325"/>
      <c r="J37" s="7"/>
    </row>
  </sheetData>
  <mergeCells count="3">
    <mergeCell ref="A1:E1"/>
    <mergeCell ref="B2:B3"/>
    <mergeCell ref="A37:E3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topLeftCell="A7" workbookViewId="0">
      <selection activeCell="F17" sqref="F17"/>
    </sheetView>
  </sheetViews>
  <sheetFormatPr defaultColWidth="8.77734375" defaultRowHeight="13.2"/>
  <cols>
    <col min="1" max="1" width="1.77734375" style="2" customWidth="1"/>
    <col min="2" max="2" width="39.77734375" style="2" customWidth="1"/>
    <col min="3" max="5" width="12" style="2" customWidth="1"/>
    <col min="6" max="16384" width="8.77734375" style="2"/>
  </cols>
  <sheetData>
    <row r="1" spans="1:6" ht="13.8" thickBot="1">
      <c r="A1" s="317" t="s">
        <v>423</v>
      </c>
      <c r="B1" s="317"/>
      <c r="C1" s="317"/>
      <c r="D1" s="317"/>
      <c r="E1" s="317"/>
    </row>
    <row r="2" spans="1:6" ht="51" customHeight="1" thickTop="1">
      <c r="A2" s="53"/>
      <c r="B2" s="324"/>
      <c r="C2" s="62" t="s">
        <v>92</v>
      </c>
      <c r="D2" s="63" t="s">
        <v>121</v>
      </c>
      <c r="E2" s="63" t="s">
        <v>52</v>
      </c>
    </row>
    <row r="3" spans="1:6" ht="14.25" customHeight="1">
      <c r="A3" s="53"/>
      <c r="B3" s="324"/>
      <c r="C3" s="64" t="s">
        <v>65</v>
      </c>
      <c r="D3" s="64" t="s">
        <v>66</v>
      </c>
      <c r="E3" s="64" t="s">
        <v>57</v>
      </c>
    </row>
    <row r="4" spans="1:6" ht="15" customHeight="1">
      <c r="A4" s="53" t="s">
        <v>46</v>
      </c>
      <c r="B4" s="53"/>
      <c r="C4" s="65">
        <f>[11]at13_covariate_exhaust!B2</f>
        <v>-259</v>
      </c>
      <c r="D4" s="73">
        <f>[11]at13_covariate_exhaust!C2</f>
        <v>0.2</v>
      </c>
      <c r="E4" s="66" t="s">
        <v>49</v>
      </c>
    </row>
    <row r="5" spans="1:6" ht="15" customHeight="1">
      <c r="A5" s="53"/>
      <c r="B5" s="57"/>
      <c r="C5" s="65"/>
      <c r="D5" s="67" t="str">
        <f>CONCATENATE("(",[11]at13_covariate_exhaust!C3,")")</f>
        <v>(0.009)</v>
      </c>
      <c r="E5" s="68"/>
    </row>
    <row r="6" spans="1:6" ht="15" customHeight="1">
      <c r="A6" s="58" t="s">
        <v>90</v>
      </c>
      <c r="B6" s="51"/>
      <c r="E6" s="53"/>
    </row>
    <row r="7" spans="1:6" ht="15" customHeight="1">
      <c r="A7" s="51"/>
      <c r="B7" s="53" t="s">
        <v>15</v>
      </c>
      <c r="C7" s="65">
        <f>[11]at13_covariate_exhaust!B4</f>
        <v>-298</v>
      </c>
      <c r="D7" s="73">
        <f>[11]at13_covariate_exhaust!C4</f>
        <v>0.247</v>
      </c>
      <c r="E7" s="73" t="str">
        <f>[11]at13_covariate_exhaust!D4</f>
        <v>&lt; 0.001</v>
      </c>
      <c r="F7" s="11"/>
    </row>
    <row r="8" spans="1:6" ht="15" customHeight="1">
      <c r="A8" s="53"/>
      <c r="B8" s="53"/>
      <c r="C8" s="65"/>
      <c r="D8" s="67" t="str">
        <f>CONCATENATE("(",[11]at13_covariate_exhaust!C5,")")</f>
        <v>(0.012)</v>
      </c>
      <c r="E8" s="68"/>
    </row>
    <row r="9" spans="1:6" ht="15" customHeight="1">
      <c r="A9" s="53"/>
      <c r="B9" s="53" t="s">
        <v>199</v>
      </c>
      <c r="C9" s="65">
        <f>[11]at13_covariate_exhaust!B6</f>
        <v>-277</v>
      </c>
      <c r="D9" s="73">
        <f>[11]at13_covariate_exhaust!C6</f>
        <v>0.223</v>
      </c>
      <c r="E9" s="73">
        <f>[11]at13_covariate_exhaust!D6</f>
        <v>1.4999999999999999E-2</v>
      </c>
    </row>
    <row r="10" spans="1:6" ht="15" customHeight="1">
      <c r="A10" s="53"/>
      <c r="B10" s="53"/>
      <c r="C10" s="65"/>
      <c r="D10" s="67" t="str">
        <f>CONCATENATE("(",[11]at13_covariate_exhaust!C7,")")</f>
        <v>(0.012)</v>
      </c>
      <c r="E10" s="68"/>
    </row>
    <row r="11" spans="1:6" ht="15" customHeight="1">
      <c r="A11" s="53"/>
      <c r="B11" s="53" t="s">
        <v>200</v>
      </c>
      <c r="C11" s="65">
        <f>[11]at13_covariate_exhaust!B8</f>
        <v>-188</v>
      </c>
      <c r="D11" s="73">
        <f>[11]at13_covariate_exhaust!C8</f>
        <v>0.14499999999999999</v>
      </c>
      <c r="E11" s="73">
        <f>[11]at13_covariate_exhaust!D8</f>
        <v>1.6E-2</v>
      </c>
    </row>
    <row r="12" spans="1:6" ht="15" customHeight="1">
      <c r="A12" s="53"/>
      <c r="B12" s="53"/>
      <c r="C12" s="65"/>
      <c r="D12" s="67" t="str">
        <f>CONCATENATE("(",[11]at13_covariate_exhaust!C9,")")</f>
        <v>(0.027)</v>
      </c>
      <c r="E12" s="68"/>
    </row>
    <row r="13" spans="1:6" ht="15" customHeight="1">
      <c r="A13" s="53"/>
      <c r="B13" s="193" t="s">
        <v>201</v>
      </c>
      <c r="C13" s="65">
        <f>[11]at13_covariate_exhaust!B10</f>
        <v>-271</v>
      </c>
      <c r="D13" s="73">
        <f>[11]at13_covariate_exhaust!C10</f>
        <v>0.222</v>
      </c>
      <c r="E13" s="73">
        <f>[11]at13_covariate_exhaust!D10</f>
        <v>1.9E-2</v>
      </c>
    </row>
    <row r="14" spans="1:6" ht="15" customHeight="1">
      <c r="A14" s="53"/>
      <c r="B14" s="193"/>
      <c r="C14" s="65"/>
      <c r="D14" s="67" t="str">
        <f>CONCATENATE("(",[11]at13_covariate_exhaust!C11,")")</f>
        <v>(0.012)</v>
      </c>
      <c r="E14" s="68"/>
    </row>
    <row r="15" spans="1:6" ht="15" customHeight="1">
      <c r="A15" s="53"/>
      <c r="B15" s="53" t="s">
        <v>51</v>
      </c>
      <c r="C15" s="65">
        <f>[11]at13_covariate_exhaust!B12</f>
        <v>-310</v>
      </c>
      <c r="D15" s="73">
        <f>[11]at13_covariate_exhaust!C12</f>
        <v>0.25900000000000001</v>
      </c>
      <c r="E15" s="73" t="str">
        <f>[11]at13_covariate_exhaust!D12</f>
        <v>&lt; 0.001</v>
      </c>
    </row>
    <row r="16" spans="1:6" ht="15" customHeight="1">
      <c r="A16" s="53"/>
      <c r="B16" s="53"/>
      <c r="C16" s="65"/>
      <c r="D16" s="67" t="str">
        <f>CONCATENATE("(",[11]at13_covariate_exhaust!C13,")")</f>
        <v>(0.014)</v>
      </c>
      <c r="E16" s="68"/>
    </row>
    <row r="17" spans="1:5" ht="15" customHeight="1">
      <c r="A17" s="69"/>
      <c r="B17" s="53" t="s">
        <v>50</v>
      </c>
      <c r="C17" s="65">
        <f>[11]at13_covariate_exhaust!B14</f>
        <v>-142</v>
      </c>
      <c r="D17" s="73">
        <f>[11]at13_covariate_exhaust!C14</f>
        <v>0.104</v>
      </c>
      <c r="E17" s="73" t="str">
        <f>[11]at13_covariate_exhaust!D14</f>
        <v>&lt; 0.001</v>
      </c>
    </row>
    <row r="18" spans="1:5" ht="15" customHeight="1">
      <c r="A18" s="69"/>
      <c r="B18" s="53"/>
      <c r="C18" s="65"/>
      <c r="D18" s="67" t="str">
        <f>CONCATENATE("(",[11]at13_covariate_exhaust!C15,")")</f>
        <v>(0.024)</v>
      </c>
      <c r="E18" s="68"/>
    </row>
    <row r="19" spans="1:5" ht="15" customHeight="1">
      <c r="A19" s="69"/>
      <c r="B19" s="53" t="s">
        <v>59</v>
      </c>
      <c r="C19" s="65">
        <f>[11]at13_covariate_exhaust!B16</f>
        <v>-188</v>
      </c>
      <c r="D19" s="73">
        <f>[11]at13_covariate_exhaust!C16</f>
        <v>0.16500000000000001</v>
      </c>
      <c r="E19" s="73">
        <f>[11]at13_covariate_exhaust!D16</f>
        <v>3.1E-2</v>
      </c>
    </row>
    <row r="20" spans="1:5" ht="15" customHeight="1">
      <c r="A20" s="69"/>
      <c r="B20" s="53"/>
      <c r="C20" s="65"/>
      <c r="D20" s="67" t="str">
        <f>CONCATENATE("(",[11]at13_covariate_exhaust!C17,")")</f>
        <v>(0.022)</v>
      </c>
      <c r="E20" s="68"/>
    </row>
    <row r="21" spans="1:5" ht="15" customHeight="1">
      <c r="A21" s="53"/>
      <c r="B21" s="53" t="s">
        <v>60</v>
      </c>
      <c r="C21" s="65">
        <f>[11]at13_covariate_exhaust!B18</f>
        <v>-336</v>
      </c>
      <c r="D21" s="73">
        <f>[11]at13_covariate_exhaust!C18</f>
        <v>0.24099999999999999</v>
      </c>
      <c r="E21" s="73" t="str">
        <f>[11]at13_covariate_exhaust!D18</f>
        <v>&lt; 0.001</v>
      </c>
    </row>
    <row r="22" spans="1:5" ht="15" customHeight="1">
      <c r="A22" s="53"/>
      <c r="B22" s="53"/>
      <c r="C22" s="65"/>
      <c r="D22" s="67" t="str">
        <f>CONCATENATE("(",[11]at13_covariate_exhaust!C19,")")</f>
        <v>(0.013)</v>
      </c>
      <c r="E22" s="68"/>
    </row>
    <row r="23" spans="1:5" ht="15" customHeight="1">
      <c r="A23" s="58" t="s">
        <v>91</v>
      </c>
      <c r="B23" s="58"/>
    </row>
    <row r="24" spans="1:5" ht="15" customHeight="1">
      <c r="A24" s="53"/>
      <c r="B24" s="53" t="s">
        <v>61</v>
      </c>
      <c r="C24" s="65">
        <f>[11]at13_covariate_exhaust!B20</f>
        <v>-329</v>
      </c>
      <c r="D24" s="73">
        <f>[11]at13_covariate_exhaust!C20</f>
        <v>0.26800000000000002</v>
      </c>
      <c r="E24" s="73" t="str">
        <f>[11]at13_covariate_exhaust!D20</f>
        <v>&lt; 0.001</v>
      </c>
    </row>
    <row r="25" spans="1:5" ht="15" customHeight="1">
      <c r="A25" s="53"/>
      <c r="B25" s="53"/>
      <c r="C25" s="65"/>
      <c r="D25" s="67" t="str">
        <f>CONCATENATE("(",[11]at13_covariate_exhaust!C21,")")</f>
        <v>(0.017)</v>
      </c>
      <c r="E25" s="68"/>
    </row>
    <row r="26" spans="1:5" ht="15" customHeight="1">
      <c r="A26" s="53"/>
      <c r="B26" s="53" t="s">
        <v>62</v>
      </c>
      <c r="C26" s="65">
        <f>[11]at13_covariate_exhaust!B22</f>
        <v>-186</v>
      </c>
      <c r="D26" s="73">
        <f>[11]at13_covariate_exhaust!C22</f>
        <v>0.13700000000000001</v>
      </c>
      <c r="E26" s="73" t="str">
        <f>[11]at13_covariate_exhaust!D22</f>
        <v>&lt; 0.001</v>
      </c>
    </row>
    <row r="27" spans="1:5" ht="15" customHeight="1">
      <c r="A27" s="53"/>
      <c r="B27" s="53"/>
      <c r="C27" s="65"/>
      <c r="D27" s="67" t="str">
        <f>CONCATENATE("(",[11]at13_covariate_exhaust!C23,")")</f>
        <v>(0.015)</v>
      </c>
      <c r="E27" s="68"/>
    </row>
    <row r="28" spans="1:5" ht="15" customHeight="1">
      <c r="A28" s="69"/>
      <c r="B28" s="53" t="s">
        <v>63</v>
      </c>
      <c r="C28" s="65">
        <f>[11]at13_covariate_exhaust!B24</f>
        <v>-373</v>
      </c>
      <c r="D28" s="73">
        <f>[11]at13_covariate_exhaust!C24</f>
        <v>0.30399999999999999</v>
      </c>
      <c r="E28" s="73" t="str">
        <f>[11]at13_covariate_exhaust!D24</f>
        <v>&lt; 0.001</v>
      </c>
    </row>
    <row r="29" spans="1:5" ht="15" customHeight="1">
      <c r="A29" s="69"/>
      <c r="B29" s="53"/>
      <c r="C29" s="65"/>
      <c r="D29" s="67" t="str">
        <f>CONCATENATE("(",[11]at13_covariate_exhaust!C25,")")</f>
        <v>(0.016)</v>
      </c>
      <c r="E29" s="68"/>
    </row>
    <row r="30" spans="1:5" ht="15" customHeight="1">
      <c r="A30" s="69"/>
      <c r="B30" s="53" t="s">
        <v>64</v>
      </c>
      <c r="C30" s="65">
        <f>[11]at13_covariate_exhaust!B26</f>
        <v>-166</v>
      </c>
      <c r="D30" s="73">
        <f>[11]at13_covariate_exhaust!C26</f>
        <v>0.122</v>
      </c>
      <c r="E30" s="73" t="str">
        <f>[11]at13_covariate_exhaust!D26</f>
        <v>&lt; 0.001</v>
      </c>
    </row>
    <row r="31" spans="1:5" ht="15" customHeight="1">
      <c r="A31" s="69"/>
      <c r="B31" s="53"/>
      <c r="C31" s="65"/>
      <c r="D31" s="67" t="str">
        <f>CONCATENATE("(",[11]at13_covariate_exhaust!C27,")")</f>
        <v>(0.016)</v>
      </c>
      <c r="E31" s="68"/>
    </row>
    <row r="32" spans="1:5" ht="15" customHeight="1">
      <c r="A32" s="58" t="s">
        <v>346</v>
      </c>
      <c r="B32" s="53"/>
    </row>
    <row r="33" spans="1:10" ht="15" customHeight="1">
      <c r="A33" s="58"/>
      <c r="B33" s="53" t="s">
        <v>16</v>
      </c>
      <c r="C33" s="65">
        <f>[11]at13_covariate_exhaust!B28</f>
        <v>-170</v>
      </c>
      <c r="D33" s="73">
        <f>[11]at13_covariate_exhaust!C28</f>
        <v>0.127</v>
      </c>
      <c r="E33" s="73" t="str">
        <f>[11]at13_covariate_exhaust!D28</f>
        <v>&lt; 0.001</v>
      </c>
    </row>
    <row r="34" spans="1:10" ht="15" customHeight="1">
      <c r="A34" s="58"/>
      <c r="B34" s="69"/>
      <c r="C34" s="65"/>
      <c r="D34" s="67" t="str">
        <f>CONCATENATE("(",[11]at13_covariate_exhaust!C29,")")</f>
        <v>(0.014)</v>
      </c>
      <c r="E34" s="68"/>
    </row>
    <row r="35" spans="1:10" ht="15" customHeight="1">
      <c r="A35" s="69"/>
      <c r="B35" s="69" t="s">
        <v>202</v>
      </c>
      <c r="C35" s="65">
        <f>[11]at13_covariate_exhaust!B30</f>
        <v>-242</v>
      </c>
      <c r="D35" s="73">
        <f>[11]at13_covariate_exhaust!C30</f>
        <v>0.183</v>
      </c>
      <c r="E35" s="73">
        <f>[11]at13_covariate_exhaust!D30</f>
        <v>0.02</v>
      </c>
    </row>
    <row r="36" spans="1:10" ht="15" customHeight="1" thickBot="1">
      <c r="A36" s="70"/>
      <c r="B36" s="70"/>
      <c r="C36" s="71"/>
      <c r="D36" s="72" t="str">
        <f>CONCATENATE("(",[11]at13_covariate_exhaust!C31,")")</f>
        <v>(0.012)</v>
      </c>
      <c r="E36" s="191"/>
    </row>
    <row r="37" spans="1:10" ht="103.95" customHeight="1" thickTop="1">
      <c r="A37" s="307" t="s">
        <v>418</v>
      </c>
      <c r="B37" s="307"/>
      <c r="C37" s="307"/>
      <c r="D37" s="307"/>
      <c r="E37" s="325"/>
      <c r="J37" s="7"/>
    </row>
  </sheetData>
  <mergeCells count="3">
    <mergeCell ref="B2:B3"/>
    <mergeCell ref="A37:E37"/>
    <mergeCell ref="A1:E1"/>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view="pageBreakPreview" zoomScale="115" zoomScaleNormal="100" zoomScaleSheetLayoutView="115" workbookViewId="0">
      <selection activeCell="F6" sqref="F6"/>
    </sheetView>
  </sheetViews>
  <sheetFormatPr defaultColWidth="8.77734375" defaultRowHeight="13.2"/>
  <cols>
    <col min="1" max="1" width="30.77734375" style="2" customWidth="1"/>
    <col min="2" max="3" width="8.6640625" style="2" customWidth="1"/>
    <col min="4" max="4" width="1.33203125" style="2" customWidth="1"/>
    <col min="5" max="6" width="8.33203125" style="2" customWidth="1"/>
    <col min="7" max="7" width="1.109375" style="2" customWidth="1"/>
    <col min="8" max="9" width="8.33203125" style="2" customWidth="1"/>
    <col min="10" max="16384" width="8.77734375" style="2"/>
  </cols>
  <sheetData>
    <row r="1" spans="1:15" ht="13.8" thickBot="1">
      <c r="A1" s="306" t="s">
        <v>424</v>
      </c>
      <c r="B1" s="306"/>
      <c r="C1" s="306"/>
      <c r="D1" s="306"/>
      <c r="E1" s="306"/>
      <c r="F1" s="306"/>
      <c r="G1" s="306"/>
      <c r="H1" s="306"/>
      <c r="I1" s="306"/>
    </row>
    <row r="2" spans="1:15" ht="19.05" customHeight="1" thickTop="1">
      <c r="A2" s="14"/>
      <c r="B2" s="7"/>
      <c r="C2" s="7"/>
      <c r="D2" s="7"/>
      <c r="E2" s="326" t="s">
        <v>384</v>
      </c>
      <c r="F2" s="326"/>
      <c r="G2" s="326"/>
      <c r="H2" s="326"/>
      <c r="I2" s="326"/>
    </row>
    <row r="3" spans="1:15" ht="18" customHeight="1">
      <c r="C3" s="4"/>
      <c r="D3" s="4"/>
      <c r="E3" s="327" t="s">
        <v>173</v>
      </c>
      <c r="F3" s="327"/>
      <c r="G3" s="60"/>
      <c r="H3" s="327" t="s">
        <v>174</v>
      </c>
      <c r="I3" s="327"/>
    </row>
    <row r="4" spans="1:15" ht="63" customHeight="1">
      <c r="A4" s="7"/>
      <c r="B4" s="254" t="s">
        <v>175</v>
      </c>
      <c r="C4" s="254" t="s">
        <v>208</v>
      </c>
      <c r="D4" s="254"/>
      <c r="E4" s="254" t="s">
        <v>176</v>
      </c>
      <c r="F4" s="254" t="s">
        <v>177</v>
      </c>
      <c r="G4" s="252"/>
      <c r="H4" s="254" t="s">
        <v>176</v>
      </c>
      <c r="I4" s="254" t="s">
        <v>177</v>
      </c>
    </row>
    <row r="5" spans="1:15" ht="16.05" customHeight="1">
      <c r="A5" s="7"/>
      <c r="B5" s="6" t="s">
        <v>0</v>
      </c>
      <c r="C5" s="6" t="s">
        <v>12</v>
      </c>
      <c r="E5" s="6" t="s">
        <v>13</v>
      </c>
      <c r="F5" s="6" t="s">
        <v>14</v>
      </c>
      <c r="H5" s="6" t="s">
        <v>40</v>
      </c>
      <c r="I5" s="6" t="s">
        <v>41</v>
      </c>
    </row>
    <row r="6" spans="1:15">
      <c r="A6" s="2" t="s">
        <v>203</v>
      </c>
      <c r="B6" s="256">
        <v>1</v>
      </c>
      <c r="C6" s="26">
        <f>at8_path!C5</f>
        <v>2458.895</v>
      </c>
      <c r="D6" s="3"/>
      <c r="E6" s="284">
        <f>at8_path!D7</f>
        <v>-157.53</v>
      </c>
      <c r="F6" s="284">
        <f>E6</f>
        <v>-157.53</v>
      </c>
      <c r="G6" s="284"/>
      <c r="H6" s="258">
        <f>E6/$C6</f>
        <v>-6.4065362693404959E-2</v>
      </c>
      <c r="I6" s="258">
        <f t="shared" ref="H6:I9" si="0">F6/$C6</f>
        <v>-6.4065362693404959E-2</v>
      </c>
    </row>
    <row r="7" spans="1:15">
      <c r="A7" s="7" t="s">
        <v>204</v>
      </c>
      <c r="B7" s="256">
        <f>0.39*0.71</f>
        <v>0.27689999999999998</v>
      </c>
      <c r="C7" s="262">
        <f>[11]for_at9_at10_alt_pmt_chnl!$C$2</f>
        <v>1592.3014719600201</v>
      </c>
      <c r="D7" s="285"/>
      <c r="E7" s="284">
        <f>[11]for_at9_at10_alt_pmt_chnl!$C$4</f>
        <v>-34.884137419766397</v>
      </c>
      <c r="F7" s="284">
        <f>E7*B7</f>
        <v>-9.6594176515333139</v>
      </c>
      <c r="G7" s="3"/>
      <c r="H7" s="258">
        <f>E7/$C7</f>
        <v>-2.1907997972787328E-2</v>
      </c>
      <c r="I7" s="258">
        <f>F7/$C7</f>
        <v>-6.0663246386648099E-3</v>
      </c>
    </row>
    <row r="8" spans="1:15">
      <c r="A8" s="7" t="s">
        <v>205</v>
      </c>
      <c r="B8" s="286">
        <v>0.64</v>
      </c>
      <c r="C8" s="287">
        <v>989</v>
      </c>
      <c r="D8" s="284"/>
      <c r="E8" s="284">
        <f>at8_path!D23</f>
        <v>-14.44</v>
      </c>
      <c r="F8" s="284">
        <f>E8*B8</f>
        <v>-9.2416</v>
      </c>
      <c r="G8" s="3"/>
      <c r="H8" s="258">
        <f t="shared" si="0"/>
        <v>-1.4600606673407481E-2</v>
      </c>
      <c r="I8" s="258">
        <f t="shared" si="0"/>
        <v>-9.3443882709807885E-3</v>
      </c>
    </row>
    <row r="9" spans="1:15">
      <c r="A9" s="2" t="s">
        <v>206</v>
      </c>
      <c r="B9" s="256"/>
      <c r="C9" s="262">
        <f>SUMPRODUCT(B6:B7,C6:C7)</f>
        <v>2899.8032775857296</v>
      </c>
      <c r="D9" s="285"/>
      <c r="E9" s="284"/>
      <c r="F9" s="284">
        <f>SUM(F6:F7)</f>
        <v>-167.18941765153332</v>
      </c>
      <c r="G9" s="3"/>
      <c r="H9" s="258"/>
      <c r="I9" s="258">
        <f t="shared" si="0"/>
        <v>-5.7655434402684419E-2</v>
      </c>
    </row>
    <row r="10" spans="1:15" ht="13.8" thickBot="1">
      <c r="A10" s="2" t="s">
        <v>207</v>
      </c>
      <c r="B10" s="3"/>
      <c r="C10" s="26">
        <f>SUMPRODUCT(B6:B8,C6:C8)</f>
        <v>3532.7632775857296</v>
      </c>
      <c r="D10" s="3"/>
      <c r="E10" s="3"/>
      <c r="F10" s="284">
        <f>SUM(F6:F8)</f>
        <v>-176.43101765153332</v>
      </c>
      <c r="G10" s="3"/>
      <c r="H10" s="3"/>
      <c r="I10" s="258">
        <f>F10/$C10</f>
        <v>-4.9941364249037737E-2</v>
      </c>
    </row>
    <row r="11" spans="1:15" ht="307.95" customHeight="1" thickTop="1">
      <c r="A11" s="305" t="s">
        <v>385</v>
      </c>
      <c r="B11" s="305"/>
      <c r="C11" s="305"/>
      <c r="D11" s="305"/>
      <c r="E11" s="305"/>
      <c r="F11" s="305"/>
      <c r="G11" s="305"/>
      <c r="H11" s="305"/>
      <c r="I11" s="305"/>
      <c r="O11" s="7"/>
    </row>
    <row r="18" spans="1:1">
      <c r="A18" s="13"/>
    </row>
  </sheetData>
  <mergeCells count="5">
    <mergeCell ref="A1:I1"/>
    <mergeCell ref="E2:I2"/>
    <mergeCell ref="E3:F3"/>
    <mergeCell ref="H3:I3"/>
    <mergeCell ref="A11:I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view="pageBreakPreview" zoomScale="145" zoomScaleNormal="100" zoomScaleSheetLayoutView="145" workbookViewId="0">
      <selection activeCell="C2" sqref="C1:E1048576"/>
    </sheetView>
  </sheetViews>
  <sheetFormatPr defaultColWidth="8.77734375" defaultRowHeight="13.2"/>
  <cols>
    <col min="1" max="1" width="30.5546875" style="2" customWidth="1"/>
    <col min="2" max="2" width="7.33203125" style="2" customWidth="1"/>
    <col min="3" max="3" width="8.77734375" style="2" customWidth="1"/>
    <col min="4" max="4" width="1.33203125" style="2" customWidth="1"/>
    <col min="5" max="6" width="8" style="2" customWidth="1"/>
    <col min="7" max="7" width="1.109375" style="2" customWidth="1"/>
    <col min="8" max="9" width="8" style="2" customWidth="1"/>
    <col min="10" max="16384" width="8.77734375" style="2"/>
  </cols>
  <sheetData>
    <row r="1" spans="1:15" ht="13.8" thickBot="1">
      <c r="A1" s="306" t="s">
        <v>425</v>
      </c>
      <c r="B1" s="306"/>
      <c r="C1" s="306"/>
      <c r="D1" s="306"/>
      <c r="E1" s="306"/>
      <c r="F1" s="306"/>
      <c r="G1" s="306"/>
      <c r="H1" s="306"/>
      <c r="I1" s="306"/>
    </row>
    <row r="2" spans="1:15" ht="19.05" customHeight="1" thickTop="1">
      <c r="A2" s="14"/>
      <c r="B2" s="7"/>
      <c r="C2" s="7"/>
      <c r="D2" s="7"/>
      <c r="E2" s="326" t="s">
        <v>387</v>
      </c>
      <c r="F2" s="326"/>
      <c r="G2" s="326"/>
      <c r="H2" s="326"/>
      <c r="I2" s="326"/>
    </row>
    <row r="3" spans="1:15" ht="18" customHeight="1">
      <c r="C3" s="4"/>
      <c r="D3" s="4"/>
      <c r="E3" s="327" t="s">
        <v>173</v>
      </c>
      <c r="F3" s="327"/>
      <c r="G3" s="48"/>
      <c r="H3" s="327" t="s">
        <v>174</v>
      </c>
      <c r="I3" s="327"/>
    </row>
    <row r="4" spans="1:15" ht="63" customHeight="1">
      <c r="A4" s="7"/>
      <c r="B4" s="254" t="s">
        <v>175</v>
      </c>
      <c r="C4" s="254" t="s">
        <v>208</v>
      </c>
      <c r="D4" s="254"/>
      <c r="E4" s="254" t="s">
        <v>176</v>
      </c>
      <c r="F4" s="254" t="s">
        <v>177</v>
      </c>
      <c r="G4" s="252"/>
      <c r="H4" s="254" t="s">
        <v>176</v>
      </c>
      <c r="I4" s="254" t="s">
        <v>177</v>
      </c>
    </row>
    <row r="5" spans="1:15" ht="16.05" customHeight="1">
      <c r="A5" s="7"/>
      <c r="B5" s="6" t="s">
        <v>24</v>
      </c>
      <c r="C5" s="6" t="s">
        <v>12</v>
      </c>
      <c r="D5" s="3"/>
      <c r="E5" s="6" t="s">
        <v>178</v>
      </c>
      <c r="F5" s="6" t="s">
        <v>179</v>
      </c>
      <c r="G5" s="3"/>
      <c r="H5" s="6" t="s">
        <v>180</v>
      </c>
      <c r="I5" s="6" t="s">
        <v>181</v>
      </c>
    </row>
    <row r="6" spans="1:15">
      <c r="A6" s="2" t="s">
        <v>203</v>
      </c>
      <c r="B6" s="256">
        <v>1</v>
      </c>
      <c r="C6" s="26">
        <f>at8_path!C5</f>
        <v>2458.895</v>
      </c>
      <c r="D6" s="3"/>
      <c r="E6" s="284">
        <f>at8_path!F7</f>
        <v>-263.02</v>
      </c>
      <c r="F6" s="284">
        <f>E6</f>
        <v>-263.02</v>
      </c>
      <c r="G6" s="284"/>
      <c r="H6" s="258">
        <f>E6/$C6</f>
        <v>-0.10696674725842298</v>
      </c>
      <c r="I6" s="258">
        <f t="shared" ref="H6:I9" si="0">F6/$C6</f>
        <v>-0.10696674725842298</v>
      </c>
    </row>
    <row r="7" spans="1:15">
      <c r="A7" s="7" t="s">
        <v>204</v>
      </c>
      <c r="B7" s="256">
        <f>0.39*0.71</f>
        <v>0.27689999999999998</v>
      </c>
      <c r="C7" s="262">
        <f>[11]for_at9_at10_alt_pmt_chnl!C6</f>
        <v>1558.7201161279199</v>
      </c>
      <c r="D7" s="285"/>
      <c r="E7" s="284">
        <f>[11]for_at9_at10_alt_pmt_chnl!C8</f>
        <v>39.871504635689703</v>
      </c>
      <c r="F7" s="284">
        <f>E7*B7</f>
        <v>11.040419633622479</v>
      </c>
      <c r="G7" s="3"/>
      <c r="H7" s="258">
        <f>E7/$C7</f>
        <v>2.5579643338879934E-2</v>
      </c>
      <c r="I7" s="258">
        <f>F7/$C7</f>
        <v>7.0830032405358534E-3</v>
      </c>
    </row>
    <row r="8" spans="1:15">
      <c r="A8" s="7" t="s">
        <v>205</v>
      </c>
      <c r="B8" s="286">
        <v>0.64</v>
      </c>
      <c r="C8" s="287">
        <v>989</v>
      </c>
      <c r="D8" s="284"/>
      <c r="E8" s="284">
        <f>at8_path!F23</f>
        <v>-2.2599999999999998</v>
      </c>
      <c r="F8" s="284">
        <f>E8*B8</f>
        <v>-1.4463999999999999</v>
      </c>
      <c r="G8" s="3"/>
      <c r="H8" s="258">
        <f t="shared" si="0"/>
        <v>-2.2851365015166833E-3</v>
      </c>
      <c r="I8" s="258">
        <f t="shared" si="0"/>
        <v>-1.4624873609706773E-3</v>
      </c>
    </row>
    <row r="9" spans="1:15">
      <c r="A9" s="2" t="s">
        <v>206</v>
      </c>
      <c r="B9" s="256"/>
      <c r="C9" s="262">
        <f>SUMPRODUCT(B6:B7,C6:C7)</f>
        <v>2890.5046001558212</v>
      </c>
      <c r="D9" s="285"/>
      <c r="E9" s="284"/>
      <c r="F9" s="284">
        <f>SUM(F6:F7)</f>
        <v>-251.97958036637749</v>
      </c>
      <c r="G9" s="3"/>
      <c r="H9" s="258"/>
      <c r="I9" s="258">
        <f t="shared" si="0"/>
        <v>-8.7174945285606459E-2</v>
      </c>
    </row>
    <row r="10" spans="1:15" ht="13.8" thickBot="1">
      <c r="A10" s="2" t="s">
        <v>207</v>
      </c>
      <c r="B10" s="3"/>
      <c r="C10" s="26">
        <f>SUMPRODUCT(B6:B8,C6:C8)</f>
        <v>3523.4646001558212</v>
      </c>
      <c r="D10" s="3"/>
      <c r="E10" s="3"/>
      <c r="F10" s="284">
        <f>SUM(F6:F8)</f>
        <v>-253.4259803663775</v>
      </c>
      <c r="G10" s="3"/>
      <c r="H10" s="3"/>
      <c r="I10" s="258">
        <f>F10/$C10</f>
        <v>-7.1925223927372509E-2</v>
      </c>
    </row>
    <row r="11" spans="1:15" ht="319.05" customHeight="1" thickTop="1">
      <c r="A11" s="305" t="s">
        <v>386</v>
      </c>
      <c r="B11" s="305"/>
      <c r="C11" s="305"/>
      <c r="D11" s="305"/>
      <c r="E11" s="305"/>
      <c r="F11" s="305"/>
      <c r="G11" s="305"/>
      <c r="H11" s="305"/>
      <c r="I11" s="305"/>
      <c r="O11" s="7"/>
    </row>
    <row r="18" spans="1:1">
      <c r="A18" s="13"/>
    </row>
  </sheetData>
  <mergeCells count="5">
    <mergeCell ref="A11:I11"/>
    <mergeCell ref="E2:I2"/>
    <mergeCell ref="E3:F3"/>
    <mergeCell ref="H3:I3"/>
    <mergeCell ref="A1:I1"/>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zoomScale="115" zoomScaleNormal="115" workbookViewId="0">
      <selection activeCell="C2" sqref="C1:E1048576"/>
    </sheetView>
  </sheetViews>
  <sheetFormatPr defaultColWidth="8.77734375" defaultRowHeight="13.2"/>
  <cols>
    <col min="1" max="1" width="3.44140625" style="2" customWidth="1"/>
    <col min="2" max="2" width="11.77734375" style="2" customWidth="1"/>
    <col min="3" max="3" width="16.109375" style="2" customWidth="1"/>
    <col min="4" max="4" width="13.44140625" style="2" customWidth="1"/>
    <col min="5" max="5" width="17" style="2" customWidth="1"/>
    <col min="6" max="6" width="19" style="2" customWidth="1"/>
    <col min="7" max="16384" width="8.77734375" style="2"/>
  </cols>
  <sheetData>
    <row r="1" spans="1:12" ht="13.8" thickBot="1">
      <c r="A1" s="306" t="s">
        <v>426</v>
      </c>
      <c r="B1" s="306"/>
      <c r="C1" s="306"/>
      <c r="D1" s="306"/>
      <c r="E1" s="306"/>
      <c r="F1" s="306"/>
    </row>
    <row r="2" spans="1:12" ht="27" customHeight="1" thickTop="1">
      <c r="A2" s="14"/>
      <c r="B2" s="14"/>
      <c r="C2" s="7"/>
      <c r="D2" s="328" t="s">
        <v>408</v>
      </c>
      <c r="E2" s="328"/>
      <c r="F2" s="328"/>
    </row>
    <row r="3" spans="1:12" ht="28.8" customHeight="1">
      <c r="C3" s="4" t="s">
        <v>93</v>
      </c>
      <c r="D3" s="4" t="s">
        <v>302</v>
      </c>
      <c r="E3" s="4" t="s">
        <v>81</v>
      </c>
      <c r="F3" s="4" t="s">
        <v>301</v>
      </c>
    </row>
    <row r="4" spans="1:12">
      <c r="C4" s="6" t="s">
        <v>36</v>
      </c>
      <c r="D4" s="6" t="s">
        <v>37</v>
      </c>
      <c r="E4" s="6" t="s">
        <v>38</v>
      </c>
      <c r="F4" s="6" t="s">
        <v>39</v>
      </c>
    </row>
    <row r="5" spans="1:12">
      <c r="A5" s="20" t="s">
        <v>300</v>
      </c>
      <c r="C5" s="26">
        <f>[1]at11_prior_lit!$B$2</f>
        <v>2458.8950731794998</v>
      </c>
      <c r="D5" s="258">
        <f>[1]at11_prior_lit!$C$2</f>
        <v>-6.4113721638388493E-2</v>
      </c>
      <c r="E5" s="258">
        <f>[1]at11_prior_lit!$D$2</f>
        <v>-7.81855397287161E-2</v>
      </c>
      <c r="F5" s="258">
        <f>[1]at11_prior_lit!$E$2</f>
        <v>-6.8951078310537095E-2</v>
      </c>
    </row>
    <row r="6" spans="1:12" ht="16.2" thickBot="1">
      <c r="A6" s="1" t="s">
        <v>82</v>
      </c>
      <c r="C6" s="26">
        <f>[1]at11_prior_lit!$F$3</f>
        <v>521.75697255541797</v>
      </c>
      <c r="D6" s="258">
        <f>[1]at11_prior_lit!$G$3</f>
        <v>-6.2612639643428905E-2</v>
      </c>
      <c r="E6" s="258">
        <f>[1]at11_prior_lit!$D$3</f>
        <v>-4.87492522846582E-2</v>
      </c>
      <c r="F6" s="258">
        <f>[1]at11_prior_lit!$E$3</f>
        <v>-4.2779962895356898E-2</v>
      </c>
    </row>
    <row r="7" spans="1:12" ht="262.95" customHeight="1" thickTop="1">
      <c r="A7" s="305" t="s">
        <v>388</v>
      </c>
      <c r="B7" s="305"/>
      <c r="C7" s="305"/>
      <c r="D7" s="305"/>
      <c r="E7" s="305"/>
      <c r="F7" s="305"/>
      <c r="L7" s="7"/>
    </row>
    <row r="17" spans="1:2">
      <c r="A17" s="13"/>
      <c r="B17" s="13"/>
    </row>
  </sheetData>
  <mergeCells count="3">
    <mergeCell ref="A7:F7"/>
    <mergeCell ref="D2:F2"/>
    <mergeCell ref="A1:F1"/>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view="pageBreakPreview" zoomScale="115" zoomScaleNormal="100" zoomScaleSheetLayoutView="115" workbookViewId="0">
      <selection activeCell="C2" sqref="C1:E1048576"/>
    </sheetView>
  </sheetViews>
  <sheetFormatPr defaultColWidth="8.77734375" defaultRowHeight="13.2"/>
  <cols>
    <col min="1" max="1" width="12.6640625" style="2" customWidth="1"/>
    <col min="2" max="2" width="28.109375" style="2" customWidth="1"/>
    <col min="3" max="4" width="10.44140625" style="2" customWidth="1"/>
    <col min="5" max="6" width="11.44140625" style="2" customWidth="1"/>
    <col min="7" max="7" width="11.109375" style="2" customWidth="1"/>
    <col min="8" max="16384" width="8.77734375" style="2"/>
  </cols>
  <sheetData>
    <row r="1" spans="1:12" ht="13.8" thickBot="1">
      <c r="A1" s="306" t="s">
        <v>292</v>
      </c>
      <c r="B1" s="306"/>
      <c r="C1" s="306"/>
      <c r="D1" s="306"/>
      <c r="E1" s="306"/>
      <c r="F1" s="306"/>
    </row>
    <row r="2" spans="1:12" ht="48" customHeight="1" thickTop="1">
      <c r="A2" s="10" t="s">
        <v>212</v>
      </c>
      <c r="C2" s="4" t="s">
        <v>84</v>
      </c>
      <c r="D2" s="4" t="s">
        <v>106</v>
      </c>
      <c r="E2" s="4" t="s">
        <v>56</v>
      </c>
      <c r="F2" s="4" t="s">
        <v>220</v>
      </c>
      <c r="G2" s="28"/>
      <c r="H2" s="28"/>
      <c r="I2" s="28"/>
      <c r="J2" s="28"/>
    </row>
    <row r="3" spans="1:12" ht="15.6">
      <c r="A3" s="2" t="s">
        <v>222</v>
      </c>
      <c r="B3" s="75" t="s">
        <v>223</v>
      </c>
      <c r="C3" s="15" t="s">
        <v>24</v>
      </c>
      <c r="D3" s="6" t="s">
        <v>25</v>
      </c>
      <c r="E3" s="15" t="s">
        <v>57</v>
      </c>
      <c r="F3" s="15" t="s">
        <v>58</v>
      </c>
      <c r="G3" s="28"/>
      <c r="H3" s="28"/>
      <c r="I3" s="28"/>
      <c r="J3" s="28"/>
    </row>
    <row r="4" spans="1:12">
      <c r="A4" s="2" t="str">
        <f>[1]at14_onset_color!A2</f>
        <v>Other ND</v>
      </c>
      <c r="B4" s="2" t="str">
        <f>[1]at14_onset_color!B2</f>
        <v>Department Stores</v>
      </c>
      <c r="C4" s="3">
        <f>[1]at14_onset_color!C2</f>
        <v>20.7</v>
      </c>
      <c r="D4" s="3">
        <f>[1]at14_onset_color!D2</f>
        <v>17.8</v>
      </c>
      <c r="E4" s="3">
        <f>[1]at14_onset_color!E2</f>
        <v>-2.8</v>
      </c>
      <c r="F4" s="108">
        <f>[1]at14_onset_color!F2</f>
        <v>-0.13700000000000001</v>
      </c>
    </row>
    <row r="5" spans="1:12">
      <c r="A5" s="2" t="str">
        <f>[1]at14_onset_color!A3</f>
        <v>Other ND</v>
      </c>
      <c r="B5" s="2" t="str">
        <f>[1]at14_onset_color!B3</f>
        <v>Other Retail</v>
      </c>
      <c r="C5" s="3">
        <f>[1]at14_onset_color!C3</f>
        <v>156.80000000000001</v>
      </c>
      <c r="D5" s="3">
        <f>[1]at14_onset_color!D3</f>
        <v>140.30000000000001</v>
      </c>
      <c r="E5" s="3">
        <f>[1]at14_onset_color!E3</f>
        <v>-16.5</v>
      </c>
      <c r="F5" s="108">
        <f>[1]at14_onset_color!F3</f>
        <v>-0.105</v>
      </c>
    </row>
    <row r="6" spans="1:12">
      <c r="A6" s="2" t="str">
        <f>[1]at14_onset_color!A4</f>
        <v>Durable</v>
      </c>
      <c r="B6" s="2" t="str">
        <f>[1]at14_onset_color!B4</f>
        <v>Hotels &amp; Rental Cars</v>
      </c>
      <c r="C6" s="3">
        <f>[1]at14_onset_color!C4</f>
        <v>28.3</v>
      </c>
      <c r="D6" s="3">
        <f>[1]at14_onset_color!D4</f>
        <v>25.3</v>
      </c>
      <c r="E6" s="3">
        <f>[1]at14_onset_color!E4</f>
        <v>-3</v>
      </c>
      <c r="F6" s="108">
        <f>[1]at14_onset_color!F4</f>
        <v>-0.105</v>
      </c>
    </row>
    <row r="7" spans="1:12">
      <c r="A7" s="2" t="str">
        <f>[1]at14_onset_color!A5</f>
        <v>Strict ND</v>
      </c>
      <c r="B7" s="2" t="str">
        <f>[1]at14_onset_color!B5</f>
        <v>Flights</v>
      </c>
      <c r="C7" s="3">
        <f>[1]at14_onset_color!C5</f>
        <v>32.4</v>
      </c>
      <c r="D7" s="3">
        <f>[1]at14_onset_color!D5</f>
        <v>29.3</v>
      </c>
      <c r="E7" s="3">
        <f>[1]at14_onset_color!E5</f>
        <v>-3.2</v>
      </c>
      <c r="F7" s="108">
        <f>[1]at14_onset_color!F5</f>
        <v>-9.8000000000000004E-2</v>
      </c>
      <c r="L7" s="7"/>
    </row>
    <row r="8" spans="1:12">
      <c r="A8" s="2" t="str">
        <f>[1]at14_onset_color!A6</f>
        <v>Strict ND</v>
      </c>
      <c r="B8" s="2" t="str">
        <f>[1]at14_onset_color!B6</f>
        <v>Food Away From Home</v>
      </c>
      <c r="C8" s="3">
        <f>[1]at14_onset_color!C6</f>
        <v>215.5</v>
      </c>
      <c r="D8" s="3">
        <f>[1]at14_onset_color!D6</f>
        <v>194.7</v>
      </c>
      <c r="E8" s="3">
        <f>[1]at14_onset_color!E6</f>
        <v>-20.8</v>
      </c>
      <c r="F8" s="108">
        <f>[1]at14_onset_color!F6</f>
        <v>-9.6000000000000002E-2</v>
      </c>
    </row>
    <row r="9" spans="1:12">
      <c r="A9" s="7" t="str">
        <f>[1]at14_onset_color!A7</f>
        <v>Strict ND</v>
      </c>
      <c r="B9" s="2" t="str">
        <f>[1]at14_onset_color!B7</f>
        <v>Transportation</v>
      </c>
      <c r="C9" s="3">
        <f>[1]at14_onset_color!C7</f>
        <v>169.5</v>
      </c>
      <c r="D9" s="3">
        <f>[1]at14_onset_color!D7</f>
        <v>154.1</v>
      </c>
      <c r="E9" s="3">
        <f>[1]at14_onset_color!E7</f>
        <v>-15.5</v>
      </c>
      <c r="F9" s="108">
        <f>[1]at14_onset_color!F7</f>
        <v>-9.0999999999999998E-2</v>
      </c>
    </row>
    <row r="10" spans="1:12">
      <c r="A10" s="7" t="str">
        <f>[1]at14_onset_color!A8</f>
        <v>Nondurable</v>
      </c>
      <c r="B10" s="7" t="str">
        <f>[1]at14_onset_color!B8</f>
        <v>Cash</v>
      </c>
      <c r="C10" s="252">
        <f>[1]at14_onset_color!C8</f>
        <v>664.5</v>
      </c>
      <c r="D10" s="252">
        <f>[1]at14_onset_color!D8</f>
        <v>613.29999999999995</v>
      </c>
      <c r="E10" s="257">
        <f>[1]at14_onset_color!E8</f>
        <v>-51.1</v>
      </c>
      <c r="F10" s="258">
        <f>[1]at14_onset_color!F8</f>
        <v>-7.6999999999999999E-2</v>
      </c>
    </row>
    <row r="11" spans="1:12">
      <c r="A11" s="2" t="str">
        <f>[1]at14_onset_color!A9</f>
        <v>Other ND</v>
      </c>
      <c r="B11" s="2" t="str">
        <f>[1]at14_onset_color!B9</f>
        <v>Online</v>
      </c>
      <c r="C11" s="257">
        <f>[1]at14_onset_color!C9</f>
        <v>44</v>
      </c>
      <c r="D11" s="257">
        <f>[1]at14_onset_color!D9</f>
        <v>41.6</v>
      </c>
      <c r="E11" s="257">
        <f>[1]at14_onset_color!E9</f>
        <v>-2.4</v>
      </c>
      <c r="F11" s="258">
        <f>[1]at14_onset_color!F9</f>
        <v>-5.3999999999999999E-2</v>
      </c>
    </row>
    <row r="12" spans="1:12">
      <c r="A12" s="2" t="str">
        <f>[1]at14_onset_color!A10</f>
        <v>Other ND</v>
      </c>
      <c r="B12" s="2" t="str">
        <f>[1]at14_onset_color!B10</f>
        <v>Drug Stores</v>
      </c>
      <c r="C12" s="257">
        <f>[1]at14_onset_color!C10</f>
        <v>37</v>
      </c>
      <c r="D12" s="257">
        <f>[1]at14_onset_color!D10</f>
        <v>35.1</v>
      </c>
      <c r="E12" s="257">
        <f>[1]at14_onset_color!E10</f>
        <v>-2</v>
      </c>
      <c r="F12" s="258">
        <f>[1]at14_onset_color!F10</f>
        <v>-5.2999999999999999E-2</v>
      </c>
    </row>
    <row r="13" spans="1:12">
      <c r="A13" s="2" t="str">
        <f>[1]at14_onset_color!A11</f>
        <v>Durable</v>
      </c>
      <c r="B13" s="2" t="str">
        <f>[1]at14_onset_color!B11</f>
        <v>Entertainment</v>
      </c>
      <c r="C13" s="257">
        <f>[1]at14_onset_color!C11</f>
        <v>33.5</v>
      </c>
      <c r="D13" s="257">
        <f>[1]at14_onset_color!D11</f>
        <v>31.7</v>
      </c>
      <c r="E13" s="257">
        <f>[1]at14_onset_color!E11</f>
        <v>-1.8</v>
      </c>
      <c r="F13" s="258">
        <f>[1]at14_onset_color!F11</f>
        <v>-5.2999999999999999E-2</v>
      </c>
      <c r="J13" s="9"/>
    </row>
    <row r="14" spans="1:12">
      <c r="A14" s="7" t="str">
        <f>[1]at14_onset_color!A12</f>
        <v>Other ND</v>
      </c>
      <c r="B14" s="2" t="str">
        <f>[1]at14_onset_color!B12</f>
        <v>Discount Stores</v>
      </c>
      <c r="C14" s="257">
        <f>[1]at14_onset_color!C12</f>
        <v>59.5</v>
      </c>
      <c r="D14" s="257">
        <f>[1]at14_onset_color!D12</f>
        <v>56.9</v>
      </c>
      <c r="E14" s="257">
        <f>[1]at14_onset_color!E12</f>
        <v>-2.7</v>
      </c>
      <c r="F14" s="258">
        <f>[1]at14_onset_color!F12</f>
        <v>-4.4999999999999998E-2</v>
      </c>
    </row>
    <row r="15" spans="1:12">
      <c r="A15" s="2" t="str">
        <f>[1]at14_onset_color!A13</f>
        <v>Durable</v>
      </c>
      <c r="B15" s="2" t="str">
        <f>[1]at14_onset_color!B13</f>
        <v>Retail Durables</v>
      </c>
      <c r="C15" s="257">
        <f>[1]at14_onset_color!C13</f>
        <v>54.8</v>
      </c>
      <c r="D15" s="257">
        <f>[1]at14_onset_color!D13</f>
        <v>52.3</v>
      </c>
      <c r="E15" s="257">
        <f>[1]at14_onset_color!E13</f>
        <v>-2.5</v>
      </c>
      <c r="F15" s="258">
        <f>[1]at14_onset_color!F13</f>
        <v>-4.4999999999999998E-2</v>
      </c>
    </row>
    <row r="16" spans="1:12">
      <c r="A16" s="2" t="str">
        <f>[1]at14_onset_color!A14</f>
        <v>Durable</v>
      </c>
      <c r="B16" s="2" t="str">
        <f>[1]at14_onset_color!B14</f>
        <v>Home Improvement</v>
      </c>
      <c r="C16" s="257">
        <f>[1]at14_onset_color!C14</f>
        <v>47.7</v>
      </c>
      <c r="D16" s="257">
        <f>[1]at14_onset_color!D14</f>
        <v>45.8</v>
      </c>
      <c r="E16" s="257">
        <f>[1]at14_onset_color!E14</f>
        <v>-1.9</v>
      </c>
      <c r="F16" s="258">
        <f>[1]at14_onset_color!F14</f>
        <v>-0.04</v>
      </c>
    </row>
    <row r="17" spans="1:6">
      <c r="A17" s="2" t="str">
        <f>[1]at14_onset_color!A15</f>
        <v>Strict ND</v>
      </c>
      <c r="B17" s="2" t="str">
        <f>[1]at14_onset_color!B15</f>
        <v>Professional &amp; Personal Services</v>
      </c>
      <c r="C17" s="257">
        <f>[1]at14_onset_color!C15</f>
        <v>58</v>
      </c>
      <c r="D17" s="257">
        <f>[1]at14_onset_color!D15</f>
        <v>55.7</v>
      </c>
      <c r="E17" s="257">
        <f>[1]at14_onset_color!E15</f>
        <v>-2.2999999999999998</v>
      </c>
      <c r="F17" s="258">
        <f>[1]at14_onset_color!F15</f>
        <v>-0.04</v>
      </c>
    </row>
    <row r="18" spans="1:6">
      <c r="A18" s="7" t="str">
        <f>[1]at14_onset_color!A16</f>
        <v>Durable</v>
      </c>
      <c r="B18" s="7" t="str">
        <f>[1]at14_onset_color!B16</f>
        <v>Auto Repair</v>
      </c>
      <c r="C18" s="252">
        <f>[1]at14_onset_color!C16</f>
        <v>45.1</v>
      </c>
      <c r="D18" s="252">
        <f>[1]at14_onset_color!D16</f>
        <v>43.3</v>
      </c>
      <c r="E18" s="257">
        <f>[1]at14_onset_color!E16</f>
        <v>-1.8</v>
      </c>
      <c r="F18" s="258">
        <f>[1]at14_onset_color!F16</f>
        <v>-3.9E-2</v>
      </c>
    </row>
    <row r="19" spans="1:6">
      <c r="A19" s="2" t="str">
        <f>[1]at14_onset_color!A17</f>
        <v>Strict ND</v>
      </c>
      <c r="B19" s="2" t="str">
        <f>[1]at14_onset_color!B17</f>
        <v>Groceries</v>
      </c>
      <c r="C19" s="257">
        <f>[1]at14_onset_color!C17</f>
        <v>320.8</v>
      </c>
      <c r="D19" s="257">
        <f>[1]at14_onset_color!D17</f>
        <v>309</v>
      </c>
      <c r="E19" s="257">
        <f>[1]at14_onset_color!E17</f>
        <v>-11.9</v>
      </c>
      <c r="F19" s="258">
        <f>[1]at14_onset_color!F17</f>
        <v>-3.6999999999999998E-2</v>
      </c>
    </row>
    <row r="20" spans="1:6">
      <c r="A20" s="2" t="str">
        <f>[1]at14_onset_color!A18</f>
        <v>Strict ND</v>
      </c>
      <c r="B20" s="2" t="str">
        <f>[1]at14_onset_color!B18</f>
        <v>Telecom</v>
      </c>
      <c r="C20" s="257">
        <f>[1]at14_onset_color!C18</f>
        <v>113.3</v>
      </c>
      <c r="D20" s="257">
        <f>[1]at14_onset_color!D18</f>
        <v>111.1</v>
      </c>
      <c r="E20" s="257">
        <f>[1]at14_onset_color!E18</f>
        <v>-2.2000000000000002</v>
      </c>
      <c r="F20" s="258">
        <f>[1]at14_onset_color!F18</f>
        <v>-1.9E-2</v>
      </c>
    </row>
    <row r="21" spans="1:6">
      <c r="A21" s="2" t="str">
        <f>[1]at14_onset_color!A19</f>
        <v>Strict ND</v>
      </c>
      <c r="B21" s="2" t="str">
        <f>[1]at14_onset_color!B19</f>
        <v>Utilities</v>
      </c>
      <c r="C21" s="257">
        <f>[1]at14_onset_color!C19</f>
        <v>177.5</v>
      </c>
      <c r="D21" s="257">
        <f>[1]at14_onset_color!D19</f>
        <v>175.5</v>
      </c>
      <c r="E21" s="257">
        <f>[1]at14_onset_color!E19</f>
        <v>-2</v>
      </c>
      <c r="F21" s="258">
        <f>[1]at14_onset_color!F19</f>
        <v>-1.0999999999999999E-2</v>
      </c>
    </row>
    <row r="22" spans="1:6">
      <c r="A22" s="2" t="str">
        <f>[1]at14_onset_color!A20</f>
        <v>Nondurable</v>
      </c>
      <c r="B22" s="2" t="str">
        <f>[1]at14_onset_color!B20</f>
        <v>Miscellaneous Nondurables</v>
      </c>
      <c r="C22" s="257">
        <f>[1]at14_onset_color!C20</f>
        <v>280.5</v>
      </c>
      <c r="D22" s="257">
        <f>[1]at14_onset_color!D20</f>
        <v>277.8</v>
      </c>
      <c r="E22" s="257">
        <f>[1]at14_onset_color!E20</f>
        <v>-2.7</v>
      </c>
      <c r="F22" s="258">
        <f>[1]at14_onset_color!F20</f>
        <v>-0.01</v>
      </c>
    </row>
    <row r="23" spans="1:6">
      <c r="A23" s="7" t="str">
        <f>[1]at14_onset_color!A21</f>
        <v>Durable</v>
      </c>
      <c r="B23" s="2" t="str">
        <f>[1]at14_onset_color!B21</f>
        <v>Insurance</v>
      </c>
      <c r="C23" s="257">
        <f>[1]at14_onset_color!C21</f>
        <v>148.4</v>
      </c>
      <c r="D23" s="257">
        <f>[1]at14_onset_color!D21</f>
        <v>147.19999999999999</v>
      </c>
      <c r="E23" s="257">
        <f>[1]at14_onset_color!E21</f>
        <v>-1.3</v>
      </c>
      <c r="F23" s="258">
        <f>[1]at14_onset_color!F21</f>
        <v>-8.9999999999999993E-3</v>
      </c>
    </row>
    <row r="24" spans="1:6">
      <c r="A24" s="7" t="str">
        <f>[1]at14_onset_color!A22</f>
        <v>Durable</v>
      </c>
      <c r="B24" s="7" t="str">
        <f>[1]at14_onset_color!B22</f>
        <v>Miscellaneous Durables</v>
      </c>
      <c r="C24" s="252">
        <f>[1]at14_onset_color!C22</f>
        <v>29.2</v>
      </c>
      <c r="D24" s="252">
        <f>[1]at14_onset_color!D22</f>
        <v>29.4</v>
      </c>
      <c r="E24" s="257">
        <f>[1]at14_onset_color!E22</f>
        <v>0.2</v>
      </c>
      <c r="F24" s="258">
        <f>[1]at14_onset_color!F22</f>
        <v>5.0000000000000001E-3</v>
      </c>
    </row>
    <row r="25" spans="1:6">
      <c r="A25" s="30" t="str">
        <f>[1]at14_onset_color!A23</f>
        <v>Other ND</v>
      </c>
      <c r="B25" s="30" t="str">
        <f>[1]at14_onset_color!B23</f>
        <v>Medical Copay</v>
      </c>
      <c r="C25" s="288">
        <f>[1]at14_onset_color!C23</f>
        <v>35</v>
      </c>
      <c r="D25" s="288">
        <f>[1]at14_onset_color!D23</f>
        <v>36.6</v>
      </c>
      <c r="E25" s="288">
        <f>[1]at14_onset_color!E23</f>
        <v>1.6</v>
      </c>
      <c r="F25" s="289">
        <f>[1]at14_onset_color!F23</f>
        <v>4.3999999999999997E-2</v>
      </c>
    </row>
    <row r="26" spans="1:6">
      <c r="A26" s="14" t="s">
        <v>213</v>
      </c>
      <c r="C26" s="257"/>
      <c r="D26" s="257"/>
      <c r="E26" s="257"/>
      <c r="F26" s="258"/>
    </row>
    <row r="27" spans="1:6">
      <c r="B27" s="2" t="str">
        <f>[1]at14_onset_color!B24</f>
        <v>Non-Chase Credit Card Bill</v>
      </c>
      <c r="C27" s="257">
        <f>[1]at14_onset_color!C24</f>
        <v>382.8</v>
      </c>
      <c r="D27" s="257">
        <f>[1]at14_onset_color!D24</f>
        <v>364.9</v>
      </c>
      <c r="E27" s="257">
        <f>[1]at14_onset_color!E24</f>
        <v>-18</v>
      </c>
      <c r="F27" s="258">
        <f>[1]at14_onset_color!F24</f>
        <v>-4.7E-2</v>
      </c>
    </row>
    <row r="28" spans="1:6">
      <c r="B28" s="2" t="str">
        <f>[1]at14_onset_color!B25</f>
        <v>Uncategorizable Electronic</v>
      </c>
      <c r="C28" s="257">
        <f>[1]at14_onset_color!C25</f>
        <v>589.1</v>
      </c>
      <c r="D28" s="257">
        <f>[1]at14_onset_color!D25</f>
        <v>571.20000000000005</v>
      </c>
      <c r="E28" s="257">
        <f>[1]at14_onset_color!E25</f>
        <v>-17.899999999999999</v>
      </c>
      <c r="F28" s="258">
        <f>[1]at14_onset_color!F25</f>
        <v>-0.03</v>
      </c>
    </row>
    <row r="29" spans="1:6">
      <c r="B29" s="2" t="str">
        <f>[1]at14_onset_color!B26</f>
        <v>Installment Debt</v>
      </c>
      <c r="C29" s="257">
        <f>[1]at14_onset_color!C26</f>
        <v>379.4</v>
      </c>
      <c r="D29" s="257">
        <f>[1]at14_onset_color!D26</f>
        <v>374.5</v>
      </c>
      <c r="E29" s="257">
        <f>[1]at14_onset_color!E26</f>
        <v>-4.9000000000000004</v>
      </c>
      <c r="F29" s="258">
        <f>[1]at14_onset_color!F26</f>
        <v>-1.2999999999999999E-2</v>
      </c>
    </row>
    <row r="30" spans="1:6">
      <c r="B30" s="2" t="str">
        <f>[1]at14_onset_color!B27</f>
        <v>Paper Checks</v>
      </c>
      <c r="C30" s="257">
        <f>[1]at14_onset_color!C27</f>
        <v>985.6</v>
      </c>
      <c r="D30" s="257">
        <f>[1]at14_onset_color!D27</f>
        <v>987.1</v>
      </c>
      <c r="E30" s="257">
        <f>[1]at14_onset_color!E27</f>
        <v>1.4</v>
      </c>
      <c r="F30" s="258">
        <f>[1]at14_onset_color!F27</f>
        <v>1E-3</v>
      </c>
    </row>
    <row r="31" spans="1:6" ht="13.8" thickBot="1">
      <c r="A31" s="1"/>
      <c r="B31" s="1" t="str">
        <f>[1]at14_onset_color!B28</f>
        <v>Transfer to External Account</v>
      </c>
      <c r="C31" s="260">
        <f>[1]at14_onset_color!C28</f>
        <v>353.8</v>
      </c>
      <c r="D31" s="260">
        <f>[1]at14_onset_color!D28</f>
        <v>366</v>
      </c>
      <c r="E31" s="260">
        <f>[1]at14_onset_color!E28</f>
        <v>12.2</v>
      </c>
      <c r="F31" s="261">
        <f>[1]at14_onset_color!F28</f>
        <v>3.4000000000000002E-2</v>
      </c>
    </row>
    <row r="32" spans="1:6" ht="117" customHeight="1" thickTop="1">
      <c r="A32" s="313" t="s">
        <v>409</v>
      </c>
      <c r="B32" s="313"/>
      <c r="C32" s="313"/>
      <c r="D32" s="313"/>
      <c r="E32" s="313"/>
      <c r="F32" s="313"/>
    </row>
    <row r="33" spans="3:6">
      <c r="C33" s="74">
        <f>SUM(C4:C25)</f>
        <v>2772</v>
      </c>
    </row>
    <row r="34" spans="3:6">
      <c r="C34" s="23"/>
    </row>
    <row r="35" spans="3:6">
      <c r="C35" s="23"/>
      <c r="D35" s="23"/>
      <c r="E35" s="23"/>
      <c r="F35" s="16"/>
    </row>
  </sheetData>
  <sortState ref="B27:F31">
    <sortCondition ref="F27:F31"/>
  </sortState>
  <mergeCells count="2">
    <mergeCell ref="A1:F1"/>
    <mergeCell ref="A32:F32"/>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10"/>
  <sheetViews>
    <sheetView workbookViewId="0">
      <selection activeCell="C2" sqref="C1:E1048576"/>
    </sheetView>
  </sheetViews>
  <sheetFormatPr defaultColWidth="8.77734375" defaultRowHeight="14.4"/>
  <cols>
    <col min="1" max="1" width="10.44140625" style="49" customWidth="1"/>
    <col min="2" max="2" width="29" style="49" customWidth="1"/>
    <col min="3" max="3" width="10.33203125" style="49" customWidth="1"/>
    <col min="4" max="4" width="20.44140625" style="49" customWidth="1"/>
    <col min="5" max="16384" width="8.77734375" style="49"/>
  </cols>
  <sheetData>
    <row r="1" spans="2:5" ht="17.55" customHeight="1" thickBot="1">
      <c r="B1" s="329" t="s">
        <v>303</v>
      </c>
      <c r="C1" s="329"/>
      <c r="D1" s="329"/>
    </row>
    <row r="2" spans="2:5" ht="19.05" customHeight="1" thickTop="1">
      <c r="B2" s="112" t="s">
        <v>10</v>
      </c>
      <c r="C2" s="112" t="s">
        <v>281</v>
      </c>
      <c r="D2" s="112" t="s">
        <v>336</v>
      </c>
    </row>
    <row r="3" spans="2:5" ht="15" customHeight="1">
      <c r="B3" s="109" t="s">
        <v>192</v>
      </c>
      <c r="C3" s="109">
        <v>1</v>
      </c>
      <c r="D3" s="195" t="s">
        <v>67</v>
      </c>
    </row>
    <row r="4" spans="2:5" ht="15" customHeight="1">
      <c r="B4" s="109" t="s">
        <v>280</v>
      </c>
      <c r="C4" s="109">
        <v>0.83</v>
      </c>
      <c r="D4" s="195" t="s">
        <v>67</v>
      </c>
    </row>
    <row r="5" spans="2:5" ht="15" customHeight="1">
      <c r="B5" s="109" t="s">
        <v>193</v>
      </c>
      <c r="C5" s="109">
        <v>0.54</v>
      </c>
      <c r="D5" s="195" t="s">
        <v>67</v>
      </c>
    </row>
    <row r="6" spans="2:5" ht="15" customHeight="1">
      <c r="B6" s="109" t="s">
        <v>293</v>
      </c>
      <c r="C6" s="109">
        <v>0.66</v>
      </c>
      <c r="D6" s="195" t="s">
        <v>337</v>
      </c>
    </row>
    <row r="7" spans="2:5" ht="16.95" customHeight="1">
      <c r="B7" s="109" t="s">
        <v>279</v>
      </c>
      <c r="C7" s="109">
        <v>1.0024999999999999</v>
      </c>
      <c r="D7" s="195" t="s">
        <v>339</v>
      </c>
      <c r="E7" s="194"/>
    </row>
    <row r="8" spans="2:5" ht="15" customHeight="1">
      <c r="B8" s="109" t="s">
        <v>278</v>
      </c>
      <c r="C8" s="109">
        <v>3.2500000000000001E-2</v>
      </c>
      <c r="D8" s="195" t="s">
        <v>340</v>
      </c>
      <c r="E8" s="194"/>
    </row>
    <row r="9" spans="2:5" ht="16.95" customHeight="1" thickBot="1">
      <c r="B9" s="110" t="s">
        <v>338</v>
      </c>
      <c r="C9" s="110">
        <v>240</v>
      </c>
    </row>
    <row r="10" spans="2:5" ht="247.95" customHeight="1" thickTop="1">
      <c r="B10" s="330" t="s">
        <v>410</v>
      </c>
      <c r="C10" s="330"/>
      <c r="D10" s="330"/>
    </row>
  </sheetData>
  <mergeCells count="2">
    <mergeCell ref="B1:D1"/>
    <mergeCell ref="B10: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topLeftCell="A7" zoomScaleNormal="100" zoomScaleSheetLayoutView="100" workbookViewId="0">
      <selection activeCell="A33" sqref="A33:G33"/>
    </sheetView>
  </sheetViews>
  <sheetFormatPr defaultColWidth="8.77734375" defaultRowHeight="13.2"/>
  <cols>
    <col min="1" max="1" width="10" style="2" customWidth="1"/>
    <col min="2" max="2" width="28.6640625" style="2" customWidth="1"/>
    <col min="3" max="3" width="7" style="2" customWidth="1"/>
    <col min="4" max="4" width="10.109375" style="2" customWidth="1"/>
    <col min="5" max="6" width="11" style="2" customWidth="1"/>
    <col min="7" max="7" width="12.77734375" style="2" customWidth="1"/>
    <col min="8" max="16384" width="8.77734375" style="2"/>
  </cols>
  <sheetData>
    <row r="1" spans="1:13" ht="13.8" thickBot="1">
      <c r="A1" s="306" t="s">
        <v>366</v>
      </c>
      <c r="B1" s="306"/>
      <c r="C1" s="306"/>
      <c r="D1" s="306"/>
      <c r="E1" s="306"/>
      <c r="F1" s="306"/>
      <c r="G1" s="306"/>
    </row>
    <row r="2" spans="1:13" ht="48" customHeight="1" thickTop="1">
      <c r="C2" s="4" t="s">
        <v>48</v>
      </c>
      <c r="D2" s="4" t="s">
        <v>111</v>
      </c>
      <c r="E2" s="4" t="s">
        <v>112</v>
      </c>
      <c r="F2" s="4" t="s">
        <v>113</v>
      </c>
      <c r="G2" s="4" t="s">
        <v>215</v>
      </c>
      <c r="H2" s="5"/>
      <c r="I2" s="5"/>
      <c r="J2" s="5"/>
      <c r="K2" s="5"/>
    </row>
    <row r="3" spans="1:13" ht="18" customHeight="1">
      <c r="A3" s="10" t="s">
        <v>212</v>
      </c>
      <c r="C3" s="4" t="s">
        <v>109</v>
      </c>
      <c r="D3" s="4" t="s">
        <v>109</v>
      </c>
      <c r="E3" s="4" t="s">
        <v>109</v>
      </c>
      <c r="F3" s="4" t="s">
        <v>109</v>
      </c>
      <c r="G3" s="4" t="s">
        <v>110</v>
      </c>
      <c r="H3" s="29"/>
      <c r="I3" s="29"/>
      <c r="J3" s="29"/>
      <c r="K3" s="29"/>
    </row>
    <row r="4" spans="1:13" ht="15.6">
      <c r="A4" s="2" t="s">
        <v>222</v>
      </c>
      <c r="B4" s="75" t="s">
        <v>223</v>
      </c>
      <c r="C4" s="15" t="s">
        <v>24</v>
      </c>
      <c r="D4" s="6" t="s">
        <v>25</v>
      </c>
      <c r="E4" s="6" t="s">
        <v>26</v>
      </c>
      <c r="F4" s="15" t="s">
        <v>14</v>
      </c>
      <c r="G4" s="15" t="s">
        <v>53</v>
      </c>
      <c r="H4" s="5"/>
      <c r="I4" s="5"/>
      <c r="J4" s="5"/>
      <c r="K4" s="5"/>
    </row>
    <row r="5" spans="1:13">
      <c r="A5" s="2" t="str">
        <f>[1]t2_exhaust_color!A2</f>
        <v>Durable</v>
      </c>
      <c r="B5" s="76" t="str">
        <f>[1]t2_exhaust_color!B2</f>
        <v>Home Improvement</v>
      </c>
      <c r="C5" s="257">
        <f>[1]t2_exhaust_color!C2</f>
        <v>48.7</v>
      </c>
      <c r="D5" s="257">
        <f>[1]t2_exhaust_color!D2</f>
        <v>46.5</v>
      </c>
      <c r="E5" s="257">
        <f>[1]t2_exhaust_color!E2</f>
        <v>37.200000000000003</v>
      </c>
      <c r="F5" s="257">
        <f>[1]t2_exhaust_color!F2</f>
        <v>-9.4</v>
      </c>
      <c r="G5" s="258">
        <f>[1]t2_exhaust_color!G2</f>
        <v>-0.20200000000000001</v>
      </c>
    </row>
    <row r="6" spans="1:13">
      <c r="A6" s="2" t="str">
        <f>[1]t2_exhaust_color!A3</f>
        <v>Other ND</v>
      </c>
      <c r="B6" s="76" t="str">
        <f>[1]t2_exhaust_color!B3</f>
        <v>Discount Stores</v>
      </c>
      <c r="C6" s="257">
        <f>[1]t2_exhaust_color!C3</f>
        <v>57.7</v>
      </c>
      <c r="D6" s="257">
        <f>[1]t2_exhaust_color!D3</f>
        <v>58.1</v>
      </c>
      <c r="E6" s="257">
        <f>[1]t2_exhaust_color!E3</f>
        <v>47.1</v>
      </c>
      <c r="F6" s="257">
        <f>[1]t2_exhaust_color!F3</f>
        <v>-11</v>
      </c>
      <c r="G6" s="258">
        <f>[1]t2_exhaust_color!G3</f>
        <v>-0.189</v>
      </c>
    </row>
    <row r="7" spans="1:13">
      <c r="A7" s="2" t="str">
        <f>[1]t2_exhaust_color!A4</f>
        <v>Other ND</v>
      </c>
      <c r="B7" s="76" t="str">
        <f>[1]t2_exhaust_color!B4</f>
        <v>Department Stores</v>
      </c>
      <c r="C7" s="257">
        <f>[1]t2_exhaust_color!C4</f>
        <v>19.399999999999999</v>
      </c>
      <c r="D7" s="257">
        <f>[1]t2_exhaust_color!D4</f>
        <v>16.5</v>
      </c>
      <c r="E7" s="257">
        <f>[1]t2_exhaust_color!E4</f>
        <v>13.6</v>
      </c>
      <c r="F7" s="257">
        <f>[1]t2_exhaust_color!F4</f>
        <v>-2.9</v>
      </c>
      <c r="G7" s="258">
        <f>[1]t2_exhaust_color!G4</f>
        <v>-0.17699999999999999</v>
      </c>
    </row>
    <row r="8" spans="1:13">
      <c r="A8" s="2" t="str">
        <f>[1]t2_exhaust_color!A5</f>
        <v>Durable</v>
      </c>
      <c r="B8" s="76" t="str">
        <f>[1]t2_exhaust_color!B5</f>
        <v>Miscellaneous Durables</v>
      </c>
      <c r="C8" s="257">
        <f>[1]t2_exhaust_color!C5</f>
        <v>27.1</v>
      </c>
      <c r="D8" s="257">
        <f>[1]t2_exhaust_color!D5</f>
        <v>26.3</v>
      </c>
      <c r="E8" s="257">
        <f>[1]t2_exhaust_color!E5</f>
        <v>21.8</v>
      </c>
      <c r="F8" s="257">
        <f>[1]t2_exhaust_color!F5</f>
        <v>-4.5</v>
      </c>
      <c r="G8" s="258">
        <f>[1]t2_exhaust_color!G5</f>
        <v>-0.17100000000000001</v>
      </c>
      <c r="M8" s="7"/>
    </row>
    <row r="9" spans="1:13">
      <c r="A9" s="2" t="str">
        <f>[1]t2_exhaust_color!A6</f>
        <v>Other ND</v>
      </c>
      <c r="B9" s="76" t="str">
        <f>[1]t2_exhaust_color!B6</f>
        <v>Other Retail</v>
      </c>
      <c r="C9" s="257">
        <f>[1]t2_exhaust_color!C6</f>
        <v>148</v>
      </c>
      <c r="D9" s="257">
        <f>[1]t2_exhaust_color!D6</f>
        <v>137</v>
      </c>
      <c r="E9" s="257">
        <f>[1]t2_exhaust_color!E6</f>
        <v>114.4</v>
      </c>
      <c r="F9" s="257">
        <f>[1]t2_exhaust_color!F6</f>
        <v>-22.6</v>
      </c>
      <c r="G9" s="258">
        <f>[1]t2_exhaust_color!G6</f>
        <v>-0.16500000000000001</v>
      </c>
      <c r="M9" s="7"/>
    </row>
    <row r="10" spans="1:13">
      <c r="A10" s="2" t="str">
        <f>[1]t2_exhaust_color!A7</f>
        <v>Strict ND</v>
      </c>
      <c r="B10" s="76" t="str">
        <f>[1]t2_exhaust_color!B7</f>
        <v>Food Away From Home</v>
      </c>
      <c r="C10" s="257">
        <f>[1]t2_exhaust_color!C7</f>
        <v>193.4</v>
      </c>
      <c r="D10" s="257">
        <f>[1]t2_exhaust_color!D7</f>
        <v>164.3</v>
      </c>
      <c r="E10" s="257">
        <f>[1]t2_exhaust_color!E7</f>
        <v>138.19999999999999</v>
      </c>
      <c r="F10" s="257">
        <f>[1]t2_exhaust_color!F7</f>
        <v>-26.1</v>
      </c>
      <c r="G10" s="258">
        <f>[1]t2_exhaust_color!G7</f>
        <v>-0.159</v>
      </c>
    </row>
    <row r="11" spans="1:13">
      <c r="A11" s="2" t="str">
        <f>[1]t2_exhaust_color!A8</f>
        <v>Strict ND</v>
      </c>
      <c r="B11" s="76" t="str">
        <f>[1]t2_exhaust_color!B8</f>
        <v>Groceries</v>
      </c>
      <c r="C11" s="257">
        <f>[1]t2_exhaust_color!C8</f>
        <v>302.3</v>
      </c>
      <c r="D11" s="257">
        <f>[1]t2_exhaust_color!D8</f>
        <v>293.7</v>
      </c>
      <c r="E11" s="257">
        <f>[1]t2_exhaust_color!E8</f>
        <v>247.4</v>
      </c>
      <c r="F11" s="257">
        <f>[1]t2_exhaust_color!F8</f>
        <v>-46.3</v>
      </c>
      <c r="G11" s="258">
        <f>[1]t2_exhaust_color!G8</f>
        <v>-0.158</v>
      </c>
    </row>
    <row r="12" spans="1:13">
      <c r="A12" s="2" t="str">
        <f>[1]t2_exhaust_color!A9</f>
        <v>Other ND</v>
      </c>
      <c r="B12" s="76" t="str">
        <f>[1]t2_exhaust_color!B9</f>
        <v>Drug Stores</v>
      </c>
      <c r="C12" s="257">
        <f>[1]t2_exhaust_color!C9</f>
        <v>39.5</v>
      </c>
      <c r="D12" s="257">
        <f>[1]t2_exhaust_color!D9</f>
        <v>35.4</v>
      </c>
      <c r="E12" s="257">
        <f>[1]t2_exhaust_color!E9</f>
        <v>30</v>
      </c>
      <c r="F12" s="257">
        <f>[1]t2_exhaust_color!F9</f>
        <v>-5.4</v>
      </c>
      <c r="G12" s="258">
        <f>[1]t2_exhaust_color!G9</f>
        <v>-0.153</v>
      </c>
    </row>
    <row r="13" spans="1:13">
      <c r="A13" s="2" t="str">
        <f>[1]t2_exhaust_color!A10</f>
        <v>Durable</v>
      </c>
      <c r="B13" s="76" t="str">
        <f>[1]t2_exhaust_color!B10</f>
        <v>Retail Durables</v>
      </c>
      <c r="C13" s="257">
        <f>[1]t2_exhaust_color!C10</f>
        <v>48.3</v>
      </c>
      <c r="D13" s="257">
        <f>[1]t2_exhaust_color!D10</f>
        <v>43.3</v>
      </c>
      <c r="E13" s="257">
        <f>[1]t2_exhaust_color!E10</f>
        <v>36.700000000000003</v>
      </c>
      <c r="F13" s="257">
        <f>[1]t2_exhaust_color!F10</f>
        <v>-6.6</v>
      </c>
      <c r="G13" s="258">
        <f>[1]t2_exhaust_color!G10</f>
        <v>-0.153</v>
      </c>
    </row>
    <row r="14" spans="1:13">
      <c r="A14" s="2" t="str">
        <f>[1]t2_exhaust_color!A11</f>
        <v>Nondurable</v>
      </c>
      <c r="B14" s="76" t="str">
        <f>[1]t2_exhaust_color!B11</f>
        <v>Cash</v>
      </c>
      <c r="C14" s="257">
        <f>[1]t2_exhaust_color!C11</f>
        <v>703.7</v>
      </c>
      <c r="D14" s="257">
        <f>[1]t2_exhaust_color!D11</f>
        <v>584.1</v>
      </c>
      <c r="E14" s="257">
        <f>[1]t2_exhaust_color!E11</f>
        <v>495.9</v>
      </c>
      <c r="F14" s="257">
        <f>[1]t2_exhaust_color!F11</f>
        <v>-88.2</v>
      </c>
      <c r="G14" s="258">
        <f>[1]t2_exhaust_color!G11</f>
        <v>-0.151</v>
      </c>
      <c r="I14" s="23"/>
    </row>
    <row r="15" spans="1:13">
      <c r="A15" s="2" t="str">
        <f>[1]t2_exhaust_color!A12</f>
        <v>Other ND</v>
      </c>
      <c r="B15" s="76" t="str">
        <f>[1]t2_exhaust_color!B12</f>
        <v>Medical Copay</v>
      </c>
      <c r="C15" s="257">
        <f>[1]t2_exhaust_color!C12</f>
        <v>35.4</v>
      </c>
      <c r="D15" s="257">
        <f>[1]t2_exhaust_color!D12</f>
        <v>29.3</v>
      </c>
      <c r="E15" s="257">
        <f>[1]t2_exhaust_color!E12</f>
        <v>25.3</v>
      </c>
      <c r="F15" s="257">
        <f>[1]t2_exhaust_color!F12</f>
        <v>-4</v>
      </c>
      <c r="G15" s="258">
        <f>[1]t2_exhaust_color!G12</f>
        <v>-0.13600000000000001</v>
      </c>
    </row>
    <row r="16" spans="1:13">
      <c r="A16" s="2" t="str">
        <f>[1]t2_exhaust_color!A13</f>
        <v>Durable</v>
      </c>
      <c r="B16" s="76" t="str">
        <f>[1]t2_exhaust_color!B13</f>
        <v>Entertainment</v>
      </c>
      <c r="C16" s="257">
        <f>[1]t2_exhaust_color!C13</f>
        <v>29.4</v>
      </c>
      <c r="D16" s="257">
        <f>[1]t2_exhaust_color!D13</f>
        <v>27</v>
      </c>
      <c r="E16" s="257">
        <f>[1]t2_exhaust_color!E13</f>
        <v>23.4</v>
      </c>
      <c r="F16" s="257">
        <f>[1]t2_exhaust_color!F13</f>
        <v>-3.6</v>
      </c>
      <c r="G16" s="258">
        <f>[1]t2_exhaust_color!G13</f>
        <v>-0.13400000000000001</v>
      </c>
    </row>
    <row r="17" spans="1:7">
      <c r="A17" s="2" t="str">
        <f>[1]t2_exhaust_color!A14</f>
        <v>Durable</v>
      </c>
      <c r="B17" s="76" t="str">
        <f>[1]t2_exhaust_color!B14</f>
        <v>Auto Repair</v>
      </c>
      <c r="C17" s="257">
        <f>[1]t2_exhaust_color!C14</f>
        <v>40.4</v>
      </c>
      <c r="D17" s="257">
        <f>[1]t2_exhaust_color!D14</f>
        <v>36.299999999999997</v>
      </c>
      <c r="E17" s="257">
        <f>[1]t2_exhaust_color!E14</f>
        <v>31.6</v>
      </c>
      <c r="F17" s="257">
        <f>[1]t2_exhaust_color!F14</f>
        <v>-4.7</v>
      </c>
      <c r="G17" s="258">
        <f>[1]t2_exhaust_color!G14</f>
        <v>-0.129</v>
      </c>
    </row>
    <row r="18" spans="1:7">
      <c r="A18" s="2" t="str">
        <f>[1]t2_exhaust_color!A15</f>
        <v>Other ND</v>
      </c>
      <c r="B18" s="76" t="str">
        <f>[1]t2_exhaust_color!B15</f>
        <v>Online</v>
      </c>
      <c r="C18" s="257">
        <f>[1]t2_exhaust_color!C15</f>
        <v>42.6</v>
      </c>
      <c r="D18" s="257">
        <f>[1]t2_exhaust_color!D15</f>
        <v>38.799999999999997</v>
      </c>
      <c r="E18" s="257">
        <f>[1]t2_exhaust_color!E15</f>
        <v>34.1</v>
      </c>
      <c r="F18" s="257">
        <f>[1]t2_exhaust_color!F15</f>
        <v>-4.7</v>
      </c>
      <c r="G18" s="258">
        <f>[1]t2_exhaust_color!G15</f>
        <v>-0.121</v>
      </c>
    </row>
    <row r="19" spans="1:7">
      <c r="A19" s="2" t="str">
        <f>[1]t2_exhaust_color!A16</f>
        <v>Strict ND</v>
      </c>
      <c r="B19" s="76" t="str">
        <f>[1]t2_exhaust_color!B16</f>
        <v>Transportation</v>
      </c>
      <c r="C19" s="257">
        <f>[1]t2_exhaust_color!C16</f>
        <v>155.6</v>
      </c>
      <c r="D19" s="257">
        <f>[1]t2_exhaust_color!D16</f>
        <v>127.6</v>
      </c>
      <c r="E19" s="257">
        <f>[1]t2_exhaust_color!E16</f>
        <v>114</v>
      </c>
      <c r="F19" s="257">
        <f>[1]t2_exhaust_color!F16</f>
        <v>-13.6</v>
      </c>
      <c r="G19" s="258">
        <f>[1]t2_exhaust_color!G16</f>
        <v>-0.106</v>
      </c>
    </row>
    <row r="20" spans="1:7">
      <c r="A20" s="2" t="str">
        <f>[1]t2_exhaust_color!A17</f>
        <v>Durable</v>
      </c>
      <c r="B20" s="76" t="str">
        <f>[1]t2_exhaust_color!B17</f>
        <v>Hotels &amp; Rental Cars</v>
      </c>
      <c r="C20" s="257">
        <f>[1]t2_exhaust_color!C17</f>
        <v>27</v>
      </c>
      <c r="D20" s="257">
        <f>[1]t2_exhaust_color!D17</f>
        <v>21.4</v>
      </c>
      <c r="E20" s="257">
        <f>[1]t2_exhaust_color!E17</f>
        <v>19.2</v>
      </c>
      <c r="F20" s="257">
        <f>[1]t2_exhaust_color!F17</f>
        <v>-2.2000000000000002</v>
      </c>
      <c r="G20" s="258">
        <f>[1]t2_exhaust_color!G17</f>
        <v>-0.10299999999999999</v>
      </c>
    </row>
    <row r="21" spans="1:7">
      <c r="A21" s="2" t="str">
        <f>[1]t2_exhaust_color!A18</f>
        <v>Strict ND</v>
      </c>
      <c r="B21" s="76" t="str">
        <f>[1]t2_exhaust_color!B18</f>
        <v>Professional &amp; Personal Services</v>
      </c>
      <c r="C21" s="257">
        <f>[1]t2_exhaust_color!C18</f>
        <v>55.4</v>
      </c>
      <c r="D21" s="257">
        <f>[1]t2_exhaust_color!D18</f>
        <v>50</v>
      </c>
      <c r="E21" s="257">
        <f>[1]t2_exhaust_color!E18</f>
        <v>45</v>
      </c>
      <c r="F21" s="257">
        <f>[1]t2_exhaust_color!F18</f>
        <v>-5</v>
      </c>
      <c r="G21" s="258">
        <f>[1]t2_exhaust_color!G18</f>
        <v>-0.1</v>
      </c>
    </row>
    <row r="22" spans="1:7">
      <c r="A22" s="2" t="str">
        <f>[1]t2_exhaust_color!A19</f>
        <v>Strict ND</v>
      </c>
      <c r="B22" s="76" t="str">
        <f>[1]t2_exhaust_color!B19</f>
        <v>Telecom</v>
      </c>
      <c r="C22" s="257">
        <f>[1]t2_exhaust_color!C19</f>
        <v>111.6</v>
      </c>
      <c r="D22" s="257">
        <f>[1]t2_exhaust_color!D19</f>
        <v>106.6</v>
      </c>
      <c r="E22" s="257">
        <f>[1]t2_exhaust_color!E19</f>
        <v>97.4</v>
      </c>
      <c r="F22" s="257">
        <f>[1]t2_exhaust_color!F19</f>
        <v>-9.1999999999999993</v>
      </c>
      <c r="G22" s="258">
        <f>[1]t2_exhaust_color!G19</f>
        <v>-8.6999999999999994E-2</v>
      </c>
    </row>
    <row r="23" spans="1:7">
      <c r="A23" s="2" t="str">
        <f>[1]t2_exhaust_color!A20</f>
        <v>Strict ND</v>
      </c>
      <c r="B23" s="76" t="str">
        <f>[1]t2_exhaust_color!B20</f>
        <v>Utilities</v>
      </c>
      <c r="C23" s="257">
        <f>[1]t2_exhaust_color!C20</f>
        <v>190.1</v>
      </c>
      <c r="D23" s="257">
        <f>[1]t2_exhaust_color!D20</f>
        <v>182.4</v>
      </c>
      <c r="E23" s="257">
        <f>[1]t2_exhaust_color!E20</f>
        <v>173.3</v>
      </c>
      <c r="F23" s="257">
        <f>[1]t2_exhaust_color!F20</f>
        <v>-9.1999999999999993</v>
      </c>
      <c r="G23" s="258">
        <f>[1]t2_exhaust_color!G20</f>
        <v>-0.05</v>
      </c>
    </row>
    <row r="24" spans="1:7">
      <c r="A24" s="2" t="str">
        <f>[1]t2_exhaust_color!A21</f>
        <v>Strict ND</v>
      </c>
      <c r="B24" s="76" t="str">
        <f>[1]t2_exhaust_color!B21</f>
        <v>Flights</v>
      </c>
      <c r="C24" s="257">
        <f>[1]t2_exhaust_color!C21</f>
        <v>32.5</v>
      </c>
      <c r="D24" s="257">
        <f>[1]t2_exhaust_color!D21</f>
        <v>24.5</v>
      </c>
      <c r="E24" s="257">
        <f>[1]t2_exhaust_color!E21</f>
        <v>23.5</v>
      </c>
      <c r="F24" s="257">
        <f>[1]t2_exhaust_color!F21</f>
        <v>-0.9</v>
      </c>
      <c r="G24" s="258">
        <f>[1]t2_exhaust_color!G21</f>
        <v>-3.9E-2</v>
      </c>
    </row>
    <row r="25" spans="1:7">
      <c r="A25" s="2" t="str">
        <f>[1]t2_exhaust_color!A22</f>
        <v>Nondurable</v>
      </c>
      <c r="B25" s="76" t="str">
        <f>[1]t2_exhaust_color!B22</f>
        <v>Miscellaneous Nondurables</v>
      </c>
      <c r="C25" s="257">
        <f>[1]t2_exhaust_color!C22</f>
        <v>308.60000000000002</v>
      </c>
      <c r="D25" s="257">
        <f>[1]t2_exhaust_color!D22</f>
        <v>276.60000000000002</v>
      </c>
      <c r="E25" s="257">
        <f>[1]t2_exhaust_color!E22</f>
        <v>268.5</v>
      </c>
      <c r="F25" s="257">
        <f>[1]t2_exhaust_color!F22</f>
        <v>-8.1</v>
      </c>
      <c r="G25" s="258">
        <f>[1]t2_exhaust_color!G22</f>
        <v>-2.9000000000000001E-2</v>
      </c>
    </row>
    <row r="26" spans="1:7">
      <c r="A26" s="2" t="str">
        <f>[1]t2_exhaust_color!A23</f>
        <v>Durable</v>
      </c>
      <c r="B26" s="76" t="str">
        <f>[1]t2_exhaust_color!B23</f>
        <v>Insurance</v>
      </c>
      <c r="C26" s="257">
        <f>[1]t2_exhaust_color!C23</f>
        <v>151.6</v>
      </c>
      <c r="D26" s="257">
        <f>[1]t2_exhaust_color!D23</f>
        <v>159</v>
      </c>
      <c r="E26" s="257">
        <f>[1]t2_exhaust_color!E23</f>
        <v>154.6</v>
      </c>
      <c r="F26" s="257">
        <f>[1]t2_exhaust_color!F23</f>
        <v>-4.4000000000000004</v>
      </c>
      <c r="G26" s="258">
        <f>[1]t2_exhaust_color!G23</f>
        <v>-2.8000000000000001E-2</v>
      </c>
    </row>
    <row r="27" spans="1:7">
      <c r="A27" s="14" t="s">
        <v>213</v>
      </c>
      <c r="B27" s="7"/>
      <c r="C27" s="259"/>
      <c r="D27" s="259"/>
      <c r="E27" s="259"/>
      <c r="F27" s="259"/>
      <c r="G27" s="107"/>
    </row>
    <row r="28" spans="1:7">
      <c r="A28" s="7"/>
      <c r="B28" s="23" t="str">
        <f>[1]t2_exhaust_color!B24</f>
        <v>Transfer to External Account</v>
      </c>
      <c r="C28" s="257">
        <f>[1]t2_exhaust_color!C24</f>
        <v>356.1</v>
      </c>
      <c r="D28" s="257">
        <f>[1]t2_exhaust_color!D24</f>
        <v>271.60000000000002</v>
      </c>
      <c r="E28" s="257">
        <f>[1]t2_exhaust_color!E24</f>
        <v>237.3</v>
      </c>
      <c r="F28" s="257">
        <f>[1]t2_exhaust_color!F24</f>
        <v>-34.299999999999997</v>
      </c>
      <c r="G28" s="258">
        <f>[1]t2_exhaust_color!G24</f>
        <v>-0.126</v>
      </c>
    </row>
    <row r="29" spans="1:7">
      <c r="A29" s="7"/>
      <c r="B29" s="23" t="str">
        <f>[1]t2_exhaust_color!B25</f>
        <v>Uncategorizable Electronic</v>
      </c>
      <c r="C29" s="257">
        <f>[1]t2_exhaust_color!C25</f>
        <v>635.20000000000005</v>
      </c>
      <c r="D29" s="257">
        <f>[1]t2_exhaust_color!D25</f>
        <v>485.4</v>
      </c>
      <c r="E29" s="257">
        <f>[1]t2_exhaust_color!E25</f>
        <v>441.9</v>
      </c>
      <c r="F29" s="257">
        <f>[1]t2_exhaust_color!F25</f>
        <v>-43.6</v>
      </c>
      <c r="G29" s="258">
        <f>[1]t2_exhaust_color!G25</f>
        <v>-0.09</v>
      </c>
    </row>
    <row r="30" spans="1:7">
      <c r="B30" s="23" t="str">
        <f>[1]t2_exhaust_color!B26</f>
        <v>Paper Checks</v>
      </c>
      <c r="C30" s="257">
        <f>[1]t2_exhaust_color!C26</f>
        <v>1057.5999999999999</v>
      </c>
      <c r="D30" s="257">
        <f>[1]t2_exhaust_color!D26</f>
        <v>968.9</v>
      </c>
      <c r="E30" s="257">
        <f>[1]t2_exhaust_color!E26</f>
        <v>923.7</v>
      </c>
      <c r="F30" s="257">
        <f>[1]t2_exhaust_color!F26</f>
        <v>-45.2</v>
      </c>
      <c r="G30" s="258">
        <f>[1]t2_exhaust_color!G26</f>
        <v>-4.7E-2</v>
      </c>
    </row>
    <row r="31" spans="1:7">
      <c r="B31" s="23" t="str">
        <f>[1]t2_exhaust_color!B27</f>
        <v>Non-Chase Credit Card Bill</v>
      </c>
      <c r="C31" s="257">
        <f>[1]t2_exhaust_color!C27</f>
        <v>436.8</v>
      </c>
      <c r="D31" s="257">
        <f>[1]t2_exhaust_color!D27</f>
        <v>365.2</v>
      </c>
      <c r="E31" s="257">
        <f>[1]t2_exhaust_color!E27</f>
        <v>351.1</v>
      </c>
      <c r="F31" s="257">
        <f>[1]t2_exhaust_color!F27</f>
        <v>-14.1</v>
      </c>
      <c r="G31" s="258">
        <f>[1]t2_exhaust_color!G27</f>
        <v>-3.9E-2</v>
      </c>
    </row>
    <row r="32" spans="1:7" ht="13.8" thickBot="1">
      <c r="A32" s="1"/>
      <c r="B32" s="31" t="str">
        <f>[1]t2_exhaust_color!B28</f>
        <v>Installment Debt</v>
      </c>
      <c r="C32" s="260">
        <f>[1]t2_exhaust_color!C28</f>
        <v>380.9</v>
      </c>
      <c r="D32" s="260">
        <f>[1]t2_exhaust_color!D28</f>
        <v>348.7</v>
      </c>
      <c r="E32" s="260">
        <f>[1]t2_exhaust_color!E28</f>
        <v>335.3</v>
      </c>
      <c r="F32" s="260">
        <f>[1]t2_exhaust_color!F28</f>
        <v>-13.3</v>
      </c>
      <c r="G32" s="261">
        <f>[1]t2_exhaust_color!G28</f>
        <v>-3.7999999999999999E-2</v>
      </c>
    </row>
    <row r="33" spans="1:7" ht="127.05" customHeight="1" thickTop="1">
      <c r="A33" s="307" t="s">
        <v>401</v>
      </c>
      <c r="B33" s="307"/>
      <c r="C33" s="307"/>
      <c r="D33" s="307"/>
      <c r="E33" s="307"/>
      <c r="F33" s="307"/>
      <c r="G33" s="307"/>
    </row>
  </sheetData>
  <sortState ref="B28:G32">
    <sortCondition ref="G28:G32"/>
  </sortState>
  <mergeCells count="2">
    <mergeCell ref="A1:G1"/>
    <mergeCell ref="A33:G33"/>
  </mergeCells>
  <phoneticPr fontId="20"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0"/>
  <sheetViews>
    <sheetView workbookViewId="0">
      <selection activeCell="C2" sqref="C1:E1048576"/>
    </sheetView>
  </sheetViews>
  <sheetFormatPr defaultColWidth="8.77734375" defaultRowHeight="14.4"/>
  <cols>
    <col min="1" max="1" width="8.77734375" style="49"/>
    <col min="2" max="2" width="12" style="49" customWidth="1"/>
    <col min="3" max="3" width="13.44140625" style="49" customWidth="1"/>
    <col min="4" max="4" width="8.6640625" style="49" customWidth="1"/>
    <col min="5" max="5" width="2" style="49" customWidth="1"/>
    <col min="6" max="6" width="9.33203125" style="49" customWidth="1"/>
    <col min="7" max="7" width="10.77734375" style="49" customWidth="1"/>
    <col min="8" max="16384" width="8.77734375" style="49"/>
  </cols>
  <sheetData>
    <row r="1" spans="2:7" ht="17.55" customHeight="1" thickBot="1">
      <c r="B1" s="329" t="s">
        <v>398</v>
      </c>
      <c r="C1" s="329"/>
      <c r="D1" s="329"/>
      <c r="E1" s="329"/>
      <c r="F1" s="329"/>
      <c r="G1" s="329"/>
    </row>
    <row r="2" spans="2:7" ht="17.55" customHeight="1" thickTop="1">
      <c r="B2" s="235"/>
      <c r="C2" s="331" t="s">
        <v>397</v>
      </c>
      <c r="D2" s="331"/>
      <c r="E2" s="237"/>
      <c r="F2" s="331" t="s">
        <v>394</v>
      </c>
      <c r="G2" s="331"/>
    </row>
    <row r="3" spans="2:7" ht="40.200000000000003" customHeight="1">
      <c r="B3" s="236" t="s">
        <v>393</v>
      </c>
      <c r="C3" s="236" t="s">
        <v>395</v>
      </c>
      <c r="D3" s="236" t="s">
        <v>396</v>
      </c>
      <c r="E3" s="236"/>
      <c r="F3" s="236" t="s">
        <v>395</v>
      </c>
      <c r="G3" s="236" t="s">
        <v>396</v>
      </c>
    </row>
    <row r="4" spans="2:7" ht="15" customHeight="1">
      <c r="B4" s="109">
        <v>-5</v>
      </c>
      <c r="C4" s="290">
        <f>[13]tbl_model_targets!C2</f>
        <v>1</v>
      </c>
      <c r="D4" s="291" t="s">
        <v>73</v>
      </c>
      <c r="E4" s="291"/>
      <c r="F4" s="291" t="s">
        <v>73</v>
      </c>
      <c r="G4" s="291" t="s">
        <v>73</v>
      </c>
    </row>
    <row r="5" spans="2:7" ht="15" customHeight="1">
      <c r="B5" s="109">
        <f>B4+1</f>
        <v>-4</v>
      </c>
      <c r="C5" s="290">
        <f>[13]tbl_model_targets!C3</f>
        <v>1.00696879051359</v>
      </c>
      <c r="D5" s="290">
        <f>[13]tbl_model_targets!D3</f>
        <v>1.4195441671645301E-3</v>
      </c>
      <c r="E5" s="290"/>
      <c r="F5" s="291" t="s">
        <v>73</v>
      </c>
      <c r="G5" s="291" t="s">
        <v>73</v>
      </c>
    </row>
    <row r="6" spans="2:7" ht="15" customHeight="1">
      <c r="B6" s="109">
        <f t="shared" ref="B6:B19" si="0">B5+1</f>
        <v>-3</v>
      </c>
      <c r="C6" s="290">
        <f>[13]tbl_model_targets!C4</f>
        <v>1.00877237975154</v>
      </c>
      <c r="D6" s="290">
        <f>[13]tbl_model_targets!D4</f>
        <v>1.3764876111752901E-3</v>
      </c>
      <c r="E6" s="290"/>
      <c r="F6" s="291" t="s">
        <v>73</v>
      </c>
      <c r="G6" s="291" t="s">
        <v>73</v>
      </c>
    </row>
    <row r="7" spans="2:7" ht="15" customHeight="1">
      <c r="B7" s="109">
        <f t="shared" si="0"/>
        <v>-2</v>
      </c>
      <c r="C7" s="290">
        <f>[13]tbl_model_targets!C5</f>
        <v>0.99724530637168796</v>
      </c>
      <c r="D7" s="290">
        <f>[13]tbl_model_targets!D5</f>
        <v>1.34535031175629E-3</v>
      </c>
      <c r="E7" s="290"/>
      <c r="F7" s="291" t="s">
        <v>73</v>
      </c>
      <c r="G7" s="291" t="s">
        <v>73</v>
      </c>
    </row>
    <row r="8" spans="2:7" ht="15" customHeight="1">
      <c r="B8" s="109">
        <f t="shared" si="0"/>
        <v>-1</v>
      </c>
      <c r="C8" s="290">
        <f>[13]tbl_model_targets!C6</f>
        <v>0.93926338048344205</v>
      </c>
      <c r="D8" s="290">
        <f>[13]tbl_model_targets!D6</f>
        <v>1.34564483738711E-3</v>
      </c>
      <c r="E8" s="290"/>
      <c r="F8" s="291" t="s">
        <v>73</v>
      </c>
      <c r="G8" s="291" t="s">
        <v>73</v>
      </c>
    </row>
    <row r="9" spans="2:7" ht="15" customHeight="1">
      <c r="B9" s="109">
        <f t="shared" si="0"/>
        <v>0</v>
      </c>
      <c r="C9" s="290">
        <f>[13]tbl_model_targets!C7</f>
        <v>0.92776822126518399</v>
      </c>
      <c r="D9" s="290">
        <f>[13]tbl_model_targets!D7</f>
        <v>1.44052997042886E-3</v>
      </c>
      <c r="E9" s="290"/>
      <c r="F9" s="290">
        <f>[13]tbl_hazard_int!B2</f>
        <v>0.19946253378057499</v>
      </c>
      <c r="G9" s="290">
        <f>(F9-[13]tbl_hazard_int!C2)/1.96</f>
        <v>5.8789808038005121E-3</v>
      </c>
    </row>
    <row r="10" spans="2:7" ht="15" customHeight="1">
      <c r="B10" s="109">
        <f t="shared" si="0"/>
        <v>1</v>
      </c>
      <c r="C10" s="290">
        <f>[13]tbl_model_targets!C8</f>
        <v>0.93322073460412402</v>
      </c>
      <c r="D10" s="290">
        <f>[13]tbl_model_targets!D8</f>
        <v>1.7479397604995E-3</v>
      </c>
      <c r="E10" s="290"/>
      <c r="F10" s="290">
        <f>[13]tbl_hazard_int!B3</f>
        <v>0.238129358968071</v>
      </c>
      <c r="G10" s="290">
        <f>(F10-[13]tbl_hazard_int!C3)/1.96</f>
        <v>9.6630638691586768E-3</v>
      </c>
    </row>
    <row r="11" spans="2:7" ht="15" customHeight="1">
      <c r="B11" s="109">
        <f t="shared" si="0"/>
        <v>2</v>
      </c>
      <c r="C11" s="290">
        <f>[13]tbl_model_targets!C9</f>
        <v>0.91800736281710205</v>
      </c>
      <c r="D11" s="290">
        <f>[13]tbl_model_targets!D9</f>
        <v>2.1697058872306701E-3</v>
      </c>
      <c r="E11" s="290"/>
      <c r="F11" s="290">
        <f>[13]tbl_hazard_int!B4</f>
        <v>0.22269806631224801</v>
      </c>
      <c r="G11" s="290">
        <f>(F11-[13]tbl_hazard_int!C4)/1.96</f>
        <v>1.2255160999719385E-2</v>
      </c>
    </row>
    <row r="12" spans="2:7" ht="15" customHeight="1">
      <c r="B12" s="109">
        <f t="shared" si="0"/>
        <v>3</v>
      </c>
      <c r="C12" s="290">
        <f>[13]tbl_model_targets!C10</f>
        <v>0.90939159048608298</v>
      </c>
      <c r="D12" s="290">
        <f>[13]tbl_model_targets!D10</f>
        <v>2.8318637550483802E-3</v>
      </c>
      <c r="E12" s="290"/>
      <c r="F12" s="290">
        <f>[13]tbl_hazard_int!B5</f>
        <v>0.19951169345976899</v>
      </c>
      <c r="G12" s="290">
        <f>(F12-[13]tbl_hazard_int!C5)/1.96</f>
        <v>1.6001273977317348E-2</v>
      </c>
    </row>
    <row r="13" spans="2:7" ht="15" customHeight="1">
      <c r="B13" s="109">
        <f t="shared" si="0"/>
        <v>4</v>
      </c>
      <c r="C13" s="290">
        <f>[13]tbl_model_targets!C11</f>
        <v>0.90136546287819497</v>
      </c>
      <c r="D13" s="290">
        <f>[13]tbl_model_targets!D11</f>
        <v>4.4395444539305599E-3</v>
      </c>
      <c r="E13" s="290"/>
      <c r="F13" s="290">
        <f>[13]tbl_hazard_int!B6</f>
        <v>0.20745215523770499</v>
      </c>
      <c r="G13" s="290">
        <f>(F13-[13]tbl_hazard_int!C6)/1.96</f>
        <v>2.0505480571771421E-2</v>
      </c>
    </row>
    <row r="14" spans="2:7" ht="15" customHeight="1">
      <c r="B14" s="109">
        <f t="shared" si="0"/>
        <v>5</v>
      </c>
      <c r="C14" s="290">
        <f>[13]tbl_model_targets!C12</f>
        <v>0.89494804228162295</v>
      </c>
      <c r="D14" s="290">
        <f>[13]tbl_model_targets!D12</f>
        <v>5.6308869038252298E-3</v>
      </c>
      <c r="E14" s="290"/>
      <c r="F14" s="290">
        <f>[13]tbl_hazard_int!B7</f>
        <v>0.28226635476717299</v>
      </c>
      <c r="G14" s="290">
        <f>(F14-[13]tbl_hazard_int!C7)/1.96</f>
        <v>2.512399444067449E-2</v>
      </c>
    </row>
    <row r="15" spans="2:7" ht="15" customHeight="1">
      <c r="B15" s="109">
        <f t="shared" si="0"/>
        <v>6</v>
      </c>
      <c r="C15" s="290">
        <f>[13]tbl_model_targets!C13</f>
        <v>0.77708463256585003</v>
      </c>
      <c r="D15" s="290">
        <f>[13]tbl_model_targets!D13</f>
        <v>6.25399205413232E-3</v>
      </c>
      <c r="E15" s="290"/>
      <c r="F15" s="290">
        <f>[13]tbl_hazard_int!B8</f>
        <v>0.273081846262832</v>
      </c>
      <c r="G15" s="290">
        <f>(F15-[13]tbl_hazard_int!C8)/1.96</f>
        <v>3.2796766871277042E-2</v>
      </c>
    </row>
    <row r="16" spans="2:7" ht="15" customHeight="1">
      <c r="B16" s="109">
        <f t="shared" si="0"/>
        <v>7</v>
      </c>
      <c r="C16" s="290">
        <f>[13]tbl_model_targets!C14</f>
        <v>0.78284031836051504</v>
      </c>
      <c r="D16" s="290">
        <f>[13]tbl_model_targets!D14</f>
        <v>6.7887394856158099E-3</v>
      </c>
      <c r="E16" s="290"/>
      <c r="F16" s="290">
        <f>[13]tbl_hazard_int!B9</f>
        <v>0.26042654865980402</v>
      </c>
      <c r="G16" s="290">
        <f>(F16-[13]tbl_hazard_int!C9)/1.96</f>
        <v>4.4724479999815318E-2</v>
      </c>
    </row>
    <row r="17" spans="2:8" ht="16.95" customHeight="1">
      <c r="B17" s="109">
        <f t="shared" si="0"/>
        <v>8</v>
      </c>
      <c r="C17" s="290">
        <f>[13]tbl_model_targets!C15</f>
        <v>0.76954013667044796</v>
      </c>
      <c r="D17" s="290">
        <f>[13]tbl_model_targets!D15</f>
        <v>7.2917214539906898E-3</v>
      </c>
      <c r="E17" s="290"/>
      <c r="F17" s="290">
        <f>[13]tbl_hazard_int!B10</f>
        <v>0.19725023009259099</v>
      </c>
      <c r="G17" s="290">
        <f>(F17-[13]tbl_hazard_int!C10)/1.96</f>
        <v>5.8264212512826777E-2</v>
      </c>
      <c r="H17" s="194"/>
    </row>
    <row r="18" spans="2:8" ht="15" customHeight="1">
      <c r="B18" s="109">
        <f t="shared" si="0"/>
        <v>9</v>
      </c>
      <c r="C18" s="290">
        <f>[13]tbl_model_targets!C16</f>
        <v>0.75534122436482398</v>
      </c>
      <c r="D18" s="290">
        <f>[13]tbl_model_targets!D16</f>
        <v>7.8533266333940897E-3</v>
      </c>
      <c r="E18" s="290"/>
      <c r="F18" s="290">
        <f>[13]tbl_hazard_int!B11</f>
        <v>0.20988483555616599</v>
      </c>
      <c r="G18" s="290">
        <f>(F18-[13]tbl_hazard_int!C11)/1.96</f>
        <v>6.9869941332529287E-2</v>
      </c>
      <c r="H18" s="194"/>
    </row>
    <row r="19" spans="2:8" ht="16.95" customHeight="1" thickBot="1">
      <c r="B19" s="109">
        <f t="shared" si="0"/>
        <v>10</v>
      </c>
      <c r="C19" s="290">
        <f>[13]tbl_model_targets!C17</f>
        <v>0.74382284526702502</v>
      </c>
      <c r="D19" s="290">
        <f>[13]tbl_model_targets!D17</f>
        <v>8.3983015722386804E-3</v>
      </c>
      <c r="E19" s="290"/>
      <c r="F19" s="290">
        <f>[13]tbl_hazard_int!B12</f>
        <v>0.13095875041166199</v>
      </c>
      <c r="G19" s="290">
        <f>(F19-[13]tbl_hazard_int!C12)/1.96</f>
        <v>7.4849767532010308E-2</v>
      </c>
    </row>
    <row r="20" spans="2:8" ht="94.05" customHeight="1" thickTop="1">
      <c r="B20" s="330" t="s">
        <v>419</v>
      </c>
      <c r="C20" s="330"/>
      <c r="D20" s="330"/>
      <c r="E20" s="330"/>
      <c r="F20" s="330"/>
      <c r="G20" s="330"/>
    </row>
  </sheetData>
  <mergeCells count="4">
    <mergeCell ref="B1:G1"/>
    <mergeCell ref="B20:G20"/>
    <mergeCell ref="F2:G2"/>
    <mergeCell ref="C2:D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topLeftCell="A10" workbookViewId="0">
      <selection activeCell="C2" sqref="C1:E1048576"/>
    </sheetView>
  </sheetViews>
  <sheetFormatPr defaultColWidth="8.77734375" defaultRowHeight="13.8"/>
  <cols>
    <col min="1" max="1" width="1.44140625" style="162" customWidth="1"/>
    <col min="2" max="2" width="35.77734375" style="162" customWidth="1"/>
    <col min="3" max="4" width="8.77734375" style="162" customWidth="1"/>
    <col min="5" max="5" width="16.33203125" style="162" customWidth="1"/>
    <col min="6" max="6" width="4.109375" style="162" customWidth="1"/>
    <col min="7" max="7" width="9.44140625" style="162" customWidth="1"/>
    <col min="8" max="16384" width="8.77734375" style="162"/>
  </cols>
  <sheetData>
    <row r="1" spans="1:7" ht="18.45" customHeight="1" thickBot="1">
      <c r="A1" s="332" t="s">
        <v>359</v>
      </c>
      <c r="B1" s="332"/>
      <c r="C1" s="332"/>
      <c r="D1" s="332"/>
      <c r="E1" s="332"/>
      <c r="F1" s="332"/>
      <c r="G1" s="332"/>
    </row>
    <row r="2" spans="1:7" ht="55.2" customHeight="1" thickTop="1">
      <c r="A2" s="163"/>
      <c r="B2" s="163"/>
      <c r="C2" s="164" t="s">
        <v>323</v>
      </c>
      <c r="D2" s="164" t="s">
        <v>322</v>
      </c>
      <c r="E2" s="164" t="s">
        <v>389</v>
      </c>
      <c r="F2" s="164" t="s">
        <v>321</v>
      </c>
      <c r="G2" s="164" t="s">
        <v>320</v>
      </c>
    </row>
    <row r="3" spans="1:7" ht="16.95" customHeight="1">
      <c r="A3" s="163"/>
      <c r="B3" s="163"/>
      <c r="C3" s="165" t="s">
        <v>65</v>
      </c>
      <c r="D3" s="165" t="s">
        <v>319</v>
      </c>
      <c r="E3" s="165" t="s">
        <v>57</v>
      </c>
      <c r="F3" s="165" t="s">
        <v>58</v>
      </c>
      <c r="G3" s="165" t="s">
        <v>53</v>
      </c>
    </row>
    <row r="4" spans="1:7" ht="14.55" customHeight="1">
      <c r="A4" s="166" t="s">
        <v>335</v>
      </c>
      <c r="B4" s="163"/>
      <c r="C4" s="163"/>
      <c r="D4" s="163"/>
      <c r="E4" s="163"/>
      <c r="F4" s="163"/>
      <c r="G4" s="163"/>
    </row>
    <row r="5" spans="1:7" ht="14.55" customHeight="1">
      <c r="A5" s="163"/>
      <c r="B5" s="163" t="s">
        <v>318</v>
      </c>
      <c r="C5" s="167">
        <v>1.1499999999999999</v>
      </c>
      <c r="D5" s="167">
        <v>1.1399999999999999</v>
      </c>
      <c r="E5" s="168">
        <f>D5/C5-1</f>
        <v>-8.6956521739131043E-3</v>
      </c>
      <c r="F5" s="167"/>
      <c r="G5" s="167"/>
    </row>
    <row r="6" spans="1:7" ht="14.55" customHeight="1">
      <c r="A6" s="163"/>
      <c r="B6" s="163" t="s">
        <v>33</v>
      </c>
      <c r="C6" s="167">
        <v>1.32</v>
      </c>
      <c r="D6" s="167">
        <v>1.52</v>
      </c>
      <c r="E6" s="168">
        <f>D6/C6-1</f>
        <v>0.15151515151515138</v>
      </c>
      <c r="F6" s="167"/>
      <c r="G6" s="167"/>
    </row>
    <row r="7" spans="1:7" ht="14.55" customHeight="1">
      <c r="A7" s="163"/>
      <c r="B7" s="163" t="s">
        <v>317</v>
      </c>
      <c r="C7" s="167">
        <v>1.39</v>
      </c>
      <c r="D7" s="167">
        <v>1.94</v>
      </c>
      <c r="E7" s="168">
        <f>D7/C7-1</f>
        <v>0.39568345323741005</v>
      </c>
      <c r="F7" s="167"/>
      <c r="G7" s="167"/>
    </row>
    <row r="8" spans="1:7" ht="14.55" customHeight="1">
      <c r="A8" s="169" t="s">
        <v>316</v>
      </c>
      <c r="B8" s="163"/>
      <c r="C8" s="167"/>
      <c r="D8" s="167"/>
      <c r="E8" s="167"/>
      <c r="F8" s="167"/>
      <c r="G8" s="167"/>
    </row>
    <row r="9" spans="1:7" ht="14.55" customHeight="1">
      <c r="A9" s="163"/>
      <c r="B9" s="163" t="s">
        <v>314</v>
      </c>
      <c r="C9" s="196">
        <f>[4]Sheet1!$B$13</f>
        <v>1.209772953611294</v>
      </c>
      <c r="D9" s="196">
        <f>[4]Sheet1!$C$13</f>
        <v>1.4466124642518361</v>
      </c>
      <c r="E9" s="168">
        <f>D9/C9-1</f>
        <v>0.19577186771579935</v>
      </c>
      <c r="F9" s="170">
        <f>[2]Sheet1!$K$2</f>
        <v>1.4474344932200831</v>
      </c>
      <c r="G9" s="171">
        <f>[2]Sheet1!$D$2</f>
        <v>81.239441060889874</v>
      </c>
    </row>
    <row r="10" spans="1:7" ht="14.55" customHeight="1">
      <c r="A10" s="163"/>
      <c r="B10" s="172" t="s">
        <v>313</v>
      </c>
      <c r="C10" s="196">
        <f>[4]Sheet1!$B$16</f>
        <v>1.30723931608947</v>
      </c>
      <c r="D10" s="196">
        <f>[4]Sheet1!$C$16</f>
        <v>1.5713588104554359</v>
      </c>
      <c r="E10" s="168">
        <f>D10/C10-1</f>
        <v>0.20204372000993964</v>
      </c>
      <c r="F10" s="170">
        <f>[2]Sheet1!$K$4</f>
        <v>1.09639635088979</v>
      </c>
      <c r="G10" s="171">
        <f>[2]Sheet1!$D$4</f>
        <v>86.285275634561373</v>
      </c>
    </row>
    <row r="11" spans="1:7" ht="16.05" customHeight="1" thickBot="1">
      <c r="A11" s="173"/>
      <c r="B11" s="174" t="s">
        <v>390</v>
      </c>
      <c r="C11" s="197">
        <f>[4]Sheet1!$B$19</f>
        <v>1.3249332679053361</v>
      </c>
      <c r="D11" s="197">
        <f>[4]Sheet1!$C$19</f>
        <v>1.5115527734681029</v>
      </c>
      <c r="E11" s="175">
        <f>D11/C11-1</f>
        <v>0.14085200370717876</v>
      </c>
      <c r="F11" s="176">
        <f>1</f>
        <v>1</v>
      </c>
      <c r="G11" s="177">
        <f>[2]Sheet1!$D$8</f>
        <v>77.012407577914985</v>
      </c>
    </row>
    <row r="12" spans="1:7" ht="136.05000000000001" customHeight="1" thickTop="1">
      <c r="A12" s="333" t="s">
        <v>411</v>
      </c>
      <c r="B12" s="333"/>
      <c r="C12" s="333"/>
      <c r="D12" s="333"/>
      <c r="E12" s="333"/>
      <c r="F12" s="333"/>
      <c r="G12" s="333"/>
    </row>
  </sheetData>
  <mergeCells count="2">
    <mergeCell ref="A1:G1"/>
    <mergeCell ref="A12:G1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view="pageBreakPreview" topLeftCell="A16" zoomScale="130" zoomScaleNormal="100" zoomScaleSheetLayoutView="130" workbookViewId="0">
      <selection activeCell="C2" sqref="C1:E1048576"/>
    </sheetView>
  </sheetViews>
  <sheetFormatPr defaultColWidth="8.77734375" defaultRowHeight="14.4"/>
  <cols>
    <col min="1" max="1" width="1.109375" style="125" customWidth="1"/>
    <col min="2" max="2" width="27.109375" style="125" customWidth="1"/>
    <col min="3" max="6" width="12.21875" style="125" customWidth="1"/>
    <col min="7" max="16384" width="8.77734375" style="125"/>
  </cols>
  <sheetData>
    <row r="1" spans="1:6" ht="16.8" customHeight="1" thickBot="1">
      <c r="A1" s="334" t="s">
        <v>358</v>
      </c>
      <c r="B1" s="334"/>
      <c r="C1" s="334"/>
      <c r="D1" s="334"/>
      <c r="E1" s="334"/>
      <c r="F1" s="334"/>
    </row>
    <row r="2" spans="1:6" ht="39" customHeight="1" thickTop="1">
      <c r="A2" s="134"/>
      <c r="B2" s="211"/>
      <c r="C2" s="232" t="s">
        <v>392</v>
      </c>
      <c r="D2" s="232" t="s">
        <v>313</v>
      </c>
      <c r="E2" s="232" t="s">
        <v>391</v>
      </c>
      <c r="F2" s="232" t="s">
        <v>326</v>
      </c>
    </row>
    <row r="3" spans="1:6">
      <c r="A3" s="134"/>
      <c r="B3" s="211"/>
      <c r="C3" s="136" t="s">
        <v>65</v>
      </c>
      <c r="D3" s="136" t="s">
        <v>66</v>
      </c>
      <c r="E3" s="136" t="s">
        <v>57</v>
      </c>
      <c r="F3" s="136" t="s">
        <v>58</v>
      </c>
    </row>
    <row r="4" spans="1:6" ht="13.8" customHeight="1">
      <c r="A4" s="202" t="s">
        <v>367</v>
      </c>
      <c r="B4" s="212"/>
      <c r="C4" s="201" t="s">
        <v>327</v>
      </c>
      <c r="D4" s="201" t="s">
        <v>328</v>
      </c>
      <c r="E4" s="201" t="s">
        <v>328</v>
      </c>
      <c r="F4" s="201" t="s">
        <v>328</v>
      </c>
    </row>
    <row r="5" spans="1:6" ht="13.8" customHeight="1">
      <c r="A5" s="202" t="s">
        <v>182</v>
      </c>
      <c r="B5" s="211"/>
      <c r="C5" s="204"/>
      <c r="D5" s="204"/>
      <c r="E5" s="204"/>
      <c r="F5" s="204"/>
    </row>
    <row r="6" spans="1:6" ht="13.8" customHeight="1">
      <c r="A6" s="134"/>
      <c r="B6" s="211" t="s">
        <v>353</v>
      </c>
      <c r="C6" s="213">
        <v>2</v>
      </c>
      <c r="D6" s="213">
        <v>2</v>
      </c>
      <c r="E6" s="213">
        <v>2</v>
      </c>
      <c r="F6" s="213">
        <v>2</v>
      </c>
    </row>
    <row r="7" spans="1:6" ht="13.8" customHeight="1">
      <c r="A7" s="134"/>
      <c r="B7" s="211" t="s">
        <v>282</v>
      </c>
      <c r="C7" s="213">
        <v>1</v>
      </c>
      <c r="D7" s="203" t="s">
        <v>73</v>
      </c>
      <c r="E7" s="206" t="s">
        <v>347</v>
      </c>
      <c r="F7" s="203" t="s">
        <v>73</v>
      </c>
    </row>
    <row r="8" spans="1:6" ht="13.8" customHeight="1">
      <c r="A8" s="202" t="s">
        <v>183</v>
      </c>
      <c r="B8" s="211"/>
      <c r="C8" s="204"/>
      <c r="D8" s="204"/>
      <c r="E8" s="204"/>
      <c r="F8" s="204"/>
    </row>
    <row r="9" spans="1:6" ht="13.8" customHeight="1">
      <c r="A9" s="134"/>
      <c r="B9" s="211" t="s">
        <v>287</v>
      </c>
      <c r="C9" s="214">
        <f>[14]Sheet1!$F$2</f>
        <v>0.99073017136675445</v>
      </c>
      <c r="D9" s="205">
        <f>[2]Sheet1!$H$4</f>
        <v>0.99511500002451181</v>
      </c>
      <c r="E9" s="205">
        <f>[2]Sheet1!$H$12</f>
        <v>0.994022183629235</v>
      </c>
      <c r="F9" s="205">
        <f>[2]Sheet1!$H$8</f>
        <v>0.98986605927525761</v>
      </c>
    </row>
    <row r="10" spans="1:6" ht="13.8" customHeight="1">
      <c r="A10" s="134"/>
      <c r="B10" s="211"/>
      <c r="C10" s="238" t="str">
        <f>CONCATENATE("(",  ROUND([3]Sheet1!$B$6, 4),  ")")</f>
        <v>(0.0003)</v>
      </c>
      <c r="D10" s="238" t="str">
        <f>CONCATENATE("(",  ROUND([3]Sheet1!$D$6, 4),  ")")</f>
        <v>(0.0001)</v>
      </c>
      <c r="E10" s="238" t="str">
        <f>CONCATENATE("(",  ROUND([3]Sheet1!$E$6, 4),  ")")</f>
        <v>(0.0001)</v>
      </c>
      <c r="F10" s="238" t="str">
        <f>CONCATENATE("(",  ROUND([3]Sheet1!$F$6, 4),  ")")</f>
        <v>(0.0005)</v>
      </c>
    </row>
    <row r="11" spans="1:6" ht="13.8" customHeight="1">
      <c r="A11" s="134"/>
      <c r="B11" s="211" t="s">
        <v>282</v>
      </c>
      <c r="C11" s="204" t="s">
        <v>73</v>
      </c>
      <c r="D11" s="206" t="s">
        <v>309</v>
      </c>
      <c r="E11" s="206" t="s">
        <v>348</v>
      </c>
      <c r="F11" s="206" t="s">
        <v>329</v>
      </c>
    </row>
    <row r="12" spans="1:6" ht="13.8" customHeight="1">
      <c r="A12" s="134"/>
      <c r="B12" s="211"/>
      <c r="C12" s="204"/>
      <c r="D12" s="238" t="str">
        <f>CONCATENATE("(",  ROUND([3]Sheet1!$D$3, 3), ", ",ROUND([3]Sheet1!$D$4, 3),    ")")</f>
        <v>(0.025, 0.026)</v>
      </c>
      <c r="E12" s="238" t="str">
        <f>CONCATENATE("(",  ROUND([3]Sheet1!$E$3, 3), ", ","--",    ")")</f>
        <v>(0.008, --)</v>
      </c>
      <c r="F12" s="238" t="str">
        <f>CONCATENATE("(",  ROUND([3]Sheet1!$F$3, 3), ", ",ROUND([3]Sheet1!$F$4, 3),    ")")</f>
        <v>(0.015, 0.025)</v>
      </c>
    </row>
    <row r="13" spans="1:6" ht="13.8" customHeight="1">
      <c r="A13" s="134"/>
      <c r="B13" s="215" t="s">
        <v>354</v>
      </c>
      <c r="C13" s="216">
        <f>[14]Sheet1!$G$2</f>
        <v>4.4278727399534299</v>
      </c>
      <c r="D13" s="207">
        <f>[2]Sheet1!$I$4</f>
        <v>6.0604611643788742</v>
      </c>
      <c r="E13" s="207">
        <f>[2]Sheet1!$I$13</f>
        <v>5.9139139279667674</v>
      </c>
      <c r="F13" s="207">
        <f>[2]Sheet1!$I$8</f>
        <v>7.2979863809629784</v>
      </c>
    </row>
    <row r="14" spans="1:6" ht="13.8" customHeight="1">
      <c r="A14" s="134"/>
      <c r="B14" s="215"/>
      <c r="C14" s="238" t="str">
        <f>CONCATENATE("(",  ROUND([3]Sheet1!$B$2, 1),  ")")</f>
        <v>(0.3)</v>
      </c>
      <c r="D14" s="238" t="str">
        <f>CONCATENATE("(",  ROUND([3]Sheet1!$D$2, 1),  ")")</f>
        <v>(0.6)</v>
      </c>
      <c r="E14" s="238" t="str">
        <f>CONCATENATE("(",  ROUND([3]Sheet1!$E$2, 1),  ")")</f>
        <v>(0.3)</v>
      </c>
      <c r="F14" s="238" t="str">
        <f>CONCATENATE("(",  ROUND([3]Sheet1!$F$2, 1),  ")")</f>
        <v>(0.4)</v>
      </c>
    </row>
    <row r="15" spans="1:6" ht="13.8" customHeight="1">
      <c r="A15" s="134"/>
      <c r="B15" s="217" t="s">
        <v>308</v>
      </c>
      <c r="C15" s="204" t="s">
        <v>73</v>
      </c>
      <c r="D15" s="208">
        <f>[2]Sheet1!$F$4+[2]Sheet1!$F$6</f>
        <v>0.25395977908208284</v>
      </c>
      <c r="E15" s="208">
        <f>[2]Sheet1!$F$12+[2]Sheet1!$F$14</f>
        <v>0.25342093414407324</v>
      </c>
      <c r="F15" s="208">
        <f>[2]Sheet1!$F$8+[2]Sheet1!$F$10</f>
        <v>0.19037871470567966</v>
      </c>
    </row>
    <row r="16" spans="1:6" ht="13.8" customHeight="1">
      <c r="A16" s="134"/>
      <c r="B16" s="217"/>
      <c r="C16" s="204"/>
      <c r="D16" s="238" t="str">
        <f>CONCATENATE("(",  ROUND([3]Sheet1!$D$13, 2),  ")")</f>
        <v>(0.01)</v>
      </c>
      <c r="E16" s="238" t="str">
        <f>CONCATENATE("(",  ROUND([3]Sheet1!$E$13, 2),  ")")</f>
        <v>(0.01)</v>
      </c>
      <c r="F16" s="238" t="str">
        <f>CONCATENATE("(",  ROUND([3]Sheet1!$F$13, 2),  ")")</f>
        <v>(0.01)</v>
      </c>
    </row>
    <row r="17" spans="1:6" ht="13.8" customHeight="1">
      <c r="A17" s="202" t="s">
        <v>184</v>
      </c>
      <c r="B17" s="217"/>
      <c r="C17" s="204"/>
      <c r="D17" s="208"/>
      <c r="E17" s="208"/>
      <c r="F17" s="208"/>
    </row>
    <row r="18" spans="1:6" ht="13.8" customHeight="1">
      <c r="A18" s="134"/>
      <c r="B18" s="211" t="s">
        <v>186</v>
      </c>
      <c r="C18" s="204" t="s">
        <v>73</v>
      </c>
      <c r="D18" s="204" t="s">
        <v>73</v>
      </c>
      <c r="E18" s="204" t="s">
        <v>73</v>
      </c>
      <c r="F18" s="219">
        <v>1</v>
      </c>
    </row>
    <row r="19" spans="1:6" ht="13.8" customHeight="1">
      <c r="A19" s="202" t="s">
        <v>185</v>
      </c>
      <c r="B19" s="211"/>
      <c r="C19" s="204"/>
      <c r="D19" s="204"/>
      <c r="E19" s="204"/>
      <c r="F19" s="204"/>
    </row>
    <row r="20" spans="1:6" ht="13.8" customHeight="1">
      <c r="A20" s="134"/>
      <c r="B20" s="211" t="s">
        <v>283</v>
      </c>
      <c r="C20" s="220">
        <f>[14]Sheet1!$H$2</f>
        <v>30.027672958535451</v>
      </c>
      <c r="D20" s="203" t="s">
        <v>307</v>
      </c>
      <c r="E20" s="203" t="s">
        <v>334</v>
      </c>
      <c r="F20" s="203" t="s">
        <v>331</v>
      </c>
    </row>
    <row r="21" spans="1:6" ht="13.8" customHeight="1">
      <c r="A21" s="134"/>
      <c r="B21" s="211"/>
      <c r="C21" s="238" t="str">
        <f>CONCATENATE("(",  TEXT(ROUND([3]Sheet1!$B$9, 1), "#,#0.0"),  ")")</f>
        <v>(4.0)</v>
      </c>
      <c r="D21" s="238" t="str">
        <f>CONCATENATE("(",   TEXT(ROUND([3]Sheet1!$D$10, 1), "#,#0.0"), ", ",ROUND([3]Sheet1!$D$11, 1),    ")")</f>
        <v>(1.0, 20.3)</v>
      </c>
      <c r="E21" s="238" t="str">
        <f>CONCATENATE("(",   TEXT(ROUND([3]Sheet1!$E$10, 1), "#,#0.0"), ", ",ROUND([3]Sheet1!$E$11, 1),    ")")</f>
        <v>(0.9, 18.9)</v>
      </c>
      <c r="F21" s="238" t="str">
        <f>CONCATENATE("(",   TEXT(ROUND([3]Sheet1!$F$10, 1), "#,#0.0"), ", ",ROUND([3]Sheet1!$F$11, 1),    ")")</f>
        <v>(0.3, 4.4)</v>
      </c>
    </row>
    <row r="22" spans="1:6" ht="13.8" customHeight="1">
      <c r="A22" s="134"/>
      <c r="B22" s="211" t="s">
        <v>186</v>
      </c>
      <c r="C22" s="220">
        <f>[14]Sheet1!$I$2</f>
        <v>1.581756465244609</v>
      </c>
      <c r="D22" s="209">
        <f>[2]Sheet1!$K$4</f>
        <v>1.09639635088979</v>
      </c>
      <c r="E22" s="209">
        <f>[2]Sheet1!$K$12</f>
        <v>1.0698428293135169</v>
      </c>
      <c r="F22" s="204" t="s">
        <v>73</v>
      </c>
    </row>
    <row r="23" spans="1:6" ht="13.8" customHeight="1">
      <c r="A23" s="134"/>
      <c r="B23" s="211"/>
      <c r="C23" s="238" t="str">
        <f>CONCATENATE("(",  ROUND([3]Sheet1!$B$12, 1),  ")")</f>
        <v>(0.1)</v>
      </c>
      <c r="D23" s="238" t="str">
        <f>CONCATENATE("(",  ROUND([3]Sheet1!$D$12, 1),  ")")</f>
        <v>(0.1)</v>
      </c>
      <c r="E23" s="238" t="str">
        <f>CONCATENATE("(",  ROUND([3]Sheet1!$E$12, 1),  ")")</f>
        <v>(0.1)</v>
      </c>
      <c r="F23" s="204"/>
    </row>
    <row r="24" spans="1:6" ht="13.8" customHeight="1">
      <c r="A24" s="134"/>
      <c r="B24" s="221" t="s">
        <v>306</v>
      </c>
      <c r="C24" s="204" t="s">
        <v>73</v>
      </c>
      <c r="D24" s="210">
        <f>[2]Sheet1!$F$4+[2]Sheet1!$F$5</f>
        <v>0.78773475798526893</v>
      </c>
      <c r="E24" s="210">
        <f>[2]Sheet1!$F$12+[2]Sheet1!$F$13</f>
        <v>0.70068283840861012</v>
      </c>
      <c r="F24" s="218">
        <f>[2]Sheet1!$F$8+[2]Sheet1!$F$9</f>
        <v>0.64969787448081573</v>
      </c>
    </row>
    <row r="25" spans="1:6" ht="13.8" customHeight="1">
      <c r="A25" s="134"/>
      <c r="B25" s="221"/>
      <c r="C25" s="204"/>
      <c r="D25" s="238" t="str">
        <f>CONCATENATE("(",  ROUND([3]Sheet1!$D$15, 2),  ")")</f>
        <v>(0.03)</v>
      </c>
      <c r="E25" s="238" t="str">
        <f>CONCATENATE("(",  ROUND([3]Sheet1!$E$15, 2),  ")")</f>
        <v>(0.03)</v>
      </c>
      <c r="F25" s="238" t="str">
        <f>CONCATENATE("(",  ROUND([3]Sheet1!$F$15, 2),  ")")</f>
        <v>(0.04)</v>
      </c>
    </row>
    <row r="26" spans="1:6" ht="13.8" customHeight="1">
      <c r="A26" s="202" t="s">
        <v>187</v>
      </c>
      <c r="B26" s="211"/>
      <c r="C26" s="204"/>
      <c r="D26" s="204"/>
      <c r="E26" s="204"/>
      <c r="F26" s="204"/>
    </row>
    <row r="27" spans="1:6" s="296" customFormat="1" ht="13.8" customHeight="1">
      <c r="A27" s="292"/>
      <c r="B27" s="293" t="s">
        <v>284</v>
      </c>
      <c r="C27" s="294">
        <v>27</v>
      </c>
      <c r="D27" s="295">
        <v>27</v>
      </c>
      <c r="E27" s="295">
        <v>27</v>
      </c>
      <c r="F27" s="295">
        <v>27</v>
      </c>
    </row>
    <row r="28" spans="1:6" s="296" customFormat="1" ht="13.8" customHeight="1">
      <c r="A28" s="292"/>
      <c r="B28" s="297" t="s">
        <v>188</v>
      </c>
      <c r="C28" s="294">
        <v>4</v>
      </c>
      <c r="D28" s="295">
        <v>9</v>
      </c>
      <c r="E28" s="295">
        <v>8</v>
      </c>
      <c r="F28" s="295">
        <v>8</v>
      </c>
    </row>
    <row r="29" spans="1:6" s="296" customFormat="1" ht="13.8" customHeight="1">
      <c r="A29" s="292"/>
      <c r="B29" s="297" t="s">
        <v>189</v>
      </c>
      <c r="C29" s="298">
        <f>[14]Sheet1!$C$2</f>
        <v>458.28790505761219</v>
      </c>
      <c r="D29" s="299">
        <f>[2]Sheet1!$C$4</f>
        <v>99.24702988560766</v>
      </c>
      <c r="E29" s="299">
        <f>[2]Sheet1!$C$12</f>
        <v>139.0133747832331</v>
      </c>
      <c r="F29" s="299">
        <f>[2]Sheet1!$C$8</f>
        <v>117.1684512080184</v>
      </c>
    </row>
    <row r="30" spans="1:6" s="296" customFormat="1" ht="13.8" customHeight="1">
      <c r="A30" s="292"/>
      <c r="B30" s="297" t="s">
        <v>190</v>
      </c>
      <c r="C30" s="298">
        <f>[14]Sheet1!$D$2</f>
        <v>204.99806784168709</v>
      </c>
      <c r="D30" s="299">
        <f>[2]Sheet1!$D$4</f>
        <v>86.285275634561373</v>
      </c>
      <c r="E30" s="299">
        <f>[2]Sheet1!$D$12</f>
        <v>78.858343119264163</v>
      </c>
      <c r="F30" s="299">
        <f>[2]Sheet1!$D$8</f>
        <v>77.012407577914985</v>
      </c>
    </row>
    <row r="31" spans="1:6" s="296" customFormat="1" ht="13.8" customHeight="1" thickBot="1">
      <c r="A31" s="300"/>
      <c r="B31" s="300" t="s">
        <v>191</v>
      </c>
      <c r="C31" s="301">
        <f>SUM(C29:C30)</f>
        <v>663.28597289929928</v>
      </c>
      <c r="D31" s="301">
        <f>SUM(D29:D30)</f>
        <v>185.53230552016902</v>
      </c>
      <c r="E31" s="301">
        <f>SUM(E29:E30)</f>
        <v>217.87171790249727</v>
      </c>
      <c r="F31" s="301">
        <f>SUM(F29:F30)</f>
        <v>194.18085878593337</v>
      </c>
    </row>
    <row r="32" spans="1:6" ht="160.05000000000001" customHeight="1" thickTop="1">
      <c r="A32" s="335" t="s">
        <v>421</v>
      </c>
      <c r="B32" s="336"/>
      <c r="C32" s="336"/>
      <c r="D32" s="336"/>
      <c r="E32" s="336"/>
      <c r="F32" s="336"/>
    </row>
    <row r="35" spans="2:2">
      <c r="B35" s="198"/>
    </row>
  </sheetData>
  <mergeCells count="2">
    <mergeCell ref="A1:F1"/>
    <mergeCell ref="A32:F3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view="pageBreakPreview" topLeftCell="A2" zoomScale="130" zoomScaleNormal="100" zoomScaleSheetLayoutView="130" workbookViewId="0">
      <selection activeCell="C2" sqref="C1:E1048576"/>
    </sheetView>
  </sheetViews>
  <sheetFormatPr defaultColWidth="8.77734375" defaultRowHeight="13.2"/>
  <cols>
    <col min="1" max="1" width="3.109375" style="132" customWidth="1"/>
    <col min="2" max="2" width="26.109375" style="132" customWidth="1"/>
    <col min="3" max="4" width="10.33203125" style="132" customWidth="1"/>
    <col min="5" max="5" width="1.6640625" style="132" customWidth="1"/>
    <col min="6" max="7" width="10.33203125" style="132" customWidth="1"/>
    <col min="8" max="8" width="1.109375" style="132" customWidth="1"/>
    <col min="9" max="9" width="11.109375" style="132" customWidth="1"/>
    <col min="10" max="16384" width="8.77734375" style="132"/>
  </cols>
  <sheetData>
    <row r="1" spans="1:9" ht="13.8" thickBot="1">
      <c r="A1" s="334" t="s">
        <v>357</v>
      </c>
      <c r="B1" s="334"/>
      <c r="C1" s="334"/>
      <c r="D1" s="334"/>
      <c r="E1" s="334"/>
      <c r="F1" s="334"/>
      <c r="G1" s="334"/>
      <c r="H1" s="334"/>
      <c r="I1" s="334"/>
    </row>
    <row r="2" spans="1:9" ht="19.8" customHeight="1" thickTop="1">
      <c r="A2" s="133" t="s">
        <v>103</v>
      </c>
      <c r="B2" s="134"/>
      <c r="C2" s="134"/>
      <c r="D2" s="134"/>
      <c r="E2" s="134"/>
      <c r="F2" s="134"/>
      <c r="G2" s="134"/>
      <c r="H2" s="134"/>
      <c r="I2" s="134"/>
    </row>
    <row r="3" spans="1:9" ht="40.950000000000003" customHeight="1">
      <c r="A3" s="134"/>
      <c r="B3" s="134"/>
      <c r="C3" s="337" t="s">
        <v>285</v>
      </c>
      <c r="D3" s="337"/>
      <c r="E3" s="134"/>
      <c r="F3" s="337" t="s">
        <v>332</v>
      </c>
      <c r="G3" s="337"/>
      <c r="H3" s="134"/>
      <c r="I3" s="134"/>
    </row>
    <row r="4" spans="1:9" ht="29.55" customHeight="1">
      <c r="A4" s="134"/>
      <c r="B4" s="134"/>
      <c r="C4" s="135" t="s">
        <v>286</v>
      </c>
      <c r="D4" s="135" t="s">
        <v>115</v>
      </c>
      <c r="E4" s="135"/>
      <c r="F4" s="135" t="s">
        <v>333</v>
      </c>
      <c r="G4" s="135" t="s">
        <v>115</v>
      </c>
      <c r="H4" s="135"/>
      <c r="I4" s="135" t="s">
        <v>114</v>
      </c>
    </row>
    <row r="5" spans="1:9">
      <c r="A5" s="134"/>
      <c r="B5" s="134"/>
      <c r="C5" s="136" t="s">
        <v>65</v>
      </c>
      <c r="D5" s="136" t="s">
        <v>66</v>
      </c>
      <c r="E5" s="137"/>
      <c r="F5" s="136" t="s">
        <v>57</v>
      </c>
      <c r="G5" s="136" t="s">
        <v>58</v>
      </c>
      <c r="H5" s="137"/>
      <c r="I5" s="137"/>
    </row>
    <row r="6" spans="1:9">
      <c r="A6" s="138" t="s">
        <v>76</v>
      </c>
      <c r="B6" s="134"/>
      <c r="C6" s="134"/>
      <c r="D6" s="134"/>
      <c r="E6" s="134"/>
      <c r="F6" s="134"/>
      <c r="G6" s="134"/>
      <c r="H6" s="134"/>
      <c r="I6" s="134"/>
    </row>
    <row r="7" spans="1:9" ht="14.55" customHeight="1">
      <c r="A7" s="134"/>
      <c r="B7" s="134" t="s">
        <v>288</v>
      </c>
      <c r="C7" s="139">
        <f>0.01*[4]Sheet1!$P$5</f>
        <v>9.9514265531045566E-5</v>
      </c>
      <c r="D7" s="139">
        <f>0.01*[4]Sheet1!$U$5</f>
        <v>3.5731929356143366E-4</v>
      </c>
      <c r="E7" s="140"/>
      <c r="F7" s="141">
        <f>0.01*[4]Sheet1!$O$7</f>
        <v>-5.0821401821671694E-5</v>
      </c>
      <c r="G7" s="141">
        <f>0.01*[4]Sheet1!$T$7</f>
        <v>2.3958776914250442E-4</v>
      </c>
      <c r="H7" s="140"/>
      <c r="I7" s="142">
        <f>D7/C7</f>
        <v>3.590633882033329</v>
      </c>
    </row>
    <row r="8" spans="1:9" ht="14.55" customHeight="1">
      <c r="A8" s="134"/>
      <c r="B8" s="134" t="s">
        <v>289</v>
      </c>
      <c r="C8" s="139">
        <f>0.01*[4]Sheet1!$R$5</f>
        <v>9.2077155909517616E-5</v>
      </c>
      <c r="D8" s="141"/>
      <c r="E8" s="140"/>
      <c r="F8" s="141" t="s">
        <v>73</v>
      </c>
      <c r="G8" s="141" t="s">
        <v>73</v>
      </c>
      <c r="H8" s="140"/>
      <c r="I8" s="142"/>
    </row>
    <row r="9" spans="1:9">
      <c r="A9" s="138" t="s">
        <v>76</v>
      </c>
      <c r="B9" s="134"/>
      <c r="C9" s="143"/>
      <c r="D9" s="143"/>
      <c r="E9" s="143"/>
      <c r="F9" s="143"/>
      <c r="G9" s="143"/>
      <c r="H9" s="144"/>
      <c r="I9" s="142"/>
    </row>
    <row r="10" spans="1:9" ht="13.95" customHeight="1">
      <c r="A10" s="134"/>
      <c r="B10" s="134" t="s">
        <v>290</v>
      </c>
      <c r="C10" s="139">
        <f>0.01*[4]Sheet1!$P$8</f>
        <v>4.5690009521823466E-4</v>
      </c>
      <c r="D10" s="139">
        <f>0.01*[4]Sheet1!$U$8</f>
        <v>2.191632906131251E-3</v>
      </c>
      <c r="E10" s="140"/>
      <c r="F10" s="141">
        <f>0.01*[4]Sheet1!$O$10</f>
        <v>2.3035397187745892E-4</v>
      </c>
      <c r="G10" s="141">
        <f>0.01*[4]Sheet1!$T$10</f>
        <v>8.0816682126154502E-4</v>
      </c>
      <c r="H10" s="140"/>
      <c r="I10" s="142">
        <f t="shared" ref="I10" si="0">D10/C10</f>
        <v>4.796744253433423</v>
      </c>
    </row>
    <row r="11" spans="1:9" ht="16.05" customHeight="1" thickBot="1">
      <c r="A11" s="145"/>
      <c r="B11" s="145" t="s">
        <v>291</v>
      </c>
      <c r="C11" s="146">
        <f>0.01*[4]Sheet1!$R$8</f>
        <v>4.168159551612079E-4</v>
      </c>
      <c r="D11" s="189"/>
      <c r="E11" s="190"/>
      <c r="F11" s="189" t="s">
        <v>73</v>
      </c>
      <c r="G11" s="189" t="s">
        <v>73</v>
      </c>
      <c r="H11" s="190"/>
      <c r="I11" s="147"/>
    </row>
    <row r="12" spans="1:9" ht="241.05" customHeight="1" thickTop="1">
      <c r="A12" s="338" t="s">
        <v>412</v>
      </c>
      <c r="B12" s="338"/>
      <c r="C12" s="338"/>
      <c r="D12" s="338"/>
      <c r="E12" s="338"/>
      <c r="F12" s="338"/>
      <c r="G12" s="338"/>
      <c r="H12" s="338"/>
      <c r="I12" s="338"/>
    </row>
  </sheetData>
  <mergeCells count="4">
    <mergeCell ref="A1:I1"/>
    <mergeCell ref="C3:D3"/>
    <mergeCell ref="F3:G3"/>
    <mergeCell ref="A12:I1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
  <sheetViews>
    <sheetView workbookViewId="0">
      <selection activeCell="C2" sqref="C1:E1048576"/>
    </sheetView>
  </sheetViews>
  <sheetFormatPr defaultColWidth="8.77734375" defaultRowHeight="14.4"/>
  <cols>
    <col min="1" max="1" width="1" style="148" customWidth="1"/>
    <col min="2" max="2" width="39.77734375" style="148" customWidth="1"/>
    <col min="3" max="4" width="10.109375" style="148" customWidth="1"/>
    <col min="5" max="5" width="1" style="148" customWidth="1"/>
    <col min="6" max="6" width="11.109375" style="148" customWidth="1"/>
    <col min="7" max="7" width="11.44140625" style="148" customWidth="1"/>
    <col min="8" max="16384" width="8.77734375" style="148"/>
  </cols>
  <sheetData>
    <row r="1" spans="1:10" ht="15" thickBot="1">
      <c r="A1" s="310" t="s">
        <v>356</v>
      </c>
      <c r="B1" s="310"/>
      <c r="C1" s="310"/>
      <c r="D1" s="310"/>
      <c r="E1" s="310"/>
      <c r="F1" s="310"/>
      <c r="G1" s="310"/>
    </row>
    <row r="2" spans="1:10" ht="19.8" customHeight="1" thickTop="1">
      <c r="A2" s="149" t="s">
        <v>103</v>
      </c>
      <c r="B2" s="150"/>
      <c r="C2" s="150"/>
      <c r="D2" s="150"/>
      <c r="E2" s="150"/>
      <c r="F2" s="150"/>
      <c r="G2" s="150"/>
    </row>
    <row r="3" spans="1:10" ht="49.8" customHeight="1">
      <c r="A3" s="150"/>
      <c r="B3" s="150"/>
      <c r="C3" s="151" t="s">
        <v>368</v>
      </c>
      <c r="D3" s="151" t="s">
        <v>369</v>
      </c>
      <c r="E3" s="152"/>
      <c r="F3" s="152" t="s">
        <v>315</v>
      </c>
      <c r="G3" s="152" t="s">
        <v>114</v>
      </c>
    </row>
    <row r="4" spans="1:10" ht="16.05" customHeight="1">
      <c r="A4" s="150"/>
      <c r="B4" s="150"/>
      <c r="C4" s="153" t="s">
        <v>65</v>
      </c>
      <c r="D4" s="153" t="s">
        <v>66</v>
      </c>
      <c r="E4" s="154"/>
      <c r="F4" s="200" t="s">
        <v>57</v>
      </c>
      <c r="G4" s="200" t="s">
        <v>58</v>
      </c>
    </row>
    <row r="5" spans="1:10" ht="16.05" customHeight="1">
      <c r="A5" s="155" t="s">
        <v>350</v>
      </c>
      <c r="B5" s="150"/>
      <c r="C5" s="150"/>
      <c r="D5" s="150"/>
      <c r="E5" s="150"/>
      <c r="F5" s="150"/>
      <c r="G5" s="150"/>
    </row>
    <row r="6" spans="1:10" ht="16.05" customHeight="1">
      <c r="A6" s="150"/>
      <c r="B6" s="150" t="s">
        <v>77</v>
      </c>
      <c r="C6" s="156">
        <f>0.01*[4]Sheet1!$P$2</f>
        <v>2.082763600715227E-4</v>
      </c>
      <c r="D6" s="156">
        <f>0.01*[4]Sheet1!$U$2</f>
        <v>8.1996864352861204E-4</v>
      </c>
      <c r="E6" s="178"/>
      <c r="F6" s="158">
        <f>D6-C6</f>
        <v>6.1169228345708934E-4</v>
      </c>
      <c r="G6" s="179">
        <f>D6/C6</f>
        <v>3.9369261266474624</v>
      </c>
    </row>
    <row r="7" spans="1:10" ht="16.05" customHeight="1">
      <c r="A7" s="150"/>
      <c r="B7" s="150" t="s">
        <v>78</v>
      </c>
      <c r="C7" s="156">
        <f>0.01*[4]Sheet1!$R$2</f>
        <v>1.9184354729625129E-4</v>
      </c>
      <c r="D7" s="158" t="s">
        <v>73</v>
      </c>
      <c r="E7" s="178"/>
      <c r="F7" s="158"/>
      <c r="G7" s="179"/>
    </row>
    <row r="8" spans="1:10" ht="16.05" customHeight="1">
      <c r="A8" s="155" t="s">
        <v>349</v>
      </c>
      <c r="B8" s="150"/>
      <c r="C8" s="150"/>
      <c r="D8" s="150"/>
      <c r="E8" s="150"/>
      <c r="F8" s="158"/>
      <c r="G8" s="179"/>
    </row>
    <row r="9" spans="1:10" ht="16.05" customHeight="1">
      <c r="A9" s="180"/>
      <c r="B9" s="180" t="s">
        <v>77</v>
      </c>
      <c r="C9" s="181">
        <f>0.01*[4]Sheet1!$P$3</f>
        <v>-2.2756006483349688E-4</v>
      </c>
      <c r="D9" s="181">
        <f>0.01*[4]Sheet1!$U$3</f>
        <v>1.6039038797301512E-4</v>
      </c>
      <c r="E9" s="182"/>
      <c r="F9" s="158">
        <f>D9-C9</f>
        <v>3.8795045280651198E-4</v>
      </c>
      <c r="G9" s="183" t="s">
        <v>73</v>
      </c>
    </row>
    <row r="10" spans="1:10" ht="16.05" customHeight="1">
      <c r="A10" s="180"/>
      <c r="B10" s="180" t="s">
        <v>78</v>
      </c>
      <c r="C10" s="181">
        <f>0.01*[4]Sheet1!$R$3</f>
        <v>-2.4648269772623368E-4</v>
      </c>
      <c r="D10" s="183" t="s">
        <v>73</v>
      </c>
      <c r="E10" s="182"/>
      <c r="F10" s="158"/>
      <c r="G10" s="179"/>
    </row>
    <row r="11" spans="1:10" ht="16.05" customHeight="1">
      <c r="A11" s="155" t="s">
        <v>79</v>
      </c>
      <c r="B11" s="150"/>
      <c r="C11" s="184"/>
      <c r="D11" s="184"/>
      <c r="E11" s="184"/>
      <c r="F11" s="158"/>
      <c r="G11" s="179"/>
    </row>
    <row r="12" spans="1:10" ht="16.05" customHeight="1">
      <c r="A12" s="150"/>
      <c r="B12" s="185" t="s">
        <v>352</v>
      </c>
      <c r="C12" s="156">
        <f>0.01*[4]Sheet1!$O$14</f>
        <v>2.4127199079266041E-4</v>
      </c>
      <c r="D12" s="156">
        <f>0.01*[4]Sheet1!$T$14</f>
        <v>5.9209282139411799E-4</v>
      </c>
      <c r="E12" s="184"/>
      <c r="F12" s="158">
        <f>D12-C12</f>
        <v>3.5082083060145757E-4</v>
      </c>
      <c r="G12" s="179">
        <f>D12/C12</f>
        <v>2.4540470671663628</v>
      </c>
    </row>
    <row r="13" spans="1:10" ht="16.05" customHeight="1">
      <c r="A13" s="150"/>
      <c r="B13" s="185" t="s">
        <v>313</v>
      </c>
      <c r="C13" s="156">
        <f>0.01*[4]Sheet1!$O$16</f>
        <v>-3.3172055143150791E-4</v>
      </c>
      <c r="D13" s="156">
        <f>0.01*[4]Sheet1!$T$16</f>
        <v>-3.0550098232438828E-4</v>
      </c>
      <c r="E13" s="184"/>
      <c r="F13" s="158">
        <f>D13-C13</f>
        <v>2.6219569107119626E-5</v>
      </c>
      <c r="G13" s="199" t="s">
        <v>73</v>
      </c>
    </row>
    <row r="14" spans="1:10" ht="16.05" customHeight="1" thickBot="1">
      <c r="A14" s="159"/>
      <c r="B14" s="186" t="s">
        <v>351</v>
      </c>
      <c r="C14" s="160">
        <f>0.01*[4]Sheet1!$O$19</f>
        <v>-2.2436519659597702E-4</v>
      </c>
      <c r="D14" s="160">
        <f>0.01*[4]Sheet1!$T$19</f>
        <v>2.6313880180361691E-5</v>
      </c>
      <c r="E14" s="187"/>
      <c r="F14" s="161">
        <f>D14-C14</f>
        <v>2.5067907677633872E-4</v>
      </c>
      <c r="G14" s="188" t="s">
        <v>73</v>
      </c>
    </row>
    <row r="15" spans="1:10" ht="231" customHeight="1" thickTop="1">
      <c r="A15" s="311" t="s">
        <v>413</v>
      </c>
      <c r="B15" s="311"/>
      <c r="C15" s="311"/>
      <c r="D15" s="311"/>
      <c r="E15" s="311"/>
      <c r="F15" s="311"/>
      <c r="G15" s="311"/>
      <c r="I15" s="156"/>
      <c r="J15" s="156"/>
    </row>
  </sheetData>
  <mergeCells count="2">
    <mergeCell ref="A1:G1"/>
    <mergeCell ref="A15:G1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2"/>
  <sheetViews>
    <sheetView workbookViewId="0">
      <selection activeCell="C2" sqref="C1:E1048576"/>
    </sheetView>
  </sheetViews>
  <sheetFormatPr defaultColWidth="8.77734375" defaultRowHeight="13.2"/>
  <cols>
    <col min="1" max="1" width="8.77734375" style="2"/>
    <col min="2" max="2" width="16.109375" style="2" customWidth="1"/>
    <col min="3" max="3" width="10.6640625" style="2" customWidth="1"/>
    <col min="4" max="4" width="10.44140625" style="2" customWidth="1"/>
    <col min="5" max="5" width="12.77734375" style="2" customWidth="1"/>
    <col min="6" max="6" width="9.6640625" style="2" customWidth="1"/>
    <col min="7" max="16384" width="8.77734375" style="2"/>
  </cols>
  <sheetData>
    <row r="1" spans="2:12" ht="13.8" thickBot="1">
      <c r="B1" s="306" t="s">
        <v>355</v>
      </c>
      <c r="C1" s="306"/>
      <c r="D1" s="306"/>
      <c r="E1" s="306"/>
      <c r="F1" s="306"/>
    </row>
    <row r="2" spans="2:12" ht="13.8" thickTop="1">
      <c r="C2" s="326" t="s">
        <v>242</v>
      </c>
      <c r="D2" s="326"/>
      <c r="E2" s="326"/>
      <c r="F2" s="326"/>
      <c r="G2" s="46"/>
      <c r="H2" s="46"/>
      <c r="I2" s="46"/>
      <c r="J2" s="46"/>
    </row>
    <row r="3" spans="2:12" ht="28.8">
      <c r="B3" s="75" t="s">
        <v>246</v>
      </c>
      <c r="C3" s="6" t="s">
        <v>243</v>
      </c>
      <c r="D3" s="6" t="s">
        <v>244</v>
      </c>
      <c r="E3" s="80" t="s">
        <v>247</v>
      </c>
      <c r="F3" s="80" t="s">
        <v>245</v>
      </c>
      <c r="G3" s="46"/>
      <c r="H3" s="46"/>
      <c r="I3" s="46"/>
      <c r="J3" s="46"/>
    </row>
    <row r="4" spans="2:12">
      <c r="B4" s="81" t="str">
        <f>[15]at20_dcpc_dur_share!B2</f>
        <v>Cash</v>
      </c>
      <c r="C4" s="302">
        <f>[15]at20_dcpc_dur_share!C2</f>
        <v>0.75</v>
      </c>
      <c r="D4" s="302">
        <f>[15]at20_dcpc_dur_share!D2</f>
        <v>0.17</v>
      </c>
      <c r="E4" s="302">
        <f>[15]at20_dcpc_dur_share!E2</f>
        <v>0.92</v>
      </c>
      <c r="F4" s="302">
        <f>[15]at20_dcpc_dur_share!F2</f>
        <v>0.08</v>
      </c>
    </row>
    <row r="5" spans="2:12">
      <c r="B5" s="81" t="str">
        <f>[15]at20_dcpc_dur_share!B3</f>
        <v>Check</v>
      </c>
      <c r="C5" s="302">
        <f>[15]at20_dcpc_dur_share!C3</f>
        <v>0.32</v>
      </c>
      <c r="D5" s="302">
        <f>[15]at20_dcpc_dur_share!D3</f>
        <v>0.62</v>
      </c>
      <c r="E5" s="302">
        <f>[15]at20_dcpc_dur_share!E3</f>
        <v>0.94</v>
      </c>
      <c r="F5" s="302">
        <f>[15]at20_dcpc_dur_share!F3</f>
        <v>0.06</v>
      </c>
    </row>
    <row r="6" spans="2:12">
      <c r="B6" s="81" t="str">
        <f>[15]at20_dcpc_dur_share!B4</f>
        <v>Credit Card</v>
      </c>
      <c r="C6" s="302">
        <f>[15]at20_dcpc_dur_share!C4</f>
        <v>0.83</v>
      </c>
      <c r="D6" s="302">
        <f>[15]at20_dcpc_dur_share!D4</f>
        <v>0.16</v>
      </c>
      <c r="E6" s="302">
        <f>[15]at20_dcpc_dur_share!E4</f>
        <v>0.99</v>
      </c>
      <c r="F6" s="302">
        <f>[15]at20_dcpc_dur_share!F4</f>
        <v>0.01</v>
      </c>
    </row>
    <row r="7" spans="2:12">
      <c r="B7" s="81" t="str">
        <f>[15]at20_dcpc_dur_share!B5</f>
        <v>Debit Card</v>
      </c>
      <c r="C7" s="302">
        <f>[15]at20_dcpc_dur_share!C5</f>
        <v>0.79</v>
      </c>
      <c r="D7" s="302">
        <f>[15]at20_dcpc_dur_share!D5</f>
        <v>0.19</v>
      </c>
      <c r="E7" s="302">
        <f>[15]at20_dcpc_dur_share!E5</f>
        <v>0.98</v>
      </c>
      <c r="F7" s="302">
        <f>[15]at20_dcpc_dur_share!F5</f>
        <v>0.02</v>
      </c>
      <c r="L7" s="7"/>
    </row>
    <row r="8" spans="2:12">
      <c r="B8" s="81" t="str">
        <f>[15]at20_dcpc_dur_share!B6</f>
        <v>Electronic Transfer</v>
      </c>
      <c r="C8" s="302">
        <f>[15]at20_dcpc_dur_share!C6</f>
        <v>0.34</v>
      </c>
      <c r="D8" s="302">
        <f>[15]at20_dcpc_dur_share!D6</f>
        <v>0.59</v>
      </c>
      <c r="E8" s="302">
        <f>[15]at20_dcpc_dur_share!E6</f>
        <v>0.93</v>
      </c>
      <c r="F8" s="302">
        <f>[15]at20_dcpc_dur_share!F6</f>
        <v>7.0000000000000007E-2</v>
      </c>
      <c r="L8" s="7"/>
    </row>
    <row r="9" spans="2:12">
      <c r="B9" s="81" t="str">
        <f>[15]at20_dcpc_dur_share!B7</f>
        <v>Online Pay</v>
      </c>
      <c r="C9" s="302">
        <f>[15]at20_dcpc_dur_share!C7</f>
        <v>0.38</v>
      </c>
      <c r="D9" s="302">
        <f>[15]at20_dcpc_dur_share!D7</f>
        <v>0.54</v>
      </c>
      <c r="E9" s="302">
        <f>[15]at20_dcpc_dur_share!E7</f>
        <v>0.92</v>
      </c>
      <c r="F9" s="302">
        <f>[15]at20_dcpc_dur_share!F7</f>
        <v>0.08</v>
      </c>
    </row>
    <row r="10" spans="2:12">
      <c r="B10" s="81" t="str">
        <f>[15]at20_dcpc_dur_share!B8</f>
        <v>Other</v>
      </c>
      <c r="C10" s="302">
        <f>[15]at20_dcpc_dur_share!C8</f>
        <v>0.54</v>
      </c>
      <c r="D10" s="302">
        <f>[15]at20_dcpc_dur_share!D8</f>
        <v>0.4</v>
      </c>
      <c r="E10" s="302">
        <f>[15]at20_dcpc_dur_share!E8</f>
        <v>0.93</v>
      </c>
      <c r="F10" s="302">
        <f>[15]at20_dcpc_dur_share!F8</f>
        <v>7.0000000000000007E-2</v>
      </c>
    </row>
    <row r="11" spans="2:12" ht="13.8" thickBot="1">
      <c r="B11" s="31" t="str">
        <f>[15]at20_dcpc_dur_share!B9</f>
        <v>Total</v>
      </c>
      <c r="C11" s="303">
        <f>[15]at20_dcpc_dur_share!C9</f>
        <v>0.57999999999999996</v>
      </c>
      <c r="D11" s="303">
        <f>[15]at20_dcpc_dur_share!D9</f>
        <v>0.37</v>
      </c>
      <c r="E11" s="303">
        <f>[15]at20_dcpc_dur_share!E9</f>
        <v>0.95</v>
      </c>
      <c r="F11" s="303">
        <f>[15]at20_dcpc_dur_share!F9</f>
        <v>0.05</v>
      </c>
    </row>
    <row r="12" spans="2:12" ht="118.05" customHeight="1" thickTop="1">
      <c r="B12" s="307" t="s">
        <v>414</v>
      </c>
      <c r="C12" s="307"/>
      <c r="D12" s="307"/>
      <c r="E12" s="307"/>
      <c r="F12" s="307"/>
    </row>
  </sheetData>
  <mergeCells count="3">
    <mergeCell ref="B12:F12"/>
    <mergeCell ref="B1:F1"/>
    <mergeCell ref="C2:F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workbookViewId="0">
      <selection activeCell="C2" sqref="C1:E1048576"/>
    </sheetView>
  </sheetViews>
  <sheetFormatPr defaultColWidth="11.44140625" defaultRowHeight="13.2"/>
  <sheetData>
    <row r="1" spans="1:3">
      <c r="A1" s="2"/>
      <c r="B1" s="23"/>
      <c r="C1" s="2" t="s">
        <v>267</v>
      </c>
    </row>
    <row r="2" spans="1:3">
      <c r="A2" s="2" t="s">
        <v>218</v>
      </c>
      <c r="B2" s="2">
        <f>SUMIF(at14_color_on!A$4:A$25, A2,at14_color_on!C$4:C$25)</f>
        <v>1087</v>
      </c>
      <c r="C2" s="79">
        <f t="shared" ref="C2:C8" si="0">B2/B$9</f>
        <v>0.19898584948834822</v>
      </c>
    </row>
    <row r="3" spans="1:3">
      <c r="A3" s="2" t="s">
        <v>217</v>
      </c>
      <c r="B3" s="2">
        <f>SUMIF(at14_color_on!A$4:A$25, A3,at14_color_on!C$4:C$25)</f>
        <v>353</v>
      </c>
      <c r="C3" s="79">
        <f t="shared" si="0"/>
        <v>6.4620059677448868E-2</v>
      </c>
    </row>
    <row r="4" spans="1:3">
      <c r="A4" s="2" t="s">
        <v>219</v>
      </c>
      <c r="B4" s="2">
        <f>SUMIF(at14_color_on!A$4:A$25, A4,at14_color_on!C$4:C$25)</f>
        <v>945</v>
      </c>
      <c r="C4" s="79">
        <f t="shared" si="0"/>
        <v>0.17299137789005434</v>
      </c>
    </row>
    <row r="5" spans="1:3">
      <c r="A5" s="2" t="s">
        <v>216</v>
      </c>
      <c r="B5" s="2">
        <f>SUMIF(at14_color_on!A$4:A$25, A5,at14_color_on!C$4:C$25)</f>
        <v>387</v>
      </c>
      <c r="C5" s="79">
        <f t="shared" si="0"/>
        <v>7.0844088088307972E-2</v>
      </c>
    </row>
    <row r="6" spans="1:3">
      <c r="A6" s="2" t="s">
        <v>268</v>
      </c>
      <c r="B6" s="23">
        <f>at14_color_on!C29+at14_color_on!C27</f>
        <v>762.2</v>
      </c>
      <c r="C6" s="79">
        <f t="shared" si="0"/>
        <v>0.13952807219872956</v>
      </c>
    </row>
    <row r="7" spans="1:3">
      <c r="A7" s="2" t="s">
        <v>269</v>
      </c>
      <c r="B7" s="23">
        <f>at14_color_on!C28+at14_color_on!C30</f>
        <v>1574.7</v>
      </c>
      <c r="C7" s="79">
        <f t="shared" si="0"/>
        <v>0.28826404525234772</v>
      </c>
    </row>
    <row r="8" spans="1:3">
      <c r="A8" s="2" t="s">
        <v>270</v>
      </c>
      <c r="B8" s="23">
        <f>at14_color_on!C31</f>
        <v>353.8</v>
      </c>
      <c r="C8" s="79">
        <f t="shared" si="0"/>
        <v>6.476650740476321E-2</v>
      </c>
    </row>
    <row r="9" spans="1:3">
      <c r="A9" s="2" t="s">
        <v>233</v>
      </c>
      <c r="B9" s="2">
        <f>SUM(at14_color_on!C4:C31)</f>
        <v>5462.7000000000007</v>
      </c>
      <c r="C9" s="2"/>
    </row>
    <row r="11" spans="1:3">
      <c r="A11" s="2" t="s">
        <v>299</v>
      </c>
      <c r="B11">
        <f>SUM(B2:B4)</f>
        <v>2385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view="pageBreakPreview" zoomScale="85" zoomScaleNormal="100" zoomScaleSheetLayoutView="85" workbookViewId="0">
      <selection activeCell="C2" sqref="C1:E1048576"/>
    </sheetView>
  </sheetViews>
  <sheetFormatPr defaultColWidth="8.77734375" defaultRowHeight="12"/>
  <cols>
    <col min="1" max="1" width="2.77734375" style="113" customWidth="1"/>
    <col min="2" max="2" width="34" style="113" customWidth="1"/>
    <col min="3" max="4" width="11.109375" style="113" customWidth="1"/>
    <col min="5" max="6" width="15" style="113" customWidth="1"/>
    <col min="7" max="16384" width="8.77734375" style="113"/>
  </cols>
  <sheetData>
    <row r="1" spans="1:6" ht="18" customHeight="1" thickBot="1">
      <c r="A1" s="308" t="s">
        <v>341</v>
      </c>
      <c r="B1" s="308"/>
      <c r="C1" s="308"/>
      <c r="D1" s="308"/>
      <c r="E1" s="308"/>
      <c r="F1" s="308"/>
    </row>
    <row r="2" spans="1:6" ht="10.050000000000001" customHeight="1" thickTop="1">
      <c r="A2" s="114"/>
      <c r="B2" s="114"/>
      <c r="C2" s="114"/>
      <c r="D2" s="222"/>
      <c r="E2" s="222"/>
      <c r="F2" s="222"/>
    </row>
    <row r="3" spans="1:6" ht="30.6" customHeight="1">
      <c r="A3" s="117"/>
      <c r="B3" s="117"/>
      <c r="C3" s="115" t="s">
        <v>314</v>
      </c>
      <c r="D3" s="115" t="s">
        <v>314</v>
      </c>
      <c r="E3" s="116" t="s">
        <v>313</v>
      </c>
      <c r="F3" s="116" t="s">
        <v>325</v>
      </c>
    </row>
    <row r="4" spans="1:6" ht="13.95" customHeight="1">
      <c r="A4" s="117"/>
      <c r="B4" s="118"/>
      <c r="C4" s="119" t="s">
        <v>65</v>
      </c>
      <c r="D4" s="119" t="s">
        <v>66</v>
      </c>
      <c r="E4" s="119" t="s">
        <v>57</v>
      </c>
      <c r="F4" s="119" t="s">
        <v>58</v>
      </c>
    </row>
    <row r="5" spans="1:6" ht="16.95" customHeight="1">
      <c r="A5" s="223" t="s">
        <v>367</v>
      </c>
      <c r="B5" s="118"/>
      <c r="C5" s="128" t="s">
        <v>312</v>
      </c>
      <c r="D5" s="128" t="s">
        <v>312</v>
      </c>
      <c r="E5" s="128" t="s">
        <v>311</v>
      </c>
      <c r="F5" s="128" t="s">
        <v>311</v>
      </c>
    </row>
    <row r="6" spans="1:6" ht="14.55" customHeight="1">
      <c r="A6" s="223" t="s">
        <v>182</v>
      </c>
      <c r="B6" s="117"/>
      <c r="C6" s="224"/>
      <c r="D6" s="128"/>
      <c r="E6" s="118"/>
      <c r="F6" s="118"/>
    </row>
    <row r="7" spans="1:6" ht="14.55" customHeight="1">
      <c r="A7" s="117"/>
      <c r="B7" s="225" t="s">
        <v>342</v>
      </c>
      <c r="C7" s="226">
        <v>2</v>
      </c>
      <c r="D7" s="126">
        <v>2</v>
      </c>
      <c r="E7" s="126">
        <v>2</v>
      </c>
      <c r="F7" s="126">
        <v>2</v>
      </c>
    </row>
    <row r="8" spans="1:6" ht="14.55" customHeight="1">
      <c r="A8" s="117"/>
      <c r="B8" s="225" t="s">
        <v>282</v>
      </c>
      <c r="C8" s="227">
        <v>1</v>
      </c>
      <c r="D8" s="128" t="s">
        <v>73</v>
      </c>
      <c r="E8" s="126" t="s">
        <v>73</v>
      </c>
      <c r="F8" s="242">
        <v>1</v>
      </c>
    </row>
    <row r="9" spans="1:6" ht="14.55" customHeight="1">
      <c r="A9" s="223" t="s">
        <v>183</v>
      </c>
      <c r="B9" s="117"/>
      <c r="C9" s="224"/>
      <c r="D9" s="128"/>
      <c r="E9" s="118"/>
      <c r="F9" s="118"/>
    </row>
    <row r="10" spans="1:6" ht="14.55" customHeight="1">
      <c r="A10" s="117"/>
      <c r="B10" s="225" t="s">
        <v>310</v>
      </c>
      <c r="C10" s="127">
        <f>[2]Sheet1!$H$2</f>
        <v>0.98975612653351297</v>
      </c>
      <c r="D10" s="127">
        <f>[2]Sheet1!$H$2</f>
        <v>0.98975612653351297</v>
      </c>
      <c r="E10" s="127">
        <f>[2]Sheet1!$H$4</f>
        <v>0.99511500002451181</v>
      </c>
      <c r="F10" s="243" t="s">
        <v>399</v>
      </c>
    </row>
    <row r="11" spans="1:6" s="120" customFormat="1" ht="16.05" customHeight="1">
      <c r="A11" s="239"/>
      <c r="B11" s="240"/>
      <c r="C11" s="128" t="str">
        <f>CONCATENATE("(",  ROUND([3]Sheet1!$C$6, 4),  ")")</f>
        <v>(0.0003)</v>
      </c>
      <c r="D11" s="229" t="str">
        <f>CONCATENATE("(",  ROUND([3]Sheet1!$C$6, 4),  ")")</f>
        <v>(0.0003)</v>
      </c>
      <c r="E11" s="128" t="str">
        <f>CONCATENATE("(",  ROUND([3]Sheet1!$D$6, 4),  ")")</f>
        <v>(0.0001)</v>
      </c>
      <c r="F11" s="244" t="str">
        <f>CONCATENATE("(",  ROUND([3]Sheet1!$G$7, 4), ", ",ROUND([3]Sheet1!$G$8, 4),    ")")</f>
        <v>(0.0158, 0.0003)</v>
      </c>
    </row>
    <row r="12" spans="1:6" ht="14.55" customHeight="1">
      <c r="A12" s="117"/>
      <c r="B12" s="225" t="s">
        <v>282</v>
      </c>
      <c r="C12" s="128" t="s">
        <v>73</v>
      </c>
      <c r="D12" s="229">
        <v>1</v>
      </c>
      <c r="E12" s="128" t="s">
        <v>309</v>
      </c>
      <c r="F12" s="243" t="s">
        <v>73</v>
      </c>
    </row>
    <row r="13" spans="1:6" ht="14.55" customHeight="1">
      <c r="A13" s="117"/>
      <c r="B13" s="225"/>
      <c r="C13" s="228"/>
      <c r="D13" s="129" t="str">
        <f>CONCATENATE("(",  ROUND([3]Sheet1!$C$5, 3),  ")")</f>
        <v>(0.007)</v>
      </c>
      <c r="E13" s="129" t="str">
        <f>CONCATENATE("(",  ROUND([3]Sheet1!$D$3, 3), ", ",ROUND([3]Sheet1!$D$4, 3),  ")")</f>
        <v>(0.025, 0.026)</v>
      </c>
      <c r="F13" s="243"/>
    </row>
    <row r="14" spans="1:6" ht="14.55" customHeight="1">
      <c r="A14" s="117"/>
      <c r="B14" s="225" t="s">
        <v>294</v>
      </c>
      <c r="C14" s="129">
        <f>[2]Sheet1!$I$2</f>
        <v>4.4878484193559833</v>
      </c>
      <c r="D14" s="129">
        <f>[2]Sheet1!$I$2</f>
        <v>4.4878484193559833</v>
      </c>
      <c r="E14" s="129">
        <f>[2]Sheet1!$I$4</f>
        <v>6.0604611643788742</v>
      </c>
      <c r="F14" s="245">
        <f>[2]Sheet1!$I$16</f>
        <v>7.7938033392295001</v>
      </c>
    </row>
    <row r="15" spans="1:6" ht="14.55" customHeight="1">
      <c r="A15" s="117"/>
      <c r="B15" s="225"/>
      <c r="C15" s="128" t="str">
        <f>CONCATENATE("(",  ROUND([3]Sheet1!$C$2, 1),  ")")</f>
        <v>(0.2)</v>
      </c>
      <c r="D15" s="128" t="str">
        <f>CONCATENATE("(",  ROUND([3]Sheet1!$C$2, 1),  ")")</f>
        <v>(0.2)</v>
      </c>
      <c r="E15" s="121" t="str">
        <f>CONCATENATE("(",  ROUND([3]Sheet1!$D$2, 1),  ")")</f>
        <v>(0.6)</v>
      </c>
      <c r="F15" s="244" t="str">
        <f>CONCATENATE("(",  ROUND([3]Sheet1!$G$2, 1),  ")")</f>
        <v>(0.3)</v>
      </c>
    </row>
    <row r="16" spans="1:6" ht="14.55" customHeight="1">
      <c r="A16" s="117"/>
      <c r="B16" s="230" t="s">
        <v>308</v>
      </c>
      <c r="C16" s="128" t="s">
        <v>73</v>
      </c>
      <c r="D16" s="128" t="s">
        <v>73</v>
      </c>
      <c r="E16" s="121">
        <f>[2]Sheet1!$F$4+[2]Sheet1!$F$6</f>
        <v>0.25395977908208284</v>
      </c>
      <c r="F16" s="246">
        <f>[2]Sheet1!$F$16+[2]Sheet1!$F$18</f>
        <v>0.17063544169570649</v>
      </c>
    </row>
    <row r="17" spans="1:6" ht="14.55" customHeight="1">
      <c r="A17" s="117"/>
      <c r="B17" s="230"/>
      <c r="C17" s="128"/>
      <c r="D17" s="128"/>
      <c r="E17" s="241" t="str">
        <f>CONCATENATE("(",  ROUND([3]Sheet1!$D$13, 2),  ")")</f>
        <v>(0.01)</v>
      </c>
      <c r="F17" s="244" t="str">
        <f>CONCATENATE("(",  ROUND([3]Sheet1!$G$14, 2),  ")")</f>
        <v>(0.01)</v>
      </c>
    </row>
    <row r="18" spans="1:6" ht="14.55" customHeight="1">
      <c r="A18" s="223" t="s">
        <v>185</v>
      </c>
      <c r="B18" s="117"/>
      <c r="C18" s="128"/>
      <c r="D18" s="128"/>
      <c r="F18" s="247"/>
    </row>
    <row r="19" spans="1:6" ht="14.55" customHeight="1">
      <c r="A19" s="117"/>
      <c r="B19" s="225" t="s">
        <v>283</v>
      </c>
      <c r="C19" s="126" t="s">
        <v>324</v>
      </c>
      <c r="D19" s="126" t="s">
        <v>324</v>
      </c>
      <c r="E19" s="126" t="s">
        <v>307</v>
      </c>
      <c r="F19" s="242" t="s">
        <v>330</v>
      </c>
    </row>
    <row r="20" spans="1:6" ht="14.55" customHeight="1">
      <c r="A20" s="117"/>
      <c r="B20" s="225"/>
      <c r="C20" s="122" t="str">
        <f>CONCATENATE("(",  ROUND([3]Sheet1!$C$10, 1), ", ",ROUND([3]Sheet1!$C$11, 1),  ")")</f>
        <v>(1.8, 42.3)</v>
      </c>
      <c r="D20" s="122" t="str">
        <f>CONCATENATE("(",  ROUND([3]Sheet1!$C$10, 1), ", ",ROUND([3]Sheet1!$C$11, 1),  ")")</f>
        <v>(1.8, 42.3)</v>
      </c>
      <c r="E20" s="122" t="str">
        <f>CONCATENATE("(",   TEXT(ROUND([3]Sheet1!$D$10, 1), "#,#0.0"), ", ",ROUND([3]Sheet1!$D$11, 1),    ")")</f>
        <v>(1.0, 20.3)</v>
      </c>
      <c r="F20" s="244" t="str">
        <f>CONCATENATE("(",   TEXT(ROUND([3]Sheet1!$G$10, 1), "#,#0.0"), ", ",ROUND([3]Sheet1!$G$11, 1),    ")")</f>
        <v>(0.8, 12.9)</v>
      </c>
    </row>
    <row r="21" spans="1:6" ht="14.55" customHeight="1">
      <c r="A21" s="117"/>
      <c r="B21" s="225" t="s">
        <v>186</v>
      </c>
      <c r="C21" s="122">
        <f>[2]Sheet1!$K$2</f>
        <v>1.4474344932200831</v>
      </c>
      <c r="D21" s="122">
        <f>[2]Sheet1!$K$2</f>
        <v>1.4474344932200831</v>
      </c>
      <c r="E21" s="122">
        <f>[2]Sheet1!$K$4</f>
        <v>1.09639635088979</v>
      </c>
      <c r="F21" s="248">
        <f>[2]Sheet1!$K$16</f>
        <v>1.400484969461619</v>
      </c>
    </row>
    <row r="22" spans="1:6" ht="14.55" customHeight="1">
      <c r="A22" s="117"/>
      <c r="B22" s="225"/>
      <c r="C22" s="130" t="str">
        <f>CONCATENATE("(",  ROUND([3]Sheet1!$C$12, 1),  ")")</f>
        <v>(0.1)</v>
      </c>
      <c r="D22" s="130" t="str">
        <f>CONCATENATE("(",  ROUND([3]Sheet1!$C$12, 1),  ")")</f>
        <v>(0.1)</v>
      </c>
      <c r="E22" s="130" t="str">
        <f>CONCATENATE("(",  ROUND([3]Sheet1!$D$12, 1),  ")")</f>
        <v>(0.1)</v>
      </c>
      <c r="F22" s="244" t="str">
        <f>CONCATENATE("(",  ROUND([3]Sheet1!$G$12, 1),  ")")</f>
        <v>(0.1)</v>
      </c>
    </row>
    <row r="23" spans="1:6" ht="14.55" customHeight="1">
      <c r="A23" s="117"/>
      <c r="B23" s="225" t="s">
        <v>306</v>
      </c>
      <c r="C23" s="130">
        <f>[2]Sheet1!$F$2</f>
        <v>0.67317985110218481</v>
      </c>
      <c r="D23" s="130">
        <f>[2]Sheet1!$F$2</f>
        <v>0.67317985110218481</v>
      </c>
      <c r="E23" s="130">
        <f>[2]Sheet1!$F$4+[2]Sheet1!$F$5</f>
        <v>0.78773475798526893</v>
      </c>
      <c r="F23" s="246">
        <f>[2]Sheet1!$F$16+[2]Sheet1!$F$17</f>
        <v>0.59034106757580562</v>
      </c>
    </row>
    <row r="24" spans="1:6" ht="14.55" customHeight="1">
      <c r="A24" s="117"/>
      <c r="B24" s="225"/>
      <c r="C24" s="128" t="str">
        <f>CONCATENATE("(",  ROUND([3]Sheet1!$C$15, 2),  ")")</f>
        <v>(0.04)</v>
      </c>
      <c r="D24" s="128" t="str">
        <f>CONCATENATE("(",  ROUND([3]Sheet1!$C$15, 2),  ")")</f>
        <v>(0.04)</v>
      </c>
      <c r="E24" s="128" t="str">
        <f>CONCATENATE("(",  ROUND([3]Sheet1!$D$15, 2),  ")")</f>
        <v>(0.03)</v>
      </c>
      <c r="F24" s="244" t="str">
        <f>CONCATENATE("(",  ROUND([3]Sheet1!$G$15, 2),  ")")</f>
        <v>(0.05)</v>
      </c>
    </row>
    <row r="25" spans="1:6" ht="14.55" customHeight="1">
      <c r="A25" s="223" t="s">
        <v>305</v>
      </c>
      <c r="B25" s="117"/>
      <c r="C25" s="128"/>
      <c r="D25" s="128"/>
      <c r="E25" s="118"/>
      <c r="F25" s="118"/>
    </row>
    <row r="26" spans="1:6" ht="14.55" customHeight="1">
      <c r="A26" s="117"/>
      <c r="B26" s="225" t="s">
        <v>284</v>
      </c>
      <c r="C26" s="128">
        <v>27</v>
      </c>
      <c r="D26" s="128">
        <v>27</v>
      </c>
      <c r="E26" s="128">
        <v>27</v>
      </c>
      <c r="F26" s="242">
        <v>27</v>
      </c>
    </row>
    <row r="27" spans="1:6" ht="14.55" customHeight="1">
      <c r="A27" s="117"/>
      <c r="B27" s="225" t="s">
        <v>188</v>
      </c>
      <c r="C27" s="128">
        <v>6</v>
      </c>
      <c r="D27" s="128">
        <v>7</v>
      </c>
      <c r="E27" s="128">
        <v>9</v>
      </c>
      <c r="F27" s="243">
        <v>8</v>
      </c>
    </row>
    <row r="28" spans="1:6" ht="14.55" customHeight="1">
      <c r="A28" s="117"/>
      <c r="B28" s="225" t="s">
        <v>189</v>
      </c>
      <c r="C28" s="131">
        <f>[2]Sheet1!$C$2</f>
        <v>349.57552415556808</v>
      </c>
      <c r="D28" s="131">
        <f>[2]Sheet1!$C$2</f>
        <v>349.57552415556808</v>
      </c>
      <c r="E28" s="131">
        <f>[2]Sheet1!$C$4</f>
        <v>99.24702988560766</v>
      </c>
      <c r="F28" s="249">
        <f>[2]Sheet1!$C$16</f>
        <v>148.3563839010944</v>
      </c>
    </row>
    <row r="29" spans="1:6" ht="14.55" customHeight="1">
      <c r="A29" s="117"/>
      <c r="B29" s="225" t="s">
        <v>190</v>
      </c>
      <c r="C29" s="131">
        <f>[2]Sheet1!$D$2</f>
        <v>81.239441060889874</v>
      </c>
      <c r="D29" s="131">
        <f>[2]Sheet1!$D$2</f>
        <v>81.239441060889874</v>
      </c>
      <c r="E29" s="131">
        <f>[2]Sheet1!$D$4</f>
        <v>86.285275634561373</v>
      </c>
      <c r="F29" s="249">
        <f>[2]Sheet1!$D$16</f>
        <v>97.377949866647228</v>
      </c>
    </row>
    <row r="30" spans="1:6" ht="16.95" customHeight="1" thickBot="1">
      <c r="A30" s="123"/>
      <c r="B30" s="124" t="s">
        <v>191</v>
      </c>
      <c r="C30" s="231">
        <f>SUM(C28:C29)</f>
        <v>430.81496521645795</v>
      </c>
      <c r="D30" s="231">
        <f>SUM(D28:D29)</f>
        <v>430.81496521645795</v>
      </c>
      <c r="E30" s="231">
        <f>SUM(E28:E29)</f>
        <v>185.53230552016902</v>
      </c>
      <c r="F30" s="250">
        <f>SUM(F28:F29)</f>
        <v>245.73433376774165</v>
      </c>
    </row>
    <row r="31" spans="1:6" ht="124.95" customHeight="1" thickTop="1">
      <c r="A31" s="309" t="s">
        <v>420</v>
      </c>
      <c r="B31" s="309"/>
      <c r="C31" s="309"/>
      <c r="D31" s="309"/>
      <c r="E31" s="309"/>
      <c r="F31" s="309"/>
    </row>
  </sheetData>
  <mergeCells count="2">
    <mergeCell ref="A1:F1"/>
    <mergeCell ref="A31:F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view="pageBreakPreview" zoomScale="130" zoomScaleNormal="100" zoomScaleSheetLayoutView="130" workbookViewId="0">
      <selection activeCell="C2" sqref="C1:E1048576"/>
    </sheetView>
  </sheetViews>
  <sheetFormatPr defaultColWidth="8.77734375" defaultRowHeight="14.4"/>
  <cols>
    <col min="1" max="1" width="3.109375" style="148" customWidth="1"/>
    <col min="2" max="2" width="25.109375" style="148" customWidth="1"/>
    <col min="3" max="3" width="14" style="148" customWidth="1"/>
    <col min="4" max="4" width="11.109375" style="148" customWidth="1"/>
    <col min="5" max="5" width="0.77734375" style="148" customWidth="1"/>
    <col min="6" max="7" width="13.33203125" style="148" customWidth="1"/>
    <col min="8" max="16384" width="8.77734375" style="148"/>
  </cols>
  <sheetData>
    <row r="1" spans="1:7" ht="15" thickBot="1">
      <c r="A1" s="310" t="s">
        <v>304</v>
      </c>
      <c r="B1" s="310"/>
      <c r="C1" s="310"/>
      <c r="D1" s="310"/>
      <c r="E1" s="310"/>
      <c r="F1" s="310"/>
      <c r="G1" s="310"/>
    </row>
    <row r="2" spans="1:7" ht="19.8" customHeight="1" thickTop="1">
      <c r="A2" s="149" t="s">
        <v>103</v>
      </c>
      <c r="B2" s="150"/>
      <c r="C2" s="150"/>
      <c r="D2" s="150"/>
      <c r="E2" s="150"/>
      <c r="F2" s="150"/>
      <c r="G2" s="150"/>
    </row>
    <row r="3" spans="1:7" ht="52.95" customHeight="1">
      <c r="A3" s="150"/>
      <c r="B3" s="150"/>
      <c r="C3" s="151" t="s">
        <v>368</v>
      </c>
      <c r="D3" s="151" t="s">
        <v>369</v>
      </c>
      <c r="E3" s="152"/>
      <c r="F3" s="152" t="s">
        <v>315</v>
      </c>
      <c r="G3" s="152" t="s">
        <v>114</v>
      </c>
    </row>
    <row r="4" spans="1:7" ht="16.05" customHeight="1">
      <c r="A4" s="150"/>
      <c r="B4" s="150"/>
      <c r="C4" s="153" t="s">
        <v>65</v>
      </c>
      <c r="D4" s="153" t="s">
        <v>66</v>
      </c>
      <c r="E4" s="154"/>
      <c r="F4" s="200" t="s">
        <v>57</v>
      </c>
      <c r="G4" s="200" t="s">
        <v>58</v>
      </c>
    </row>
    <row r="5" spans="1:7" ht="16.05" customHeight="1">
      <c r="A5" s="155" t="s">
        <v>285</v>
      </c>
      <c r="B5" s="150"/>
      <c r="C5" s="150"/>
      <c r="D5" s="150"/>
      <c r="E5" s="150"/>
      <c r="F5" s="150"/>
      <c r="G5" s="150"/>
    </row>
    <row r="6" spans="1:7" ht="16.05" customHeight="1">
      <c r="A6" s="150"/>
      <c r="B6" s="150" t="s">
        <v>77</v>
      </c>
      <c r="C6" s="156">
        <f>0.01*[4]Sheet1!$P$2</f>
        <v>2.082763600715227E-4</v>
      </c>
      <c r="D6" s="156">
        <f>0.01*[4]Sheet1!$U$2</f>
        <v>8.1996864352861204E-4</v>
      </c>
      <c r="E6" s="156"/>
      <c r="F6" s="156">
        <f>D6-C6</f>
        <v>6.1169228345708934E-4</v>
      </c>
      <c r="G6" s="157">
        <f>D6/C6</f>
        <v>3.9369261266474624</v>
      </c>
    </row>
    <row r="7" spans="1:7" ht="16.05" customHeight="1">
      <c r="A7" s="150"/>
      <c r="B7" s="150" t="s">
        <v>78</v>
      </c>
      <c r="C7" s="156">
        <f>0.01*[4]Sheet1!$R$2</f>
        <v>1.9184354729625129E-4</v>
      </c>
      <c r="D7" s="158" t="s">
        <v>73</v>
      </c>
      <c r="E7" s="158"/>
      <c r="F7" s="158" t="s">
        <v>73</v>
      </c>
      <c r="G7" s="158" t="s">
        <v>73</v>
      </c>
    </row>
    <row r="8" spans="1:7" ht="16.05" customHeight="1">
      <c r="A8" s="155" t="s">
        <v>402</v>
      </c>
      <c r="B8" s="150"/>
      <c r="C8" s="150"/>
      <c r="D8" s="150"/>
      <c r="E8" s="150"/>
      <c r="F8" s="150"/>
      <c r="G8" s="150"/>
    </row>
    <row r="9" spans="1:7" ht="16.05" customHeight="1">
      <c r="A9" s="150"/>
      <c r="B9" s="150" t="s">
        <v>77</v>
      </c>
      <c r="C9" s="156">
        <f>0.01*[4]Sheet1!$P$3</f>
        <v>-2.2756006483349688E-4</v>
      </c>
      <c r="D9" s="156">
        <f>0.01*[4]Sheet1!$U$3</f>
        <v>1.6039038797301512E-4</v>
      </c>
      <c r="E9" s="156"/>
      <c r="F9" s="156">
        <f>D9-C9</f>
        <v>3.8795045280651198E-4</v>
      </c>
      <c r="G9" s="158" t="s">
        <v>73</v>
      </c>
    </row>
    <row r="10" spans="1:7" ht="16.05" customHeight="1" thickBot="1">
      <c r="A10" s="159"/>
      <c r="B10" s="159" t="s">
        <v>78</v>
      </c>
      <c r="C10" s="160">
        <f>0.01*[4]Sheet1!$R$3</f>
        <v>-2.4648269772623368E-4</v>
      </c>
      <c r="D10" s="161" t="s">
        <v>73</v>
      </c>
      <c r="E10" s="161"/>
      <c r="F10" s="161" t="s">
        <v>73</v>
      </c>
      <c r="G10" s="161" t="s">
        <v>73</v>
      </c>
    </row>
    <row r="11" spans="1:7" ht="199.05" customHeight="1" thickTop="1">
      <c r="A11" s="311" t="s">
        <v>370</v>
      </c>
      <c r="B11" s="311"/>
      <c r="C11" s="311"/>
      <c r="D11" s="311"/>
      <c r="E11" s="311"/>
      <c r="F11" s="311"/>
      <c r="G11" s="311"/>
    </row>
  </sheetData>
  <mergeCells count="2">
    <mergeCell ref="A1:G1"/>
    <mergeCell ref="A11:G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view="pageBreakPreview" topLeftCell="A7" zoomScale="130" zoomScaleNormal="100" zoomScaleSheetLayoutView="130" workbookViewId="0">
      <selection activeCell="C2" sqref="C1:E1048576"/>
    </sheetView>
  </sheetViews>
  <sheetFormatPr defaultColWidth="8.77734375" defaultRowHeight="13.2"/>
  <cols>
    <col min="1" max="1" width="4.44140625" style="7" customWidth="1"/>
    <col min="2" max="2" width="26.44140625" style="7" customWidth="1"/>
    <col min="3" max="3" width="24.77734375" style="7" customWidth="1"/>
    <col min="4" max="7" width="10.33203125" style="7" customWidth="1"/>
    <col min="8" max="8" width="0" style="7" hidden="1" customWidth="1"/>
    <col min="9" max="9" width="10.44140625" style="7" customWidth="1"/>
    <col min="10" max="10" width="14.44140625" style="7" customWidth="1"/>
    <col min="11" max="16384" width="8.77734375" style="7"/>
  </cols>
  <sheetData>
    <row r="1" spans="1:10" ht="13.8" thickBot="1">
      <c r="A1" s="306" t="s">
        <v>271</v>
      </c>
      <c r="B1" s="306"/>
      <c r="C1" s="306"/>
      <c r="D1" s="306"/>
      <c r="E1" s="306"/>
      <c r="F1" s="306"/>
      <c r="G1" s="306"/>
    </row>
    <row r="2" spans="1:10" ht="34.950000000000003" customHeight="1" thickTop="1">
      <c r="D2" s="17" t="s">
        <v>371</v>
      </c>
      <c r="E2" s="17" t="s">
        <v>372</v>
      </c>
      <c r="F2" s="17" t="s">
        <v>373</v>
      </c>
      <c r="G2" s="7" t="s">
        <v>45</v>
      </c>
      <c r="H2" s="19" t="s">
        <v>48</v>
      </c>
      <c r="I2" s="19"/>
      <c r="J2" s="19"/>
    </row>
    <row r="3" spans="1:10" ht="14.25" customHeight="1">
      <c r="A3" s="30" t="s">
        <v>34</v>
      </c>
      <c r="B3" s="30"/>
      <c r="C3" s="30" t="s">
        <v>95</v>
      </c>
      <c r="D3" s="6" t="s">
        <v>36</v>
      </c>
      <c r="E3" s="6" t="s">
        <v>37</v>
      </c>
      <c r="F3" s="6" t="s">
        <v>38</v>
      </c>
      <c r="G3" s="6" t="s">
        <v>39</v>
      </c>
      <c r="H3" s="19"/>
      <c r="I3" s="19"/>
      <c r="J3" s="19"/>
    </row>
    <row r="4" spans="1:10">
      <c r="A4" s="7" t="s">
        <v>94</v>
      </c>
      <c r="C4" s="32"/>
      <c r="D4" s="262">
        <f>[1]at1_sum_stat!B2</f>
        <v>5544</v>
      </c>
      <c r="E4" s="262">
        <f>[1]at1_sum_stat!C2</f>
        <v>4160</v>
      </c>
      <c r="F4" s="262">
        <f>[1]at1_sum_stat!D2</f>
        <v>4257</v>
      </c>
      <c r="G4" s="263">
        <f>[1]at1_sum_stat!E2</f>
        <v>0.99</v>
      </c>
      <c r="H4" s="7">
        <v>4266</v>
      </c>
    </row>
    <row r="5" spans="1:10" ht="51">
      <c r="B5" s="33" t="s">
        <v>97</v>
      </c>
      <c r="C5" s="34" t="s">
        <v>96</v>
      </c>
      <c r="D5" s="262">
        <f>[1]at1_sum_stat!B3</f>
        <v>214</v>
      </c>
      <c r="E5" s="262">
        <f>[1]at1_sum_stat!C3</f>
        <v>80</v>
      </c>
      <c r="F5" s="262">
        <f>[1]at1_sum_stat!D3</f>
        <v>722</v>
      </c>
      <c r="G5" s="263">
        <f>[1]at1_sum_stat!E3</f>
        <v>0.8</v>
      </c>
    </row>
    <row r="6" spans="1:10">
      <c r="B6" s="33" t="s">
        <v>101</v>
      </c>
      <c r="C6" s="34" t="s">
        <v>102</v>
      </c>
      <c r="D6" s="262">
        <f>[1]at1_sum_stat!B4</f>
        <v>3265</v>
      </c>
      <c r="E6" s="262">
        <f>[1]at1_sum_stat!C4</f>
        <v>2560</v>
      </c>
      <c r="F6" s="262">
        <f>[1]at1_sum_stat!D4</f>
        <v>2898</v>
      </c>
      <c r="G6" s="263">
        <f>[1]at1_sum_stat!E4</f>
        <v>0.93</v>
      </c>
      <c r="H6" s="35" t="e">
        <f>[5]at1_sum_stat_ck!F4</f>
        <v>#REF!</v>
      </c>
    </row>
    <row r="7" spans="1:10" ht="20.399999999999999">
      <c r="B7" s="33" t="s">
        <v>6</v>
      </c>
      <c r="C7" s="34" t="s">
        <v>100</v>
      </c>
      <c r="D7" s="264">
        <f>[1]at1_sum_stat!B$6</f>
        <v>148</v>
      </c>
      <c r="E7" s="264">
        <f>[1]at1_sum_stat!C$6</f>
        <v>0</v>
      </c>
      <c r="F7" s="264">
        <f>[1]at1_sum_stat!D$6</f>
        <v>362</v>
      </c>
      <c r="G7" s="265">
        <f>[1]at1_sum_stat!E$6</f>
        <v>0.53</v>
      </c>
      <c r="H7" s="7">
        <v>151</v>
      </c>
    </row>
    <row r="8" spans="1:10" ht="40.950000000000003" customHeight="1">
      <c r="B8" s="33" t="s">
        <v>196</v>
      </c>
      <c r="C8" s="34" t="s">
        <v>98</v>
      </c>
      <c r="D8" s="264">
        <f>[1]at1_sum_stat!B$7</f>
        <v>648</v>
      </c>
      <c r="E8" s="264">
        <f>[1]at1_sum_stat!C$7</f>
        <v>0</v>
      </c>
      <c r="F8" s="264">
        <f>[1]at1_sum_stat!D$7</f>
        <v>1444</v>
      </c>
      <c r="G8" s="265">
        <f>[1]at1_sum_stat!E$7</f>
        <v>0.46</v>
      </c>
      <c r="H8" s="7">
        <v>416</v>
      </c>
    </row>
    <row r="9" spans="1:10">
      <c r="B9" s="33" t="s">
        <v>23</v>
      </c>
      <c r="C9" s="34"/>
      <c r="D9" s="264">
        <f>[1]at1_sum_stat!B$5</f>
        <v>1045</v>
      </c>
      <c r="E9" s="264">
        <f>[1]at1_sum_stat!C$5</f>
        <v>120</v>
      </c>
      <c r="F9" s="264">
        <f>[1]at1_sum_stat!D$5</f>
        <v>1812</v>
      </c>
      <c r="G9" s="265">
        <f>[1]at1_sum_stat!E$5</f>
        <v>0.6</v>
      </c>
      <c r="H9" s="7">
        <v>928</v>
      </c>
    </row>
    <row r="10" spans="1:10" ht="15.6">
      <c r="A10" s="30"/>
      <c r="B10" s="37" t="s">
        <v>116</v>
      </c>
      <c r="C10" s="38"/>
      <c r="D10" s="266">
        <f>[1]at1_sum_stat!B$8</f>
        <v>224</v>
      </c>
      <c r="E10" s="266">
        <f>[1]at1_sum_stat!C$8</f>
        <v>0</v>
      </c>
      <c r="F10" s="266">
        <f>[1]at1_sum_stat!D$8</f>
        <v>1179</v>
      </c>
      <c r="G10" s="267">
        <f>[1]at1_sum_stat!E$8</f>
        <v>0.56999999999999995</v>
      </c>
      <c r="H10" s="7">
        <v>8</v>
      </c>
    </row>
    <row r="11" spans="1:10">
      <c r="A11" s="7" t="s">
        <v>83</v>
      </c>
      <c r="B11" s="33"/>
      <c r="C11" s="34"/>
      <c r="D11" s="264">
        <f>[1]at1_sum_stat!B9</f>
        <v>5546</v>
      </c>
      <c r="E11" s="264">
        <f>[1]at1_sum_stat!C9</f>
        <v>4220</v>
      </c>
      <c r="F11" s="264">
        <f>[1]at1_sum_stat!D9</f>
        <v>4152</v>
      </c>
      <c r="G11" s="265">
        <f>[1]at1_sum_stat!E9</f>
        <v>1</v>
      </c>
      <c r="H11" s="7">
        <v>4269</v>
      </c>
    </row>
    <row r="12" spans="1:10">
      <c r="B12" s="33" t="s">
        <v>297</v>
      </c>
      <c r="C12" s="34"/>
      <c r="D12" s="264">
        <f>[1]at1_sum_stat!B10</f>
        <v>2459</v>
      </c>
      <c r="E12" s="264">
        <f>[1]at1_sum_stat!C10</f>
        <v>2060</v>
      </c>
      <c r="F12" s="264">
        <f>[1]at1_sum_stat!D10</f>
        <v>1613</v>
      </c>
      <c r="G12" s="265">
        <f>[1]at1_sum_stat!E10</f>
        <v>1</v>
      </c>
      <c r="H12" s="7">
        <v>684</v>
      </c>
    </row>
    <row r="13" spans="1:10">
      <c r="B13" s="33" t="s">
        <v>298</v>
      </c>
      <c r="C13" s="34"/>
      <c r="D13" s="264">
        <f>[1]at1_sum_stat!B11</f>
        <v>396</v>
      </c>
      <c r="E13" s="264">
        <f>[1]at1_sum_stat!C11</f>
        <v>220</v>
      </c>
      <c r="F13" s="264">
        <f>[1]at1_sum_stat!D11</f>
        <v>460</v>
      </c>
      <c r="G13" s="265">
        <f>[1]at1_sum_stat!E11</f>
        <v>0.93</v>
      </c>
      <c r="H13" s="7">
        <v>766</v>
      </c>
    </row>
    <row r="14" spans="1:10" ht="30.6">
      <c r="B14" s="33" t="s">
        <v>124</v>
      </c>
      <c r="C14" s="34" t="s">
        <v>99</v>
      </c>
      <c r="D14" s="264">
        <f>[1]at1_sum_stat!B12</f>
        <v>354</v>
      </c>
      <c r="E14" s="264">
        <f>[1]at1_sum_stat!C12</f>
        <v>0</v>
      </c>
      <c r="F14" s="264">
        <f>[1]at1_sum_stat!D12</f>
        <v>873</v>
      </c>
      <c r="G14" s="265">
        <f>[1]at1_sum_stat!E12</f>
        <v>0.42</v>
      </c>
    </row>
    <row r="15" spans="1:10" ht="30.6">
      <c r="B15" s="33" t="s">
        <v>268</v>
      </c>
      <c r="C15" s="34" t="s">
        <v>295</v>
      </c>
      <c r="D15" s="264">
        <f>[1]at1_sum_stat!B13</f>
        <v>762</v>
      </c>
      <c r="E15" s="264">
        <f>[1]at1_sum_stat!C13</f>
        <v>160</v>
      </c>
      <c r="F15" s="264">
        <f>[1]at1_sum_stat!D13</f>
        <v>1265</v>
      </c>
      <c r="G15" s="265">
        <f>[1]at1_sum_stat!E13</f>
        <v>0.8</v>
      </c>
      <c r="H15" s="7">
        <v>584</v>
      </c>
    </row>
    <row r="16" spans="1:10" ht="16.2" thickBot="1">
      <c r="A16" s="1"/>
      <c r="B16" s="36" t="s">
        <v>296</v>
      </c>
      <c r="C16" s="111"/>
      <c r="D16" s="268">
        <f>[1]at1_sum_stat!B14</f>
        <v>1415</v>
      </c>
      <c r="E16" s="268">
        <f>[1]at1_sum_stat!C14</f>
        <v>780</v>
      </c>
      <c r="F16" s="268">
        <f>[1]at1_sum_stat!D14</f>
        <v>5239</v>
      </c>
      <c r="G16" s="269">
        <f>[1]at1_sum_stat!E14</f>
        <v>0.87</v>
      </c>
      <c r="H16" s="7">
        <v>423</v>
      </c>
    </row>
    <row r="17" spans="1:7" ht="132" customHeight="1" thickTop="1">
      <c r="A17" s="312" t="s">
        <v>374</v>
      </c>
      <c r="B17" s="313"/>
      <c r="C17" s="313"/>
      <c r="D17" s="313"/>
      <c r="E17" s="313"/>
      <c r="F17" s="313"/>
      <c r="G17" s="313"/>
    </row>
  </sheetData>
  <mergeCells count="2">
    <mergeCell ref="A1:G1"/>
    <mergeCell ref="A17:G17"/>
  </mergeCells>
  <phoneticPr fontId="21" type="noConversion"/>
  <pageMargins left="0.7" right="0.7" top="0.75" bottom="0.75" header="0.3" footer="0.3"/>
  <pageSetup scale="9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view="pageBreakPreview" topLeftCell="A7" zoomScale="115" zoomScaleNormal="100" zoomScaleSheetLayoutView="115" workbookViewId="0">
      <selection activeCell="C2" sqref="C1:E1048576"/>
    </sheetView>
  </sheetViews>
  <sheetFormatPr defaultColWidth="8.77734375" defaultRowHeight="13.2"/>
  <cols>
    <col min="1" max="1" width="6.6640625" style="40" customWidth="1"/>
    <col min="2" max="2" width="32.109375" style="2" customWidth="1"/>
    <col min="3" max="3" width="9.33203125" style="2" customWidth="1"/>
    <col min="4" max="4" width="2.109375" style="2" customWidth="1"/>
    <col min="5" max="8" width="9.21875" style="2" customWidth="1"/>
    <col min="9" max="16384" width="8.77734375" style="2"/>
  </cols>
  <sheetData>
    <row r="1" spans="1:8" ht="13.8" thickBot="1">
      <c r="A1" s="306" t="s">
        <v>272</v>
      </c>
      <c r="B1" s="306"/>
      <c r="C1" s="306"/>
      <c r="D1" s="306"/>
      <c r="E1" s="306"/>
      <c r="F1" s="306"/>
      <c r="G1" s="306"/>
      <c r="H1" s="306"/>
    </row>
    <row r="2" spans="1:8" ht="20.399999999999999" customHeight="1" thickTop="1">
      <c r="B2" s="10"/>
      <c r="C2" s="18"/>
      <c r="D2" s="18"/>
      <c r="E2" s="314" t="s">
        <v>19</v>
      </c>
      <c r="F2" s="315"/>
      <c r="G2" s="315"/>
      <c r="H2" s="315"/>
    </row>
    <row r="3" spans="1:8" ht="39.6">
      <c r="C3" s="17" t="s">
        <v>80</v>
      </c>
      <c r="D3" s="17"/>
      <c r="E3" s="17" t="s">
        <v>249</v>
      </c>
      <c r="F3" s="105" t="s">
        <v>250</v>
      </c>
      <c r="G3" s="17" t="s">
        <v>171</v>
      </c>
      <c r="H3" s="105" t="s">
        <v>172</v>
      </c>
    </row>
    <row r="4" spans="1:8">
      <c r="A4" s="47"/>
      <c r="C4" s="6" t="s">
        <v>65</v>
      </c>
      <c r="D4" s="17"/>
      <c r="E4" s="6" t="s">
        <v>66</v>
      </c>
      <c r="F4" s="106" t="s">
        <v>57</v>
      </c>
      <c r="G4" s="6" t="s">
        <v>58</v>
      </c>
      <c r="H4" s="106" t="s">
        <v>53</v>
      </c>
    </row>
    <row r="5" spans="1:8" ht="15.6">
      <c r="A5" s="41" t="s">
        <v>234</v>
      </c>
      <c r="C5" s="24"/>
      <c r="D5" s="25"/>
      <c r="E5" s="24"/>
      <c r="F5" s="43"/>
      <c r="G5" s="24"/>
      <c r="H5" s="43"/>
    </row>
    <row r="6" spans="1:8">
      <c r="B6" s="47" t="s">
        <v>168</v>
      </c>
      <c r="C6" s="25">
        <f>[6]at2_jpmc!D3</f>
        <v>13</v>
      </c>
      <c r="D6" s="3"/>
      <c r="E6" s="25">
        <f>[6]at2_jpmc!E3</f>
        <v>13</v>
      </c>
      <c r="F6" s="270">
        <f>[6]at2_jpmc!F3</f>
        <v>1.01</v>
      </c>
      <c r="G6" s="25">
        <f>[6]at2_jpmc!G3</f>
        <v>14</v>
      </c>
      <c r="H6" s="270">
        <f>[6]at2_jpmc!H3</f>
        <v>0.93</v>
      </c>
    </row>
    <row r="7" spans="1:8">
      <c r="B7" s="46" t="s">
        <v>230</v>
      </c>
      <c r="C7" s="25">
        <f>[6]at2_jpmc!D4</f>
        <v>32</v>
      </c>
      <c r="D7" s="3"/>
      <c r="E7" s="25">
        <f>[6]at2_jpmc!E4</f>
        <v>35</v>
      </c>
      <c r="F7" s="270">
        <f>[6]at2_jpmc!F4</f>
        <v>0.92</v>
      </c>
      <c r="G7" s="25">
        <f>[6]at2_jpmc!G4</f>
        <v>38</v>
      </c>
      <c r="H7" s="270">
        <f>[6]at2_jpmc!H4</f>
        <v>0.86</v>
      </c>
    </row>
    <row r="8" spans="1:8">
      <c r="B8" s="46" t="s">
        <v>47</v>
      </c>
      <c r="C8" s="25">
        <f>[6]at2_jpmc!D5</f>
        <v>216</v>
      </c>
      <c r="D8" s="3"/>
      <c r="E8" s="25">
        <f>[6]at2_jpmc!E5</f>
        <v>251</v>
      </c>
      <c r="F8" s="270">
        <f>[6]at2_jpmc!F5</f>
        <v>0.86</v>
      </c>
      <c r="G8" s="25">
        <f>[6]at2_jpmc!G5</f>
        <v>460</v>
      </c>
      <c r="H8" s="270">
        <f>[6]at2_jpmc!H5</f>
        <v>0.47</v>
      </c>
    </row>
    <row r="9" spans="1:8">
      <c r="B9" s="47" t="s">
        <v>108</v>
      </c>
      <c r="C9" s="25">
        <f>[6]at2_jpmc!D6</f>
        <v>267</v>
      </c>
      <c r="D9" s="3"/>
      <c r="E9" s="25">
        <f>[6]at2_jpmc!E6</f>
        <v>314</v>
      </c>
      <c r="F9" s="270">
        <f>[6]at2_jpmc!F6</f>
        <v>0.85</v>
      </c>
      <c r="G9" s="25">
        <f>[6]at2_jpmc!G6</f>
        <v>531</v>
      </c>
      <c r="H9" s="270">
        <f>[6]at2_jpmc!H6</f>
        <v>0.5</v>
      </c>
    </row>
    <row r="10" spans="1:8">
      <c r="B10" s="47" t="s">
        <v>210</v>
      </c>
      <c r="C10" s="25">
        <f>[6]at2_jpmc!D7</f>
        <v>170</v>
      </c>
      <c r="D10" s="3"/>
      <c r="E10" s="25">
        <f>[6]at2_jpmc!E7</f>
        <v>194</v>
      </c>
      <c r="F10" s="270">
        <f>[6]at2_jpmc!F7</f>
        <v>0.87</v>
      </c>
      <c r="G10" s="25">
        <f>[6]at2_jpmc!G7</f>
        <v>237</v>
      </c>
      <c r="H10" s="270">
        <f>[6]at2_jpmc!H7</f>
        <v>0.72</v>
      </c>
    </row>
    <row r="11" spans="1:8">
      <c r="A11" s="44"/>
      <c r="B11" s="47" t="s">
        <v>231</v>
      </c>
      <c r="C11" s="25">
        <f>[6]at2_jpmc!D8</f>
        <v>36</v>
      </c>
      <c r="D11" s="3"/>
      <c r="E11" s="25">
        <f>[6]at2_jpmc!E8</f>
        <v>80</v>
      </c>
      <c r="F11" s="270">
        <f>[6]at2_jpmc!F8</f>
        <v>0.46</v>
      </c>
      <c r="G11" s="25">
        <f>[6]at2_jpmc!G8</f>
        <v>177</v>
      </c>
      <c r="H11" s="270">
        <f>[6]at2_jpmc!H8</f>
        <v>0.21</v>
      </c>
    </row>
    <row r="12" spans="1:8" ht="16.95" customHeight="1">
      <c r="A12" s="47"/>
      <c r="B12" s="46" t="s">
        <v>232</v>
      </c>
      <c r="C12" s="25">
        <f>[6]at2_jpmc!D9</f>
        <v>78</v>
      </c>
      <c r="D12" s="3"/>
      <c r="E12" s="25">
        <f>[6]at2_jpmc!E9</f>
        <v>183</v>
      </c>
      <c r="F12" s="270">
        <f>[6]at2_jpmc!F9</f>
        <v>0.42</v>
      </c>
      <c r="G12" s="25">
        <f>[6]at2_jpmc!G9</f>
        <v>921</v>
      </c>
      <c r="H12" s="270">
        <f>[6]at2_jpmc!H9</f>
        <v>0.08</v>
      </c>
    </row>
    <row r="13" spans="1:8">
      <c r="B13" s="46" t="s">
        <v>214</v>
      </c>
      <c r="C13" s="25">
        <f>[6]at2_jpmc!D10</f>
        <v>225</v>
      </c>
      <c r="D13" s="3"/>
      <c r="E13" s="25">
        <f>[6]at2_jpmc!E10</f>
        <v>278</v>
      </c>
      <c r="F13" s="270">
        <f>[6]at2_jpmc!F10</f>
        <v>0.81</v>
      </c>
      <c r="G13" s="25">
        <f>[6]at2_jpmc!G10</f>
        <v>709</v>
      </c>
      <c r="H13" s="270">
        <f>[6]at2_jpmc!H10</f>
        <v>0.32</v>
      </c>
    </row>
    <row r="14" spans="1:8">
      <c r="A14" s="41"/>
      <c r="B14" s="2" t="s">
        <v>122</v>
      </c>
      <c r="C14" s="25">
        <f>[6]at2_jpmc!D11</f>
        <v>113</v>
      </c>
      <c r="D14" s="3"/>
      <c r="E14" s="25">
        <f>[6]at2_jpmc!E11</f>
        <v>112</v>
      </c>
      <c r="F14" s="270">
        <f>[6]at2_jpmc!F11</f>
        <v>1.01</v>
      </c>
      <c r="G14" s="25">
        <f>[6]at2_jpmc!G11</f>
        <v>193</v>
      </c>
      <c r="H14" s="270">
        <f>[6]at2_jpmc!H11</f>
        <v>0.59</v>
      </c>
    </row>
    <row r="15" spans="1:8">
      <c r="B15" s="47" t="s">
        <v>44</v>
      </c>
      <c r="C15" s="25">
        <f>[6]at2_jpmc!D12</f>
        <v>178</v>
      </c>
      <c r="D15" s="3"/>
      <c r="E15" s="25">
        <f>[6]at2_jpmc!E12</f>
        <v>211</v>
      </c>
      <c r="F15" s="270">
        <f>[6]at2_jpmc!F12</f>
        <v>0.84</v>
      </c>
      <c r="G15" s="25">
        <f>[6]at2_jpmc!G12</f>
        <v>210</v>
      </c>
      <c r="H15" s="270">
        <f>[6]at2_jpmc!H12</f>
        <v>0.85</v>
      </c>
    </row>
    <row r="16" spans="1:8">
      <c r="B16" s="41" t="s">
        <v>233</v>
      </c>
      <c r="C16" s="25">
        <f>SUM(C6:C15)</f>
        <v>1328</v>
      </c>
      <c r="D16" s="26"/>
      <c r="E16" s="25">
        <f>SUM(E6:E15)</f>
        <v>1671</v>
      </c>
      <c r="F16" s="270">
        <f t="shared" ref="F16:F18" si="0">C16/E16</f>
        <v>0.79473369239976066</v>
      </c>
      <c r="G16" s="25">
        <f>SUM(G6:G15)</f>
        <v>3490</v>
      </c>
      <c r="H16" s="270">
        <f t="shared" ref="H16:H18" si="1">C16/G16</f>
        <v>0.3805157593123209</v>
      </c>
    </row>
    <row r="17" spans="1:11" ht="15.6">
      <c r="B17" s="2" t="s">
        <v>248</v>
      </c>
      <c r="C17" s="25">
        <f>[6]at2_jpmc!$D$2</f>
        <v>989</v>
      </c>
      <c r="D17" s="26"/>
      <c r="E17" s="271"/>
      <c r="F17" s="271"/>
      <c r="G17" s="271"/>
      <c r="H17" s="270"/>
    </row>
    <row r="18" spans="1:11" ht="15.6">
      <c r="A18" s="47"/>
      <c r="B18" s="21" t="s">
        <v>343</v>
      </c>
      <c r="C18" s="25">
        <f>C16+C17</f>
        <v>2317</v>
      </c>
      <c r="D18" s="26"/>
      <c r="E18" s="25">
        <f>E16</f>
        <v>1671</v>
      </c>
      <c r="F18" s="270">
        <f t="shared" si="0"/>
        <v>1.3865948533812089</v>
      </c>
      <c r="G18" s="25">
        <f>G16</f>
        <v>3490</v>
      </c>
      <c r="H18" s="270">
        <f t="shared" si="1"/>
        <v>0.6638968481375358</v>
      </c>
    </row>
    <row r="19" spans="1:11">
      <c r="C19" s="25"/>
      <c r="D19" s="26"/>
      <c r="E19" s="25"/>
      <c r="F19" s="270"/>
      <c r="G19" s="25"/>
      <c r="H19" s="270"/>
    </row>
    <row r="20" spans="1:11">
      <c r="A20" s="21" t="s">
        <v>125</v>
      </c>
      <c r="C20" s="25"/>
      <c r="D20" s="26"/>
      <c r="E20" s="25"/>
      <c r="F20" s="270"/>
      <c r="G20" s="25"/>
      <c r="H20" s="270"/>
      <c r="K20" s="7"/>
    </row>
    <row r="21" spans="1:11">
      <c r="A21" s="21"/>
      <c r="B21" s="2" t="s">
        <v>221</v>
      </c>
      <c r="C21" s="25">
        <f>[6]at2_jpmc!D13</f>
        <v>45</v>
      </c>
      <c r="D21" s="3"/>
      <c r="E21" s="25">
        <f>[6]at2_jpmc!E13</f>
        <v>230</v>
      </c>
      <c r="F21" s="270">
        <f>[6]at2_jpmc!F13</f>
        <v>0.2</v>
      </c>
      <c r="G21" s="25">
        <f>[6]at2_jpmc!G13</f>
        <v>168</v>
      </c>
      <c r="H21" s="270">
        <f>[6]at2_jpmc!H13</f>
        <v>0.27</v>
      </c>
      <c r="K21" s="7"/>
    </row>
    <row r="22" spans="1:11">
      <c r="B22" s="47" t="s">
        <v>163</v>
      </c>
      <c r="C22" s="25">
        <f>[6]at2_jpmc!D14</f>
        <v>35</v>
      </c>
      <c r="D22" s="3"/>
      <c r="E22" s="25">
        <f>[6]at2_jpmc!E14</f>
        <v>149</v>
      </c>
      <c r="F22" s="270">
        <f>[6]at2_jpmc!F14</f>
        <v>0.24</v>
      </c>
      <c r="G22" s="25">
        <f>[6]at2_jpmc!G14</f>
        <v>334</v>
      </c>
      <c r="H22" s="270">
        <f>[6]at2_jpmc!H14</f>
        <v>0.11</v>
      </c>
    </row>
    <row r="23" spans="1:11">
      <c r="B23" s="81" t="s">
        <v>123</v>
      </c>
      <c r="C23" s="25">
        <f>[6]at2_jpmc!D15</f>
        <v>55</v>
      </c>
      <c r="D23" s="3"/>
      <c r="E23" s="25">
        <f>[6]at2_jpmc!E15</f>
        <v>213</v>
      </c>
      <c r="F23" s="270">
        <f>[6]at2_jpmc!F15</f>
        <v>0.26</v>
      </c>
      <c r="G23" s="25">
        <f>[6]at2_jpmc!G15</f>
        <v>276</v>
      </c>
      <c r="H23" s="270">
        <f>[6]at2_jpmc!H15</f>
        <v>0.2</v>
      </c>
    </row>
    <row r="24" spans="1:11">
      <c r="B24" s="81" t="s">
        <v>235</v>
      </c>
      <c r="C24" s="25">
        <f>[6]at2_jpmc!D16</f>
        <v>28</v>
      </c>
      <c r="D24" s="3"/>
      <c r="E24" s="25">
        <f>[6]at2_jpmc!E16</f>
        <v>61</v>
      </c>
      <c r="F24" s="270">
        <f>[6]at2_jpmc!F16</f>
        <v>0.47</v>
      </c>
      <c r="G24" s="25">
        <f>[6]at2_jpmc!G16</f>
        <v>135</v>
      </c>
      <c r="H24" s="270">
        <f>[6]at2_jpmc!H16</f>
        <v>0.21</v>
      </c>
    </row>
    <row r="25" spans="1:11">
      <c r="B25" s="47" t="s">
        <v>167</v>
      </c>
      <c r="C25" s="25">
        <f>[6]at2_jpmc!D17</f>
        <v>148</v>
      </c>
      <c r="D25" s="3"/>
      <c r="E25" s="25">
        <f>[6]at2_jpmc!E17</f>
        <v>276</v>
      </c>
      <c r="F25" s="270">
        <f>[6]at2_jpmc!F17</f>
        <v>0.54</v>
      </c>
      <c r="G25" s="25">
        <f>[6]at2_jpmc!G17</f>
        <v>233</v>
      </c>
      <c r="H25" s="270">
        <f>[6]at2_jpmc!H17</f>
        <v>0.64</v>
      </c>
    </row>
    <row r="26" spans="1:11">
      <c r="B26" s="81" t="s">
        <v>211</v>
      </c>
      <c r="C26" s="25">
        <f>[6]at2_jpmc!D18</f>
        <v>29</v>
      </c>
      <c r="D26" s="3"/>
      <c r="E26" s="25">
        <f>[6]at2_jpmc!E18</f>
        <v>261</v>
      </c>
      <c r="F26" s="270">
        <f>[6]at2_jpmc!F18</f>
        <v>0.11</v>
      </c>
      <c r="G26" s="25">
        <f>[6]at2_jpmc!G18</f>
        <v>298</v>
      </c>
      <c r="H26" s="270">
        <f>[6]at2_jpmc!H18</f>
        <v>0.1</v>
      </c>
    </row>
    <row r="27" spans="1:11">
      <c r="A27" s="47"/>
      <c r="B27" s="81" t="s">
        <v>198</v>
      </c>
      <c r="C27" s="25">
        <f>[6]at2_jpmc!D19</f>
        <v>55</v>
      </c>
      <c r="D27" s="3"/>
      <c r="E27" s="25">
        <f>[6]at2_jpmc!E19</f>
        <v>90</v>
      </c>
      <c r="F27" s="270">
        <f>[6]at2_jpmc!F19</f>
        <v>0.61</v>
      </c>
      <c r="G27" s="25">
        <f>[6]at2_jpmc!G19</f>
        <v>199</v>
      </c>
      <c r="H27" s="270">
        <f>[6]at2_jpmc!H19</f>
        <v>0.27</v>
      </c>
    </row>
    <row r="28" spans="1:11">
      <c r="B28" s="82" t="s">
        <v>233</v>
      </c>
      <c r="C28" s="25">
        <f>SUM(C21:C27)</f>
        <v>395</v>
      </c>
      <c r="D28" s="3"/>
      <c r="E28" s="25">
        <f>SUM(E21:E27)</f>
        <v>1280</v>
      </c>
      <c r="F28" s="270">
        <f t="shared" ref="F28" si="2">C28/E28</f>
        <v>0.30859375</v>
      </c>
      <c r="G28" s="25">
        <f>SUM(G21:G27)</f>
        <v>1643</v>
      </c>
      <c r="H28" s="270">
        <f t="shared" ref="H28:H30" si="3">C28/G28</f>
        <v>0.24041387705416919</v>
      </c>
    </row>
    <row r="29" spans="1:11" ht="15.6">
      <c r="B29" s="81" t="s">
        <v>344</v>
      </c>
      <c r="C29" s="25"/>
      <c r="D29" s="25"/>
      <c r="E29" s="25">
        <f>[6]at2_jpmc!$E$20</f>
        <v>1250</v>
      </c>
      <c r="F29" s="270" t="s">
        <v>237</v>
      </c>
      <c r="G29" s="25">
        <f>[6]at2_jpmc!$G$20</f>
        <v>2888</v>
      </c>
      <c r="H29" s="270" t="s">
        <v>237</v>
      </c>
    </row>
    <row r="30" spans="1:11">
      <c r="B30" s="41" t="s">
        <v>236</v>
      </c>
      <c r="C30" s="25">
        <f>C28</f>
        <v>395</v>
      </c>
      <c r="D30" s="26"/>
      <c r="E30" s="25">
        <f>SUM(E28:E29)</f>
        <v>2530</v>
      </c>
      <c r="F30" s="270">
        <f t="shared" ref="F30" si="4">C30/E30</f>
        <v>0.15612648221343872</v>
      </c>
      <c r="G30" s="25">
        <f>SUM(G28:G29)</f>
        <v>4531</v>
      </c>
      <c r="H30" s="270">
        <f t="shared" si="3"/>
        <v>8.7177223570955642E-2</v>
      </c>
    </row>
    <row r="31" spans="1:11">
      <c r="A31" s="44"/>
      <c r="B31" s="45"/>
      <c r="C31" s="25"/>
      <c r="D31" s="26"/>
      <c r="E31" s="25"/>
      <c r="F31" s="270"/>
      <c r="G31" s="25"/>
      <c r="H31" s="270"/>
    </row>
    <row r="32" spans="1:11" ht="16.2" thickBot="1">
      <c r="A32" s="21" t="s">
        <v>345</v>
      </c>
      <c r="B32" s="42"/>
      <c r="C32" s="25">
        <f>at1_sum_stat!D11-(C18+C30)</f>
        <v>2834</v>
      </c>
      <c r="D32" s="26"/>
      <c r="E32" s="25"/>
      <c r="F32" s="270"/>
      <c r="G32" s="25"/>
      <c r="H32" s="270"/>
    </row>
    <row r="33" spans="1:8" ht="132" customHeight="1" thickTop="1">
      <c r="A33" s="316" t="s">
        <v>415</v>
      </c>
      <c r="B33" s="316"/>
      <c r="C33" s="316"/>
      <c r="D33" s="316"/>
      <c r="E33" s="316"/>
      <c r="F33" s="316"/>
      <c r="G33" s="316"/>
      <c r="H33" s="316"/>
    </row>
  </sheetData>
  <mergeCells count="3">
    <mergeCell ref="E2:H2"/>
    <mergeCell ref="A1:H1"/>
    <mergeCell ref="A33:H33"/>
  </mergeCells>
  <phoneticPr fontId="2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workbookViewId="0">
      <selection activeCell="C2" sqref="C1:E1048576"/>
    </sheetView>
  </sheetViews>
  <sheetFormatPr defaultColWidth="8.77734375" defaultRowHeight="13.2"/>
  <cols>
    <col min="1" max="1" width="8.77734375" style="40"/>
    <col min="2" max="2" width="40.6640625" style="2" customWidth="1"/>
    <col min="3" max="3" width="11" style="2" customWidth="1"/>
    <col min="4" max="4" width="2.109375" style="2" customWidth="1"/>
    <col min="5" max="5" width="9.44140625" style="2" customWidth="1"/>
    <col min="6" max="6" width="10.109375" style="2" customWidth="1"/>
    <col min="7" max="16384" width="8.77734375" style="2"/>
  </cols>
  <sheetData>
    <row r="1" spans="1:6" ht="16.05" customHeight="1" thickBot="1">
      <c r="A1" s="317" t="s">
        <v>273</v>
      </c>
      <c r="B1" s="317"/>
      <c r="C1" s="317"/>
      <c r="D1" s="317"/>
      <c r="E1" s="317"/>
      <c r="F1" s="317"/>
    </row>
    <row r="2" spans="1:6" ht="15" customHeight="1" thickTop="1">
      <c r="A2" s="50"/>
      <c r="B2" s="51"/>
      <c r="C2" s="52"/>
      <c r="D2" s="52"/>
      <c r="E2" s="318" t="s">
        <v>19</v>
      </c>
      <c r="F2" s="319"/>
    </row>
    <row r="3" spans="1:6" ht="28.95" customHeight="1">
      <c r="A3" s="50"/>
      <c r="B3" s="53"/>
      <c r="C3" s="54" t="s">
        <v>80</v>
      </c>
      <c r="D3" s="55"/>
      <c r="E3" s="54" t="s">
        <v>249</v>
      </c>
      <c r="F3" s="56" t="s">
        <v>164</v>
      </c>
    </row>
    <row r="4" spans="1:6" s="84" customFormat="1" ht="12" customHeight="1">
      <c r="A4" s="83" t="s">
        <v>234</v>
      </c>
      <c r="C4" s="85"/>
      <c r="D4" s="86"/>
      <c r="E4" s="85"/>
      <c r="F4" s="87"/>
    </row>
    <row r="5" spans="1:6" s="84" customFormat="1" ht="12" customHeight="1">
      <c r="A5" s="88"/>
      <c r="B5" s="88" t="s">
        <v>126</v>
      </c>
      <c r="C5" s="86">
        <f>[7]at3_cex!D2</f>
        <v>8</v>
      </c>
      <c r="D5" s="86"/>
      <c r="E5" s="86">
        <f>[7]at3_cex!F2</f>
        <v>43</v>
      </c>
      <c r="F5" s="272">
        <f>C5/E5</f>
        <v>0.18604651162790697</v>
      </c>
    </row>
    <row r="6" spans="1:6" s="84" customFormat="1" ht="12" customHeight="1">
      <c r="A6" s="88"/>
      <c r="B6" s="88" t="s">
        <v>134</v>
      </c>
      <c r="C6" s="86">
        <f>[7]at3_cex!D3</f>
        <v>59</v>
      </c>
      <c r="D6" s="86"/>
      <c r="E6" s="86">
        <f>[7]at3_cex!F3</f>
        <v>154</v>
      </c>
      <c r="F6" s="272">
        <f t="shared" ref="F6:F22" si="0">C6/E6</f>
        <v>0.38311688311688313</v>
      </c>
    </row>
    <row r="7" spans="1:6" s="84" customFormat="1" ht="12" customHeight="1">
      <c r="A7" s="88"/>
      <c r="B7" s="88" t="s">
        <v>165</v>
      </c>
      <c r="C7" s="86">
        <f>[7]at3_cex!D4</f>
        <v>13</v>
      </c>
      <c r="D7" s="86"/>
      <c r="E7" s="86">
        <f>[7]at3_cex!F4</f>
        <v>35</v>
      </c>
      <c r="F7" s="272">
        <f t="shared" si="0"/>
        <v>0.37142857142857144</v>
      </c>
    </row>
    <row r="8" spans="1:6" s="84" customFormat="1" ht="12" customHeight="1">
      <c r="A8" s="88"/>
      <c r="B8" s="88" t="s">
        <v>169</v>
      </c>
      <c r="C8" s="86">
        <f>[7]at3_cex!D5</f>
        <v>181</v>
      </c>
      <c r="D8" s="86"/>
      <c r="E8" s="86">
        <f>[7]at3_cex!F5</f>
        <v>335</v>
      </c>
      <c r="F8" s="272">
        <f t="shared" si="0"/>
        <v>0.54029850746268659</v>
      </c>
    </row>
    <row r="9" spans="1:6" s="84" customFormat="1" ht="12" customHeight="1">
      <c r="A9" s="88"/>
      <c r="B9" s="88" t="s">
        <v>127</v>
      </c>
      <c r="C9" s="86">
        <f>[7]at3_cex!D6</f>
        <v>139</v>
      </c>
      <c r="D9" s="86"/>
      <c r="E9" s="86">
        <f>[7]at3_cex!F6</f>
        <v>251</v>
      </c>
      <c r="F9" s="272">
        <f t="shared" si="0"/>
        <v>0.55378486055776888</v>
      </c>
    </row>
    <row r="10" spans="1:6" s="84" customFormat="1" ht="12" customHeight="1">
      <c r="A10" s="88"/>
      <c r="B10" s="88" t="s">
        <v>128</v>
      </c>
      <c r="C10" s="86">
        <f>[7]at3_cex!D7</f>
        <v>59</v>
      </c>
      <c r="D10" s="86"/>
      <c r="E10" s="86">
        <f>[7]at3_cex!F7</f>
        <v>174</v>
      </c>
      <c r="F10" s="272">
        <f t="shared" si="0"/>
        <v>0.33908045977011492</v>
      </c>
    </row>
    <row r="11" spans="1:6" s="84" customFormat="1" ht="12" customHeight="1">
      <c r="A11" s="88"/>
      <c r="B11" s="88" t="s">
        <v>375</v>
      </c>
      <c r="C11" s="86">
        <f>[7]at3_cex!D8</f>
        <v>14</v>
      </c>
      <c r="D11" s="86"/>
      <c r="E11" s="86">
        <f>[7]at3_cex!F8</f>
        <v>109</v>
      </c>
      <c r="F11" s="272">
        <f t="shared" si="0"/>
        <v>0.12844036697247707</v>
      </c>
    </row>
    <row r="12" spans="1:6" s="84" customFormat="1" ht="12" customHeight="1">
      <c r="A12" s="88"/>
      <c r="B12" s="89" t="s">
        <v>107</v>
      </c>
      <c r="C12" s="86">
        <f>[7]at3_cex!D9</f>
        <v>26</v>
      </c>
      <c r="D12" s="86"/>
      <c r="E12" s="86">
        <f>[7]at3_cex!F9</f>
        <v>78</v>
      </c>
      <c r="F12" s="272">
        <f t="shared" si="0"/>
        <v>0.33333333333333331</v>
      </c>
    </row>
    <row r="13" spans="1:6" s="84" customFormat="1" ht="12" customHeight="1">
      <c r="A13" s="88"/>
      <c r="B13" s="88" t="s">
        <v>238</v>
      </c>
      <c r="C13" s="86">
        <f>[7]at3_cex!D10</f>
        <v>34</v>
      </c>
      <c r="D13" s="86"/>
      <c r="E13" s="86">
        <f>[7]at3_cex!F10</f>
        <v>73</v>
      </c>
      <c r="F13" s="272">
        <f t="shared" si="0"/>
        <v>0.46575342465753422</v>
      </c>
    </row>
    <row r="14" spans="1:6" s="84" customFormat="1" ht="12" customHeight="1">
      <c r="A14" s="88"/>
      <c r="B14" s="88" t="s">
        <v>130</v>
      </c>
      <c r="C14" s="86">
        <f>[7]at3_cex!D11</f>
        <v>44</v>
      </c>
      <c r="D14" s="86"/>
      <c r="E14" s="86">
        <f>[7]at3_cex!F11</f>
        <v>57</v>
      </c>
      <c r="F14" s="272">
        <f t="shared" si="0"/>
        <v>0.77192982456140347</v>
      </c>
    </row>
    <row r="15" spans="1:6" s="84" customFormat="1" ht="12" customHeight="1">
      <c r="A15" s="88"/>
      <c r="B15" s="89" t="s">
        <v>239</v>
      </c>
      <c r="C15" s="86">
        <f>[7]at3_cex!D12</f>
        <v>25</v>
      </c>
      <c r="D15" s="86"/>
      <c r="E15" s="86">
        <f>[7]at3_cex!F12</f>
        <v>54</v>
      </c>
      <c r="F15" s="272">
        <f t="shared" si="0"/>
        <v>0.46296296296296297</v>
      </c>
    </row>
    <row r="16" spans="1:6" s="84" customFormat="1" ht="12" customHeight="1">
      <c r="A16" s="88"/>
      <c r="B16" s="84" t="s">
        <v>131</v>
      </c>
      <c r="C16" s="86">
        <f>[7]at3_cex!D13</f>
        <v>24</v>
      </c>
      <c r="D16" s="86"/>
      <c r="E16" s="86">
        <f>[7]at3_cex!F13</f>
        <v>55</v>
      </c>
      <c r="F16" s="272">
        <f t="shared" si="0"/>
        <v>0.43636363636363634</v>
      </c>
    </row>
    <row r="17" spans="1:9" s="84" customFormat="1" ht="12" customHeight="1">
      <c r="A17" s="83"/>
      <c r="B17" s="84" t="s">
        <v>240</v>
      </c>
      <c r="C17" s="86">
        <f>[7]at3_cex!D14</f>
        <v>1</v>
      </c>
      <c r="D17" s="86"/>
      <c r="E17" s="86">
        <f>[7]at3_cex!F14</f>
        <v>10</v>
      </c>
      <c r="F17" s="272">
        <f t="shared" si="0"/>
        <v>0.1</v>
      </c>
    </row>
    <row r="18" spans="1:9" s="84" customFormat="1" ht="12" customHeight="1">
      <c r="A18" s="88"/>
      <c r="B18" s="84" t="s">
        <v>132</v>
      </c>
      <c r="C18" s="86">
        <f>[7]at3_cex!D15</f>
        <v>2</v>
      </c>
      <c r="D18" s="92"/>
      <c r="E18" s="86">
        <f>[7]at3_cex!F15</f>
        <v>29</v>
      </c>
      <c r="F18" s="272">
        <f t="shared" si="0"/>
        <v>6.8965517241379309E-2</v>
      </c>
    </row>
    <row r="19" spans="1:9" s="84" customFormat="1" ht="12" customHeight="1">
      <c r="A19" s="88"/>
      <c r="B19" s="88" t="s">
        <v>133</v>
      </c>
      <c r="C19" s="86">
        <f>[7]at3_cex!D16</f>
        <v>138</v>
      </c>
      <c r="D19" s="92"/>
      <c r="E19" s="86">
        <f>[7]at3_cex!F16</f>
        <v>324</v>
      </c>
      <c r="F19" s="272">
        <f t="shared" si="0"/>
        <v>0.42592592592592593</v>
      </c>
    </row>
    <row r="20" spans="1:9" s="84" customFormat="1" ht="12" customHeight="1">
      <c r="A20" s="88"/>
      <c r="B20" s="83" t="s">
        <v>233</v>
      </c>
      <c r="C20" s="86">
        <f>SUM(C5:C19)</f>
        <v>767</v>
      </c>
      <c r="D20" s="92"/>
      <c r="E20" s="86">
        <f>SUM(E5:E19)</f>
        <v>1781</v>
      </c>
      <c r="F20" s="272">
        <f t="shared" si="0"/>
        <v>0.43065693430656932</v>
      </c>
    </row>
    <row r="21" spans="1:9" s="84" customFormat="1" ht="12" customHeight="1">
      <c r="A21" s="88"/>
      <c r="B21" s="84" t="s">
        <v>251</v>
      </c>
      <c r="C21" s="86">
        <f>at2_rep_jpmci!C17</f>
        <v>989</v>
      </c>
      <c r="D21" s="92"/>
      <c r="E21" s="86"/>
      <c r="F21" s="272"/>
    </row>
    <row r="22" spans="1:9" s="84" customFormat="1" ht="12" customHeight="1">
      <c r="A22" s="88"/>
      <c r="B22" s="91" t="s">
        <v>403</v>
      </c>
      <c r="C22" s="86">
        <f>C21+C20</f>
        <v>1756</v>
      </c>
      <c r="D22" s="92"/>
      <c r="E22" s="86">
        <f>E20</f>
        <v>1781</v>
      </c>
      <c r="F22" s="272">
        <f t="shared" si="0"/>
        <v>0.98596294216732172</v>
      </c>
    </row>
    <row r="23" spans="1:9" s="84" customFormat="1" ht="12" customHeight="1">
      <c r="A23" s="88"/>
      <c r="C23" s="86"/>
      <c r="D23" s="92"/>
      <c r="E23" s="86"/>
      <c r="F23" s="272"/>
    </row>
    <row r="24" spans="1:9" s="84" customFormat="1" ht="12" customHeight="1">
      <c r="A24" s="91" t="s">
        <v>125</v>
      </c>
      <c r="C24" s="86"/>
      <c r="D24" s="92"/>
      <c r="E24" s="86"/>
      <c r="F24" s="272"/>
      <c r="I24" s="93"/>
    </row>
    <row r="25" spans="1:9" s="84" customFormat="1" ht="12" customHeight="1">
      <c r="A25" s="88"/>
      <c r="B25" s="88" t="s">
        <v>135</v>
      </c>
      <c r="C25" s="86">
        <f>[7]at3_cex!D17</f>
        <v>11</v>
      </c>
      <c r="D25" s="92"/>
      <c r="E25" s="86">
        <f>[7]at3_cex!F17</f>
        <v>110</v>
      </c>
      <c r="F25" s="272">
        <f t="shared" ref="F25:F33" si="1">C25/E25</f>
        <v>0.1</v>
      </c>
    </row>
    <row r="26" spans="1:9" s="84" customFormat="1" ht="12" customHeight="1">
      <c r="A26" s="88"/>
      <c r="B26" s="94" t="s">
        <v>136</v>
      </c>
      <c r="C26" s="86">
        <f>[7]at3_cex!D18</f>
        <v>20</v>
      </c>
      <c r="D26" s="92"/>
      <c r="E26" s="86">
        <f>[7]at3_cex!F18</f>
        <v>54</v>
      </c>
      <c r="F26" s="272">
        <f t="shared" si="1"/>
        <v>0.37037037037037035</v>
      </c>
    </row>
    <row r="27" spans="1:9" s="84" customFormat="1" ht="12" customHeight="1">
      <c r="A27" s="88"/>
      <c r="B27" s="94" t="s">
        <v>137</v>
      </c>
      <c r="C27" s="86">
        <f>[7]at3_cex!D19</f>
        <v>59</v>
      </c>
      <c r="D27" s="92"/>
      <c r="E27" s="86">
        <f>[7]at3_cex!F19</f>
        <v>152</v>
      </c>
      <c r="F27" s="272">
        <f t="shared" si="1"/>
        <v>0.38815789473684209</v>
      </c>
    </row>
    <row r="28" spans="1:9" s="84" customFormat="1" ht="12" customHeight="1">
      <c r="A28" s="88"/>
      <c r="B28" s="89" t="s">
        <v>129</v>
      </c>
      <c r="C28" s="86">
        <f>[7]at3_cex!D20</f>
        <v>98</v>
      </c>
      <c r="D28" s="92"/>
      <c r="E28" s="86">
        <f>[7]at3_cex!F20</f>
        <v>55</v>
      </c>
      <c r="F28" s="272">
        <f t="shared" si="1"/>
        <v>1.7818181818181817</v>
      </c>
    </row>
    <row r="29" spans="1:9" s="84" customFormat="1" ht="12" customHeight="1">
      <c r="A29" s="88"/>
      <c r="B29" s="88" t="s">
        <v>376</v>
      </c>
      <c r="C29" s="86">
        <f>[7]at3_cex!D21</f>
        <v>39</v>
      </c>
      <c r="D29" s="92"/>
      <c r="E29" s="86">
        <f>[7]at3_cex!F21</f>
        <v>38</v>
      </c>
      <c r="F29" s="272">
        <f t="shared" si="1"/>
        <v>1.0263157894736843</v>
      </c>
    </row>
    <row r="30" spans="1:9" s="84" customFormat="1" ht="12" customHeight="1">
      <c r="A30" s="88"/>
      <c r="B30" s="88" t="s">
        <v>138</v>
      </c>
      <c r="C30" s="86">
        <f>[7]at3_cex!D22</f>
        <v>13</v>
      </c>
      <c r="D30" s="92"/>
      <c r="E30" s="86">
        <f>[7]at3_cex!F22</f>
        <v>61</v>
      </c>
      <c r="F30" s="272">
        <f t="shared" si="1"/>
        <v>0.21311475409836064</v>
      </c>
    </row>
    <row r="31" spans="1:9" s="84" customFormat="1" ht="12" customHeight="1">
      <c r="A31" s="88"/>
      <c r="B31" s="94" t="s">
        <v>139</v>
      </c>
      <c r="C31" s="86">
        <f>[7]at3_cex!D23</f>
        <v>56</v>
      </c>
      <c r="D31" s="92"/>
      <c r="E31" s="86">
        <f>[7]at3_cex!F23</f>
        <v>230</v>
      </c>
      <c r="F31" s="272">
        <f t="shared" si="1"/>
        <v>0.24347826086956523</v>
      </c>
    </row>
    <row r="32" spans="1:9" s="84" customFormat="1" ht="12" customHeight="1">
      <c r="A32" s="88"/>
      <c r="B32" s="94" t="s">
        <v>140</v>
      </c>
      <c r="C32" s="86">
        <f>[7]at3_cex!D24</f>
        <v>9</v>
      </c>
      <c r="D32" s="92"/>
      <c r="E32" s="86">
        <f>[7]at3_cex!F24</f>
        <v>52</v>
      </c>
      <c r="F32" s="272">
        <f t="shared" si="1"/>
        <v>0.17307692307692307</v>
      </c>
    </row>
    <row r="33" spans="1:6" s="84" customFormat="1" ht="12" customHeight="1">
      <c r="A33" s="88"/>
      <c r="B33" s="91" t="s">
        <v>141</v>
      </c>
      <c r="C33" s="86">
        <f>SUM(C25:C32)</f>
        <v>305</v>
      </c>
      <c r="D33" s="92"/>
      <c r="E33" s="86">
        <f>SUM(E25:E32)</f>
        <v>752</v>
      </c>
      <c r="F33" s="272">
        <f t="shared" si="1"/>
        <v>0.40558510638297873</v>
      </c>
    </row>
    <row r="34" spans="1:6" s="84" customFormat="1" ht="12" customHeight="1">
      <c r="A34" s="88"/>
      <c r="B34" s="88" t="s">
        <v>252</v>
      </c>
      <c r="C34" s="86"/>
      <c r="D34" s="92"/>
      <c r="E34" s="86">
        <f>[7]at3_cex!$F$25</f>
        <v>2186</v>
      </c>
      <c r="F34" s="273" t="s">
        <v>73</v>
      </c>
    </row>
    <row r="35" spans="1:6" s="84" customFormat="1" ht="12" customHeight="1">
      <c r="B35" s="83" t="s">
        <v>236</v>
      </c>
      <c r="C35" s="86">
        <f>C33</f>
        <v>305</v>
      </c>
      <c r="D35" s="92"/>
      <c r="E35" s="86">
        <f>E34+E33</f>
        <v>2938</v>
      </c>
      <c r="F35" s="272">
        <f>C35/E35</f>
        <v>0.10381211708645337</v>
      </c>
    </row>
    <row r="36" spans="1:6" ht="13.05" customHeight="1" thickBot="1">
      <c r="A36" s="59"/>
      <c r="B36" s="1"/>
      <c r="C36" s="27"/>
      <c r="D36" s="27"/>
      <c r="E36" s="27"/>
      <c r="F36" s="22"/>
    </row>
    <row r="37" spans="1:6" ht="90" customHeight="1" thickTop="1">
      <c r="A37" s="316" t="s">
        <v>416</v>
      </c>
      <c r="B37" s="316"/>
      <c r="C37" s="316"/>
      <c r="D37" s="316"/>
      <c r="E37" s="316"/>
      <c r="F37" s="316"/>
    </row>
  </sheetData>
  <mergeCells count="3">
    <mergeCell ref="A1:F1"/>
    <mergeCell ref="E2:F2"/>
    <mergeCell ref="A37:F37"/>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opLeftCell="A16" workbookViewId="0">
      <selection activeCell="C2" sqref="C1:E1048576"/>
    </sheetView>
  </sheetViews>
  <sheetFormatPr defaultColWidth="8.77734375" defaultRowHeight="13.2"/>
  <cols>
    <col min="1" max="1" width="8.77734375" style="40"/>
    <col min="2" max="2" width="38.6640625" style="2" customWidth="1"/>
    <col min="3" max="3" width="8.77734375" style="2" customWidth="1"/>
    <col min="4" max="4" width="2.109375" style="2" customWidth="1"/>
    <col min="5" max="5" width="7.77734375" style="2" customWidth="1"/>
    <col min="6" max="6" width="9.77734375" style="2" customWidth="1"/>
    <col min="7" max="16384" width="8.77734375" style="2"/>
  </cols>
  <sheetData>
    <row r="1" spans="1:6" ht="16.95" customHeight="1" thickBot="1">
      <c r="A1" s="317" t="s">
        <v>274</v>
      </c>
      <c r="B1" s="317"/>
      <c r="C1" s="317"/>
      <c r="D1" s="317"/>
      <c r="E1" s="317"/>
      <c r="F1" s="317"/>
    </row>
    <row r="2" spans="1:6" ht="15" customHeight="1" thickTop="1">
      <c r="A2" s="88"/>
      <c r="B2" s="96"/>
      <c r="C2" s="97"/>
      <c r="D2" s="97"/>
      <c r="E2" s="320" t="s">
        <v>19</v>
      </c>
      <c r="F2" s="321"/>
    </row>
    <row r="3" spans="1:6" ht="28.95" customHeight="1">
      <c r="A3" s="88"/>
      <c r="B3" s="84"/>
      <c r="C3" s="98" t="s">
        <v>80</v>
      </c>
      <c r="D3" s="99"/>
      <c r="E3" s="98" t="s">
        <v>171</v>
      </c>
      <c r="F3" s="100" t="s">
        <v>164</v>
      </c>
    </row>
    <row r="4" spans="1:6" ht="13.05" customHeight="1">
      <c r="A4" s="83" t="s">
        <v>234</v>
      </c>
      <c r="B4" s="84"/>
      <c r="C4" s="85"/>
      <c r="D4" s="86"/>
      <c r="E4" s="85"/>
      <c r="F4" s="87"/>
    </row>
    <row r="5" spans="1:6" ht="23.4" customHeight="1">
      <c r="A5" s="88"/>
      <c r="B5" s="89" t="s">
        <v>142</v>
      </c>
      <c r="C5" s="86">
        <f>[8]at4_pce!D2</f>
        <v>8</v>
      </c>
      <c r="D5" s="86"/>
      <c r="E5" s="86">
        <f>[8]at4_pce!F2</f>
        <v>89</v>
      </c>
      <c r="F5" s="272">
        <f>C5/E5</f>
        <v>8.98876404494382E-2</v>
      </c>
    </row>
    <row r="6" spans="1:6" ht="13.05" customHeight="1">
      <c r="A6" s="88"/>
      <c r="B6" s="89" t="s">
        <v>152</v>
      </c>
      <c r="C6" s="86">
        <f>[8]at4_pce!D3</f>
        <v>61</v>
      </c>
      <c r="D6" s="86"/>
      <c r="E6" s="86">
        <f>[8]at4_pce!F3</f>
        <v>268</v>
      </c>
      <c r="F6" s="272">
        <f t="shared" ref="F6:F27" si="0">C6/E6</f>
        <v>0.22761194029850745</v>
      </c>
    </row>
    <row r="7" spans="1:6" ht="30" customHeight="1">
      <c r="A7" s="88"/>
      <c r="B7" s="89" t="s">
        <v>143</v>
      </c>
      <c r="C7" s="86">
        <f>[8]at4_pce!D4</f>
        <v>181</v>
      </c>
      <c r="D7" s="86"/>
      <c r="E7" s="86">
        <f>[8]at4_pce!F4</f>
        <v>510</v>
      </c>
      <c r="F7" s="272">
        <f t="shared" si="0"/>
        <v>0.35490196078431374</v>
      </c>
    </row>
    <row r="8" spans="1:6" ht="13.05" customHeight="1">
      <c r="A8" s="88"/>
      <c r="B8" s="89" t="s">
        <v>144</v>
      </c>
      <c r="C8" s="86">
        <f>[8]at4_pce!D5</f>
        <v>139</v>
      </c>
      <c r="D8" s="86"/>
      <c r="E8" s="86">
        <f>[8]at4_pce!F5</f>
        <v>460</v>
      </c>
      <c r="F8" s="272">
        <f t="shared" si="0"/>
        <v>0.30217391304347824</v>
      </c>
    </row>
    <row r="9" spans="1:6" ht="13.05" customHeight="1">
      <c r="A9" s="88"/>
      <c r="B9" s="89" t="s">
        <v>153</v>
      </c>
      <c r="C9" s="86">
        <f>[8]at4_pce!D6</f>
        <v>6</v>
      </c>
      <c r="D9" s="86"/>
      <c r="E9" s="86">
        <f>[8]at4_pce!F6</f>
        <v>51</v>
      </c>
      <c r="F9" s="272">
        <f t="shared" si="0"/>
        <v>0.11764705882352941</v>
      </c>
    </row>
    <row r="10" spans="1:6" ht="13.05" customHeight="1">
      <c r="A10" s="88"/>
      <c r="B10" s="89" t="s">
        <v>145</v>
      </c>
      <c r="C10" s="86">
        <f>[8]at4_pce!D7</f>
        <v>126</v>
      </c>
      <c r="D10" s="86"/>
      <c r="E10" s="86">
        <f>[8]at4_pce!F7</f>
        <v>224</v>
      </c>
      <c r="F10" s="272">
        <f t="shared" si="0"/>
        <v>0.5625</v>
      </c>
    </row>
    <row r="11" spans="1:6" ht="13.05" customHeight="1">
      <c r="A11" s="88"/>
      <c r="B11" s="89" t="s">
        <v>107</v>
      </c>
      <c r="C11" s="86">
        <f>[8]at4_pce!D8</f>
        <v>25</v>
      </c>
      <c r="D11" s="86"/>
      <c r="E11" s="86">
        <f>[8]at4_pce!F8</f>
        <v>176</v>
      </c>
      <c r="F11" s="272">
        <f t="shared" si="0"/>
        <v>0.14204545454545456</v>
      </c>
    </row>
    <row r="12" spans="1:6" ht="13.05" customHeight="1">
      <c r="A12" s="88"/>
      <c r="B12" s="89" t="s">
        <v>146</v>
      </c>
      <c r="C12" s="86">
        <f>[8]at4_pce!D9</f>
        <v>59</v>
      </c>
      <c r="D12" s="86"/>
      <c r="E12" s="86">
        <f>[8]at4_pce!F9</f>
        <v>189</v>
      </c>
      <c r="F12" s="272">
        <f t="shared" si="0"/>
        <v>0.31216931216931215</v>
      </c>
    </row>
    <row r="13" spans="1:6" ht="13.05" customHeight="1">
      <c r="A13" s="88"/>
      <c r="B13" s="89" t="s">
        <v>130</v>
      </c>
      <c r="C13" s="86">
        <f>[8]at4_pce!D10</f>
        <v>45</v>
      </c>
      <c r="D13" s="86"/>
      <c r="E13" s="86">
        <f>[8]at4_pce!F10</f>
        <v>172</v>
      </c>
      <c r="F13" s="272">
        <f t="shared" si="0"/>
        <v>0.26162790697674421</v>
      </c>
    </row>
    <row r="14" spans="1:6" ht="13.05" customHeight="1">
      <c r="A14" s="88"/>
      <c r="B14" s="89" t="s">
        <v>166</v>
      </c>
      <c r="C14" s="86">
        <f>[8]at4_pce!D11</f>
        <v>14</v>
      </c>
      <c r="D14" s="86"/>
      <c r="E14" s="86">
        <f>[8]at4_pce!F11</f>
        <v>44</v>
      </c>
      <c r="F14" s="272">
        <f t="shared" si="0"/>
        <v>0.31818181818181818</v>
      </c>
    </row>
    <row r="15" spans="1:6" ht="13.05" customHeight="1">
      <c r="A15" s="88"/>
      <c r="B15" s="89" t="s">
        <v>147</v>
      </c>
      <c r="C15" s="86">
        <f>[8]at4_pce!D12</f>
        <v>5</v>
      </c>
      <c r="D15" s="86"/>
      <c r="E15" s="86">
        <f>[8]at4_pce!F12</f>
        <v>7</v>
      </c>
      <c r="F15" s="272">
        <f t="shared" si="0"/>
        <v>0.7142857142857143</v>
      </c>
    </row>
    <row r="16" spans="1:6" ht="13.05" customHeight="1">
      <c r="A16" s="88"/>
      <c r="B16" s="89" t="s">
        <v>148</v>
      </c>
      <c r="C16" s="86">
        <f>[8]at4_pce!D13</f>
        <v>17</v>
      </c>
      <c r="D16" s="86"/>
      <c r="E16" s="86">
        <f>[8]at4_pce!F13</f>
        <v>124</v>
      </c>
      <c r="F16" s="272">
        <f t="shared" si="0"/>
        <v>0.13709677419354838</v>
      </c>
    </row>
    <row r="17" spans="1:9" ht="13.05" customHeight="1">
      <c r="A17" s="88"/>
      <c r="B17" s="89" t="s">
        <v>149</v>
      </c>
      <c r="C17" s="86">
        <f>[8]at4_pce!D14</f>
        <v>15</v>
      </c>
      <c r="D17" s="86"/>
      <c r="E17" s="86">
        <f>[8]at4_pce!F14</f>
        <v>38</v>
      </c>
      <c r="F17" s="272">
        <f t="shared" si="0"/>
        <v>0.39473684210526316</v>
      </c>
    </row>
    <row r="18" spans="1:9" ht="13.05" customHeight="1">
      <c r="A18" s="88"/>
      <c r="B18" s="89" t="s">
        <v>150</v>
      </c>
      <c r="C18" s="86">
        <f>[8]at4_pce!D15</f>
        <v>9</v>
      </c>
      <c r="D18" s="86"/>
      <c r="E18" s="86">
        <f>[8]at4_pce!F15</f>
        <v>33</v>
      </c>
      <c r="F18" s="272">
        <f t="shared" si="0"/>
        <v>0.27272727272727271</v>
      </c>
    </row>
    <row r="19" spans="1:9" ht="13.05" customHeight="1">
      <c r="A19" s="83"/>
      <c r="B19" s="89" t="s">
        <v>240</v>
      </c>
      <c r="C19" s="86">
        <f>[8]at4_pce!D16</f>
        <v>3</v>
      </c>
      <c r="D19" s="86"/>
      <c r="E19" s="86">
        <f>[8]at4_pce!F16</f>
        <v>75</v>
      </c>
      <c r="F19" s="272">
        <f t="shared" si="0"/>
        <v>0.04</v>
      </c>
    </row>
    <row r="20" spans="1:9" ht="13.05" customHeight="1">
      <c r="A20" s="88"/>
      <c r="B20" s="89" t="s">
        <v>154</v>
      </c>
      <c r="C20" s="86">
        <f>[8]at4_pce!D17</f>
        <v>46</v>
      </c>
      <c r="D20" s="92"/>
      <c r="E20" s="86">
        <f>[8]at4_pce!F17</f>
        <v>221</v>
      </c>
      <c r="F20" s="272">
        <f t="shared" si="0"/>
        <v>0.20814479638009051</v>
      </c>
    </row>
    <row r="21" spans="1:9" ht="13.05" customHeight="1">
      <c r="A21" s="88"/>
      <c r="B21" s="89" t="s">
        <v>241</v>
      </c>
      <c r="C21" s="86">
        <f>[8]at4_pce!D18</f>
        <v>19</v>
      </c>
      <c r="D21" s="92"/>
      <c r="E21" s="86">
        <f>[8]at4_pce!F18</f>
        <v>114</v>
      </c>
      <c r="F21" s="272">
        <f t="shared" si="0"/>
        <v>0.16666666666666666</v>
      </c>
    </row>
    <row r="22" spans="1:9" ht="28.95" customHeight="1">
      <c r="A22" s="88"/>
      <c r="B22" s="89" t="s">
        <v>155</v>
      </c>
      <c r="C22" s="86">
        <f>[8]at4_pce!D19</f>
        <v>9</v>
      </c>
      <c r="D22" s="92"/>
      <c r="E22" s="86">
        <f>[8]at4_pce!F19</f>
        <v>80</v>
      </c>
      <c r="F22" s="272">
        <f t="shared" si="0"/>
        <v>0.1125</v>
      </c>
    </row>
    <row r="23" spans="1:9" ht="13.05" customHeight="1">
      <c r="A23" s="88"/>
      <c r="B23" s="89" t="s">
        <v>122</v>
      </c>
      <c r="C23" s="86">
        <f>[8]at4_pce!D20</f>
        <v>14</v>
      </c>
      <c r="D23" s="92"/>
      <c r="E23" s="86">
        <f>[8]at4_pce!F20</f>
        <v>193</v>
      </c>
      <c r="F23" s="272">
        <f t="shared" si="0"/>
        <v>7.2538860103626937E-2</v>
      </c>
    </row>
    <row r="24" spans="1:9" ht="13.05" customHeight="1">
      <c r="A24" s="88"/>
      <c r="B24" s="89" t="s">
        <v>151</v>
      </c>
      <c r="C24" s="86">
        <f>[8]at4_pce!D21</f>
        <v>2</v>
      </c>
      <c r="D24" s="92"/>
      <c r="E24" s="86">
        <v>72</v>
      </c>
      <c r="F24" s="272">
        <f t="shared" si="0"/>
        <v>2.7777777777777776E-2</v>
      </c>
    </row>
    <row r="25" spans="1:9" ht="13.05" customHeight="1">
      <c r="A25" s="88"/>
      <c r="B25" s="101" t="s">
        <v>233</v>
      </c>
      <c r="C25" s="86">
        <f>SUM(C5:C24)</f>
        <v>803</v>
      </c>
      <c r="D25" s="92"/>
      <c r="E25" s="86">
        <f>SUM(E5:E24)</f>
        <v>3140</v>
      </c>
      <c r="F25" s="272">
        <f t="shared" si="0"/>
        <v>0.25573248407643312</v>
      </c>
    </row>
    <row r="26" spans="1:9" ht="13.05" customHeight="1">
      <c r="A26" s="88"/>
      <c r="B26" s="84" t="s">
        <v>251</v>
      </c>
      <c r="C26" s="86">
        <f>at2_rep_jpmci!C17</f>
        <v>989</v>
      </c>
      <c r="D26" s="92"/>
      <c r="E26" s="86"/>
      <c r="F26" s="272"/>
    </row>
    <row r="27" spans="1:9" ht="13.05" customHeight="1">
      <c r="A27" s="88"/>
      <c r="B27" s="91" t="s">
        <v>403</v>
      </c>
      <c r="C27" s="86">
        <f>C25+C26</f>
        <v>1792</v>
      </c>
      <c r="D27" s="92"/>
      <c r="E27" s="86">
        <f>E25</f>
        <v>3140</v>
      </c>
      <c r="F27" s="272">
        <f t="shared" si="0"/>
        <v>0.57070063694267514</v>
      </c>
    </row>
    <row r="28" spans="1:9" ht="13.05" customHeight="1">
      <c r="A28" s="88"/>
      <c r="B28" s="89"/>
      <c r="C28" s="86"/>
      <c r="D28" s="92"/>
      <c r="E28" s="86"/>
      <c r="F28" s="272"/>
    </row>
    <row r="29" spans="1:9" ht="13.05" customHeight="1">
      <c r="A29" s="91" t="s">
        <v>125</v>
      </c>
      <c r="B29" s="89"/>
      <c r="C29" s="86"/>
      <c r="D29" s="92"/>
      <c r="E29" s="86"/>
      <c r="F29" s="272"/>
      <c r="I29" s="7"/>
    </row>
    <row r="30" spans="1:9" ht="13.05" customHeight="1">
      <c r="A30" s="88"/>
      <c r="B30" s="88" t="s">
        <v>135</v>
      </c>
      <c r="C30" s="86">
        <f>[8]at4_pce!D22</f>
        <v>10</v>
      </c>
      <c r="D30" s="92"/>
      <c r="E30" s="86">
        <f>[8]at4_pce!F22</f>
        <v>206</v>
      </c>
      <c r="F30" s="272">
        <f t="shared" ref="F30:F41" si="1">C30/E30</f>
        <v>4.8543689320388349E-2</v>
      </c>
    </row>
    <row r="31" spans="1:9" ht="13.05" customHeight="1">
      <c r="A31" s="88"/>
      <c r="B31" s="89" t="s">
        <v>156</v>
      </c>
      <c r="C31" s="86">
        <f>[8]at4_pce!D23</f>
        <v>43</v>
      </c>
      <c r="D31" s="92"/>
      <c r="E31" s="86">
        <f>[8]at4_pce!F23</f>
        <v>208</v>
      </c>
      <c r="F31" s="272">
        <f t="shared" si="1"/>
        <v>0.20673076923076922</v>
      </c>
    </row>
    <row r="32" spans="1:9" ht="13.05" customHeight="1">
      <c r="A32" s="88"/>
      <c r="B32" s="89" t="s">
        <v>157</v>
      </c>
      <c r="C32" s="86">
        <f>[8]at4_pce!D24</f>
        <v>13</v>
      </c>
      <c r="D32" s="92"/>
      <c r="E32" s="86">
        <f>[8]at4_pce!F24</f>
        <v>64</v>
      </c>
      <c r="F32" s="272">
        <f t="shared" si="1"/>
        <v>0.203125</v>
      </c>
    </row>
    <row r="33" spans="1:6" ht="13.05" customHeight="1">
      <c r="A33" s="88"/>
      <c r="B33" s="88" t="s">
        <v>253</v>
      </c>
      <c r="C33" s="86">
        <f>[8]at4_pce!D25</f>
        <v>89</v>
      </c>
      <c r="D33" s="86"/>
      <c r="E33" s="86">
        <f>[8]at4_pce!F25</f>
        <v>84</v>
      </c>
      <c r="F33" s="272">
        <f t="shared" si="1"/>
        <v>1.0595238095238095</v>
      </c>
    </row>
    <row r="34" spans="1:6" ht="13.05" customHeight="1">
      <c r="A34" s="88"/>
      <c r="B34" s="102" t="s">
        <v>158</v>
      </c>
      <c r="C34" s="86">
        <f>[8]at4_pce!D26</f>
        <v>21</v>
      </c>
      <c r="D34" s="92"/>
      <c r="E34" s="86">
        <f>[8]at4_pce!F26</f>
        <v>120</v>
      </c>
      <c r="F34" s="272">
        <f t="shared" si="1"/>
        <v>0.17499999999999999</v>
      </c>
    </row>
    <row r="35" spans="1:6" ht="13.05" customHeight="1">
      <c r="A35" s="88"/>
      <c r="B35" s="102" t="s">
        <v>159</v>
      </c>
      <c r="C35" s="86">
        <f>[8]at4_pce!D27</f>
        <v>52</v>
      </c>
      <c r="D35" s="92"/>
      <c r="E35" s="86">
        <f>[8]at4_pce!F27</f>
        <v>168</v>
      </c>
      <c r="F35" s="272">
        <f t="shared" si="1"/>
        <v>0.30952380952380953</v>
      </c>
    </row>
    <row r="36" spans="1:6" ht="13.05" customHeight="1">
      <c r="A36" s="88"/>
      <c r="B36" s="89" t="s">
        <v>160</v>
      </c>
      <c r="C36" s="86">
        <f>[8]at4_pce!D28</f>
        <v>4</v>
      </c>
      <c r="D36" s="92"/>
      <c r="E36" s="86">
        <f>[8]at4_pce!F28</f>
        <v>76</v>
      </c>
      <c r="F36" s="272">
        <f t="shared" si="1"/>
        <v>5.2631578947368418E-2</v>
      </c>
    </row>
    <row r="37" spans="1:6" ht="13.05" customHeight="1">
      <c r="A37" s="88"/>
      <c r="B37" s="89" t="s">
        <v>161</v>
      </c>
      <c r="C37" s="86">
        <f>[8]at4_pce!D29</f>
        <v>10</v>
      </c>
      <c r="D37" s="92"/>
      <c r="E37" s="86">
        <f>[8]at4_pce!F29</f>
        <v>57</v>
      </c>
      <c r="F37" s="272">
        <f t="shared" si="1"/>
        <v>0.17543859649122806</v>
      </c>
    </row>
    <row r="38" spans="1:6" ht="13.05" customHeight="1">
      <c r="A38" s="88"/>
      <c r="B38" s="102" t="s">
        <v>162</v>
      </c>
      <c r="C38" s="86">
        <f>[8]at4_pce!D30</f>
        <v>55</v>
      </c>
      <c r="D38" s="92"/>
      <c r="E38" s="86">
        <f>[8]at4_pce!F30</f>
        <v>220</v>
      </c>
      <c r="F38" s="272">
        <f t="shared" si="1"/>
        <v>0.25</v>
      </c>
    </row>
    <row r="39" spans="1:6" ht="13.05" customHeight="1">
      <c r="A39" s="88"/>
      <c r="B39" s="91" t="s">
        <v>141</v>
      </c>
      <c r="C39" s="86">
        <f>SUM(C30:C38)</f>
        <v>297</v>
      </c>
      <c r="D39" s="92"/>
      <c r="E39" s="86">
        <f>SUM(E30:E38)</f>
        <v>1203</v>
      </c>
      <c r="F39" s="272">
        <f t="shared" si="1"/>
        <v>0.24688279301745636</v>
      </c>
    </row>
    <row r="40" spans="1:6" ht="13.05" customHeight="1">
      <c r="A40" s="88"/>
      <c r="B40" s="88" t="s">
        <v>252</v>
      </c>
      <c r="C40" s="273" t="s">
        <v>237</v>
      </c>
      <c r="D40" s="92"/>
      <c r="E40" s="86">
        <f>[8]at4_pce!$F$31</f>
        <v>3660</v>
      </c>
      <c r="F40" s="273" t="s">
        <v>237</v>
      </c>
    </row>
    <row r="41" spans="1:6" ht="13.05" customHeight="1">
      <c r="A41" s="91"/>
      <c r="B41" s="83" t="s">
        <v>236</v>
      </c>
      <c r="C41" s="86">
        <f>C39</f>
        <v>297</v>
      </c>
      <c r="D41" s="92"/>
      <c r="E41" s="86">
        <f>E39+E40</f>
        <v>4863</v>
      </c>
      <c r="F41" s="272">
        <f t="shared" si="1"/>
        <v>6.1073411474398522E-2</v>
      </c>
    </row>
    <row r="42" spans="1:6" ht="13.05" customHeight="1" thickBot="1">
      <c r="A42" s="91"/>
      <c r="B42" s="95"/>
      <c r="C42" s="85"/>
      <c r="D42" s="90"/>
      <c r="E42" s="85"/>
      <c r="F42" s="87"/>
    </row>
    <row r="43" spans="1:6" ht="75" customHeight="1" thickTop="1">
      <c r="A43" s="316" t="s">
        <v>404</v>
      </c>
      <c r="B43" s="316"/>
      <c r="C43" s="316"/>
      <c r="D43" s="316"/>
      <c r="E43" s="316"/>
      <c r="F43" s="316"/>
    </row>
  </sheetData>
  <mergeCells count="3">
    <mergeCell ref="A1:F1"/>
    <mergeCell ref="E2:F2"/>
    <mergeCell ref="A43:F43"/>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
  <sheetViews>
    <sheetView view="pageBreakPreview" zoomScale="115" zoomScaleNormal="100" zoomScaleSheetLayoutView="115" workbookViewId="0">
      <selection activeCell="K10" sqref="K10"/>
    </sheetView>
  </sheetViews>
  <sheetFormatPr defaultColWidth="10.77734375" defaultRowHeight="13.2"/>
  <cols>
    <col min="1" max="1" width="7" customWidth="1"/>
    <col min="2" max="2" width="10.44140625" customWidth="1"/>
    <col min="3" max="3" width="8.109375" customWidth="1"/>
    <col min="4" max="4" width="9.5546875" customWidth="1"/>
    <col min="5" max="5" width="9.44140625" customWidth="1"/>
    <col min="6" max="6" width="7.109375" customWidth="1"/>
    <col min="7" max="7" width="9.44140625" customWidth="1"/>
    <col min="8" max="8" width="7.44140625" customWidth="1"/>
    <col min="9" max="9" width="7.88671875" customWidth="1"/>
    <col min="10" max="10" width="8" customWidth="1"/>
  </cols>
  <sheetData>
    <row r="1" spans="1:10" ht="13.8" thickBot="1">
      <c r="A1" s="306" t="s">
        <v>275</v>
      </c>
      <c r="B1" s="306"/>
      <c r="C1" s="306"/>
      <c r="D1" s="306"/>
      <c r="E1" s="306"/>
      <c r="F1" s="306"/>
      <c r="G1" s="306"/>
      <c r="H1" s="306"/>
      <c r="I1" s="306"/>
      <c r="J1" s="306"/>
    </row>
    <row r="2" spans="1:10" ht="46.8" customHeight="1" thickTop="1">
      <c r="A2" s="7" t="s">
        <v>7</v>
      </c>
      <c r="B2" s="7" t="s">
        <v>8</v>
      </c>
      <c r="C2" s="17" t="s">
        <v>17</v>
      </c>
      <c r="D2" s="17" t="s">
        <v>89</v>
      </c>
      <c r="E2" s="17" t="s">
        <v>86</v>
      </c>
      <c r="F2" s="17" t="s">
        <v>377</v>
      </c>
      <c r="G2" s="17" t="s">
        <v>85</v>
      </c>
      <c r="H2" s="17" t="s">
        <v>87</v>
      </c>
      <c r="I2" s="17" t="s">
        <v>119</v>
      </c>
      <c r="J2" s="17" t="s">
        <v>88</v>
      </c>
    </row>
    <row r="3" spans="1:10">
      <c r="A3" s="7"/>
      <c r="B3" s="7"/>
      <c r="C3" s="6" t="s">
        <v>0</v>
      </c>
      <c r="D3" s="6" t="s">
        <v>37</v>
      </c>
      <c r="E3" s="6" t="s">
        <v>13</v>
      </c>
      <c r="F3" s="6" t="s">
        <v>39</v>
      </c>
      <c r="G3" s="6" t="s">
        <v>40</v>
      </c>
      <c r="H3" s="6" t="s">
        <v>41</v>
      </c>
      <c r="I3" s="6" t="s">
        <v>42</v>
      </c>
      <c r="J3" s="6" t="s">
        <v>35</v>
      </c>
    </row>
    <row r="4" spans="1:10">
      <c r="A4" s="7" t="s">
        <v>20</v>
      </c>
      <c r="B4" s="7" t="s">
        <v>27</v>
      </c>
      <c r="C4" s="274">
        <f>[9]at5_sipp_inc!C2</f>
        <v>5.9949261119972203E-2</v>
      </c>
      <c r="D4" s="262">
        <f>[9]at5_sipp_inc!D2</f>
        <v>6019.2295754222796</v>
      </c>
      <c r="E4" s="262">
        <f>[9]at5_sipp_inc!E2</f>
        <v>7333.2580000526996</v>
      </c>
      <c r="F4" s="274">
        <f>[9]at5_sipp_inc!F2</f>
        <v>6.9496080254439693E-2</v>
      </c>
      <c r="G4" s="262">
        <f>[9]at5_sipp_inc!G2</f>
        <v>6799.7679106954201</v>
      </c>
      <c r="H4" s="262">
        <f>[9]at5_sipp_inc!H2</f>
        <v>3722.93489244688</v>
      </c>
      <c r="I4" s="274">
        <f>[9]at5_sipp_inc!I2</f>
        <v>0.60699466949258796</v>
      </c>
      <c r="J4" s="262">
        <f>[9]at5_sipp_inc!J2</f>
        <v>3076.8330182485402</v>
      </c>
    </row>
    <row r="5" spans="1:10">
      <c r="A5" s="7" t="s">
        <v>28</v>
      </c>
      <c r="B5" s="7" t="s">
        <v>117</v>
      </c>
      <c r="C5" s="274">
        <f>[9]at5_sipp_inc!C3</f>
        <v>0.21808269629900201</v>
      </c>
      <c r="D5" s="262">
        <f>[9]at5_sipp_inc!D3</f>
        <v>4373.8906371123003</v>
      </c>
      <c r="E5" s="262">
        <f>[9]at5_sipp_inc!E3</f>
        <v>5596.3323780486398</v>
      </c>
      <c r="F5" s="274">
        <f>[9]at5_sipp_inc!F3</f>
        <v>0.16251837171182901</v>
      </c>
      <c r="G5" s="262">
        <f>[9]at5_sipp_inc!G3</f>
        <v>5064.3036845035003</v>
      </c>
      <c r="H5" s="262">
        <f>[9]at5_sipp_inc!H3</f>
        <v>2041.5812357991799</v>
      </c>
      <c r="I5" s="274">
        <f>[9]at5_sipp_inc!I3</f>
        <v>0.56046274876997204</v>
      </c>
      <c r="J5" s="262">
        <f>[9]at5_sipp_inc!J3</f>
        <v>3022.72244870431</v>
      </c>
    </row>
    <row r="6" spans="1:10">
      <c r="A6" s="7" t="s">
        <v>28</v>
      </c>
      <c r="B6" s="7" t="s">
        <v>118</v>
      </c>
      <c r="C6" s="274">
        <f>[9]at5_sipp_inc!C4</f>
        <v>2.3286020599383599E-2</v>
      </c>
      <c r="D6" s="262">
        <f>[9]at5_sipp_inc!D4</f>
        <v>5106.4996536500603</v>
      </c>
      <c r="E6" s="262">
        <f>[9]at5_sipp_inc!E4</f>
        <v>6290.3884968736402</v>
      </c>
      <c r="F6" s="274">
        <f>[9]at5_sipp_inc!F4</f>
        <v>8.1495553389021702E-2</v>
      </c>
      <c r="G6" s="262">
        <f>[9]at5_sipp_inc!G4</f>
        <v>5750.1228323417399</v>
      </c>
      <c r="H6" s="262">
        <f>[9]at5_sipp_inc!H4</f>
        <v>3273.04661092369</v>
      </c>
      <c r="I6" s="274">
        <f>[9]at5_sipp_inc!I4</f>
        <v>0.53666931347394697</v>
      </c>
      <c r="J6" s="262">
        <f>[9]at5_sipp_inc!J4</f>
        <v>2477.07622141805</v>
      </c>
    </row>
    <row r="7" spans="1:10">
      <c r="A7" s="7" t="s">
        <v>4</v>
      </c>
      <c r="B7" s="7" t="s">
        <v>118</v>
      </c>
      <c r="C7" s="252"/>
      <c r="D7" s="262">
        <f>[1]at5_rep_inc!B2</f>
        <v>5141.6666666666697</v>
      </c>
      <c r="E7" s="262">
        <f>[1]at5_rep_inc!C2</f>
        <v>6334.2585918982104</v>
      </c>
      <c r="F7" s="275"/>
      <c r="G7" s="262">
        <f>[1]at5_rep_inc!D2</f>
        <v>5001.9217204494398</v>
      </c>
      <c r="H7" s="262"/>
      <c r="I7" s="252"/>
      <c r="J7" s="262"/>
    </row>
    <row r="8" spans="1:10" ht="13.8" thickBot="1">
      <c r="A8" s="1" t="s">
        <v>4</v>
      </c>
      <c r="B8" s="1" t="s">
        <v>18</v>
      </c>
      <c r="C8" s="251"/>
      <c r="D8" s="276">
        <f>[1]at5_rep_inc!B3</f>
        <v>5391.6666666666697</v>
      </c>
      <c r="E8" s="276">
        <f>[1]at5_rep_inc!C3</f>
        <v>6558.0560197314098</v>
      </c>
      <c r="F8" s="277"/>
      <c r="G8" s="276">
        <f>[1]at5_rep_inc!D3</f>
        <v>5138.0142553465303</v>
      </c>
      <c r="H8" s="276"/>
      <c r="I8" s="251"/>
      <c r="J8" s="276"/>
    </row>
    <row r="9" spans="1:10" ht="262.05" customHeight="1" thickTop="1">
      <c r="A9" s="313" t="s">
        <v>405</v>
      </c>
      <c r="B9" s="313"/>
      <c r="C9" s="313"/>
      <c r="D9" s="313"/>
      <c r="E9" s="313"/>
      <c r="F9" s="313"/>
      <c r="G9" s="313"/>
      <c r="H9" s="313"/>
      <c r="I9" s="313"/>
      <c r="J9" s="313"/>
    </row>
  </sheetData>
  <mergeCells count="2">
    <mergeCell ref="A1:J1"/>
    <mergeCell ref="A9:J9"/>
  </mergeCells>
  <phoneticPr fontId="21" type="noConversion"/>
  <pageMargins left="0.7" right="0.7" top="0.75" bottom="0.75" header="0.3" footer="0.3"/>
  <pageSetup orientation="portrait"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t1_rep</vt:lpstr>
      <vt:lpstr>t2_color</vt:lpstr>
      <vt:lpstr>t3_model</vt:lpstr>
      <vt:lpstr>t4_welfare</vt:lpstr>
      <vt:lpstr>at1_sum_stat</vt:lpstr>
      <vt:lpstr>at2_rep_jpmci</vt:lpstr>
      <vt:lpstr>at3_rep_ce</vt:lpstr>
      <vt:lpstr>at4_rep_bea</vt:lpstr>
      <vt:lpstr>at5_rep_inc</vt:lpstr>
      <vt:lpstr>at6_rep_asset</vt:lpstr>
      <vt:lpstr>at7_winsor</vt:lpstr>
      <vt:lpstr>at8_path</vt:lpstr>
      <vt:lpstr>at9_cov_on</vt:lpstr>
      <vt:lpstr>at10_cov_ex</vt:lpstr>
      <vt:lpstr>at11_chnl_on</vt:lpstr>
      <vt:lpstr>at12_chnl_ex</vt:lpstr>
      <vt:lpstr>at13_prior_lit</vt:lpstr>
      <vt:lpstr>at14_color_on</vt:lpstr>
      <vt:lpstr>at15_enviro</vt:lpstr>
      <vt:lpstr>at16_moments</vt:lpstr>
      <vt:lpstr>at17_bcmc</vt:lpstr>
      <vt:lpstr>at18_alt_models</vt:lpstr>
      <vt:lpstr>at19_welf_gamma</vt:lpstr>
      <vt:lpstr>at20_welf_struc</vt:lpstr>
      <vt:lpstr>at21_dcpc</vt:lpstr>
      <vt:lpstr>Sheet8</vt:lpstr>
      <vt:lpstr>at20_welf_struc!Print_Area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Ganong, Peter</dc:creator>
  <cp:lastModifiedBy>Xian_Work</cp:lastModifiedBy>
  <cp:lastPrinted>2018-11-09T16:04:53Z</cp:lastPrinted>
  <dcterms:created xsi:type="dcterms:W3CDTF">2015-09-01T12:13:28Z</dcterms:created>
  <dcterms:modified xsi:type="dcterms:W3CDTF">2018-11-29T15:56:17Z</dcterms:modified>
</cp:coreProperties>
</file>