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e375ca13a6f7d/Desktop/Research/"/>
    </mc:Choice>
  </mc:AlternateContent>
  <xr:revisionPtr revIDLastSave="3219" documentId="8_{C3C02F53-F97A-4EBF-9C0C-6D319D2EF4A4}" xr6:coauthVersionLast="47" xr6:coauthVersionMax="47" xr10:uidLastSave="{6208AEDE-7C71-47FB-B8B8-9E8D9F83BD49}"/>
  <bookViews>
    <workbookView xWindow="-120" yWindow="-120" windowWidth="29040" windowHeight="15720" firstSheet="1" activeTab="6" xr2:uid="{4A95E812-A8A1-4B54-A7DA-103ED1733C92}"/>
  </bookViews>
  <sheets>
    <sheet name="Number of Births" sheetId="1" r:id="rId1"/>
    <sheet name="Number of Abortions" sheetId="2" r:id="rId2"/>
    <sheet name="Teen Birthrates" sheetId="7" r:id="rId3"/>
    <sheet name="Teen Abortions" sheetId="8" r:id="rId4"/>
    <sheet name="GT Abortion Clinic" sheetId="3" r:id="rId5"/>
    <sheet name="GT ESoP" sheetId="5" r:id="rId6"/>
    <sheet name="GT Missed Period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4" l="1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B11" i="4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B11" i="3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B11" i="5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B24" i="3"/>
  <c r="B23" i="3"/>
  <c r="B22" i="3"/>
  <c r="B21" i="3"/>
  <c r="B20" i="3"/>
  <c r="B19" i="3"/>
  <c r="B18" i="3"/>
  <c r="B17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B16" i="3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B20" i="1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C2" i="8"/>
  <c r="AB2" i="8"/>
  <c r="AA2" i="8"/>
  <c r="Z2" i="8"/>
  <c r="Y2" i="8"/>
  <c r="X2" i="8"/>
  <c r="W2" i="8"/>
  <c r="V2" i="8"/>
  <c r="T2" i="8"/>
  <c r="S2" i="8"/>
  <c r="R2" i="8"/>
  <c r="Q2" i="8"/>
  <c r="P2" i="8"/>
  <c r="O2" i="8"/>
  <c r="N2" i="8"/>
  <c r="K2" i="8"/>
  <c r="I2" i="8"/>
  <c r="H2" i="8"/>
  <c r="G2" i="8"/>
  <c r="E2" i="8"/>
  <c r="D2" i="8"/>
  <c r="C2" i="8"/>
  <c r="B2" i="8"/>
  <c r="Y4" i="8"/>
  <c r="AX3" i="8"/>
  <c r="AW3" i="8"/>
  <c r="AV3" i="8"/>
  <c r="AU3" i="8"/>
  <c r="AT3" i="8"/>
  <c r="AS3" i="8"/>
  <c r="AQ3" i="8"/>
  <c r="AP3" i="8"/>
  <c r="AO3" i="8"/>
  <c r="AN3" i="8"/>
  <c r="AM3" i="8"/>
  <c r="AL3" i="8"/>
  <c r="AK3" i="8"/>
  <c r="AJ3" i="8"/>
  <c r="AH3" i="8"/>
  <c r="AG3" i="8"/>
  <c r="AF3" i="8"/>
  <c r="AC3" i="8"/>
  <c r="AB3" i="8"/>
  <c r="AA3" i="8"/>
  <c r="Z3" i="8"/>
  <c r="Y3" i="8"/>
  <c r="X3" i="8"/>
  <c r="W3" i="8"/>
  <c r="V3" i="8"/>
  <c r="S3" i="8"/>
  <c r="R3" i="8"/>
  <c r="Q3" i="8"/>
  <c r="P3" i="8"/>
  <c r="O3" i="8"/>
  <c r="N3" i="8"/>
  <c r="M3" i="8"/>
  <c r="K3" i="8"/>
  <c r="I3" i="8"/>
  <c r="H3" i="8"/>
  <c r="G3" i="8"/>
  <c r="E3" i="8"/>
  <c r="D3" i="8"/>
  <c r="C3" i="8"/>
  <c r="B3" i="8"/>
  <c r="AX4" i="8"/>
  <c r="AW4" i="8"/>
  <c r="AV4" i="8"/>
  <c r="AU4" i="8"/>
  <c r="AT4" i="8"/>
  <c r="AS4" i="8"/>
  <c r="AR4" i="8"/>
  <c r="AQ4" i="8"/>
  <c r="AO4" i="8"/>
  <c r="AM4" i="8"/>
  <c r="AL4" i="8"/>
  <c r="AK4" i="8"/>
  <c r="AJ4" i="8"/>
  <c r="AI4" i="8"/>
  <c r="AH4" i="8"/>
  <c r="AG4" i="8"/>
  <c r="AF4" i="8"/>
  <c r="AE4" i="8"/>
  <c r="AC4" i="8"/>
  <c r="AB4" i="8"/>
  <c r="Z4" i="8"/>
  <c r="X4" i="8"/>
  <c r="W4" i="8"/>
  <c r="T4" i="8"/>
  <c r="S4" i="8"/>
  <c r="R4" i="8"/>
  <c r="Q4" i="8"/>
  <c r="P4" i="8"/>
  <c r="O4" i="8"/>
  <c r="N4" i="8"/>
  <c r="L4" i="8"/>
  <c r="K4" i="8"/>
  <c r="I4" i="8"/>
  <c r="H4" i="8"/>
  <c r="E4" i="8"/>
  <c r="D4" i="8"/>
  <c r="C4" i="8"/>
  <c r="B4" i="8"/>
  <c r="AX5" i="8"/>
  <c r="AW5" i="8"/>
  <c r="AV5" i="8"/>
  <c r="AU5" i="8"/>
  <c r="AS5" i="8"/>
  <c r="AR5" i="8"/>
  <c r="AQ5" i="8"/>
  <c r="AO5" i="8"/>
  <c r="AN5" i="8"/>
  <c r="AM5" i="8"/>
  <c r="AL5" i="8"/>
  <c r="AK5" i="8"/>
  <c r="AJ5" i="8"/>
  <c r="AI5" i="8"/>
  <c r="AH5" i="8"/>
  <c r="AG5" i="8"/>
  <c r="AF5" i="8"/>
  <c r="AE5" i="8"/>
  <c r="AC5" i="8"/>
  <c r="Z5" i="8"/>
  <c r="Y5" i="8"/>
  <c r="X5" i="8"/>
  <c r="W5" i="8"/>
  <c r="V5" i="8"/>
  <c r="S5" i="8"/>
  <c r="R5" i="8"/>
  <c r="Q5" i="8"/>
  <c r="P5" i="8"/>
  <c r="O5" i="8"/>
  <c r="N5" i="8"/>
  <c r="M5" i="8"/>
  <c r="L5" i="8"/>
  <c r="I5" i="8"/>
  <c r="H5" i="8"/>
  <c r="E5" i="8"/>
  <c r="D5" i="8"/>
  <c r="B5" i="8"/>
  <c r="AX7" i="8"/>
  <c r="AV7" i="8"/>
  <c r="AU7" i="8"/>
  <c r="AS7" i="8"/>
  <c r="AR7" i="8"/>
  <c r="AQ7" i="8"/>
  <c r="AO7" i="8"/>
  <c r="AM7" i="8"/>
  <c r="AL7" i="8"/>
  <c r="AK7" i="8"/>
  <c r="AJ7" i="8"/>
  <c r="AH7" i="8"/>
  <c r="AG7" i="8"/>
  <c r="AF7" i="8"/>
  <c r="AC7" i="8"/>
  <c r="Z7" i="8"/>
  <c r="Y7" i="8"/>
  <c r="X7" i="8"/>
  <c r="W7" i="8"/>
  <c r="V7" i="8"/>
  <c r="S7" i="8"/>
  <c r="R7" i="8"/>
  <c r="Q7" i="8"/>
  <c r="P7" i="8"/>
  <c r="O7" i="8"/>
  <c r="N7" i="8"/>
  <c r="K7" i="8"/>
  <c r="J7" i="8"/>
  <c r="E7" i="8"/>
  <c r="D7" i="8"/>
  <c r="C7" i="8"/>
  <c r="B7" i="8"/>
  <c r="AX8" i="8"/>
  <c r="AW8" i="8"/>
  <c r="AV8" i="8"/>
  <c r="AU8" i="8"/>
  <c r="AV9" i="8"/>
  <c r="AT8" i="8"/>
  <c r="AS8" i="8"/>
  <c r="AR8" i="8"/>
  <c r="AQ8" i="8"/>
  <c r="AP8" i="8"/>
  <c r="AO8" i="8"/>
  <c r="AM8" i="8"/>
  <c r="AL8" i="8"/>
  <c r="AK8" i="8"/>
  <c r="AJ8" i="8"/>
  <c r="AH8" i="8"/>
  <c r="AG8" i="8"/>
  <c r="AF8" i="8"/>
  <c r="AE8" i="8"/>
  <c r="AC8" i="8"/>
  <c r="AB8" i="8"/>
  <c r="AA8" i="8"/>
  <c r="Z8" i="8"/>
  <c r="Y8" i="8"/>
  <c r="X8" i="8"/>
  <c r="W8" i="8"/>
  <c r="V8" i="8"/>
  <c r="T8" i="8"/>
  <c r="S8" i="8"/>
  <c r="R8" i="8"/>
  <c r="Q8" i="8"/>
  <c r="P8" i="8"/>
  <c r="O8" i="8"/>
  <c r="N8" i="8"/>
  <c r="M8" i="8"/>
  <c r="L8" i="8"/>
  <c r="K8" i="8"/>
  <c r="J8" i="8"/>
  <c r="G8" i="8"/>
  <c r="H8" i="8"/>
  <c r="E8" i="8"/>
  <c r="D8" i="8"/>
  <c r="C8" i="8"/>
  <c r="B8" i="8"/>
  <c r="AX9" i="8"/>
  <c r="AU9" i="8"/>
  <c r="AT9" i="8"/>
  <c r="AS9" i="8"/>
  <c r="AR9" i="8"/>
  <c r="AO9" i="8"/>
  <c r="AM9" i="8"/>
  <c r="AL9" i="8"/>
  <c r="AK9" i="8"/>
  <c r="AJ9" i="8"/>
  <c r="AH9" i="8"/>
  <c r="AE9" i="8"/>
  <c r="AF9" i="8"/>
  <c r="AG9" i="8"/>
  <c r="AC9" i="8"/>
  <c r="AB9" i="8"/>
  <c r="AA9" i="8"/>
  <c r="Y9" i="8"/>
  <c r="X9" i="8"/>
  <c r="W9" i="8"/>
  <c r="V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E9" i="8"/>
  <c r="D9" i="8"/>
  <c r="C9" i="8"/>
  <c r="B9" i="8"/>
  <c r="AG9" i="2"/>
  <c r="AG8" i="2"/>
  <c r="AG7" i="2"/>
  <c r="AG6" i="2"/>
  <c r="AG5" i="2"/>
  <c r="AG2" i="2"/>
  <c r="AG3" i="2"/>
  <c r="AG4" i="2"/>
</calcChain>
</file>

<file path=xl/sharedStrings.xml><?xml version="1.0" encoding="utf-8"?>
<sst xmlns="http://schemas.openxmlformats.org/spreadsheetml/2006/main" count="469" uniqueCount="60">
  <si>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</si>
  <si>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</si>
  <si>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</si>
  <si>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</si>
  <si>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</si>
  <si>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</si>
  <si>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</si>
  <si>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</si>
  <si>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</si>
  <si>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</si>
  <si>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</si>
  <si>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</si>
  <si>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</si>
  <si>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</si>
  <si>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</si>
  <si>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</si>
  <si>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</si>
  <si>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</si>
  <si>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</si>
  <si>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</si>
  <si>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</si>
  <si>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</si>
  <si>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</si>
  <si>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</si>
  <si>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</si>
  <si>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</si>
  <si>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</si>
  <si>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</si>
  <si>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</si>
  <si>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</si>
  <si>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</si>
  <si>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</si>
  <si>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</si>
  <si>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</si>
  <si>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</si>
  <si>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</si>
  <si>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</si>
  <si>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</si>
  <si>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</si>
  <si>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</si>
  <si>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</si>
  <si>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</si>
  <si>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</si>
  <si>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</si>
  <si>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</si>
  <si>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</si>
  <si>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</si>
  <si>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</si>
  <si>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Wyoming</t>
  </si>
  <si>
    <t>West Virginia</t>
  </si>
  <si>
    <t>Wisconsin</t>
  </si>
  <si>
    <t>National Vital Statistics Report, Vol 70, No 17, 2022</t>
  </si>
  <si>
    <t>Natality, 2007-2021 Documentation</t>
  </si>
  <si>
    <t>Under 19.</t>
  </si>
  <si>
    <t>Abortion Surveillance - United States, 2013 - 2020</t>
  </si>
  <si>
    <t>Under 19</t>
  </si>
  <si>
    <t>All ages</t>
  </si>
  <si>
    <t>Ranking</t>
  </si>
  <si>
    <t>Rank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</si>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</sst>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FF4E-2CF1-4267-9447-6617F5C434CA}">
  <dimension ref="A1:AY27"/>
  <sheetViews>
    <sheetView workbookViewId="0">
      <selection activeCell="B20" sqref="B20"/>
    </sheetView>
  </sheetViews>
  <sheetFormatPr defaultRowHeight="15" x14ac:dyDescent="0.25"/>
  <cols>
    <col min="1" max="1" width="5" bestFit="1" customWidth="1"/>
    <col min="2" max="2" width="8.7109375" bestFit="1" customWidth="1"/>
    <col min="3" max="3" width="6.7109375" bestFit="1" customWidth="1"/>
    <col min="4" max="4" width="7.7109375" bestFit="1" customWidth="1"/>
    <col min="5" max="5" width="8.85546875" bestFit="1" customWidth="1"/>
    <col min="6" max="6" width="9.5703125" bestFit="1" customWidth="1"/>
    <col min="7" max="7" width="9" bestFit="1" customWidth="1"/>
    <col min="8" max="8" width="11.5703125" bestFit="1" customWidth="1"/>
    <col min="9" max="9" width="9.42578125" bestFit="1" customWidth="1"/>
    <col min="10" max="10" width="7.140625" bestFit="1" customWidth="1"/>
    <col min="11" max="11" width="8" bestFit="1" customWidth="1"/>
    <col min="12" max="12" width="7" bestFit="1" customWidth="1"/>
    <col min="13" max="13" width="6" bestFit="1" customWidth="1"/>
    <col min="14" max="14" width="7" bestFit="1" customWidth="1"/>
    <col min="15" max="15" width="7.5703125" bestFit="1" customWidth="1"/>
    <col min="16" max="16" width="6" bestFit="1" customWidth="1"/>
    <col min="17" max="17" width="7" bestFit="1" customWidth="1"/>
    <col min="19" max="19" width="9.28515625" bestFit="1" customWidth="1"/>
    <col min="20" max="20" width="6.7109375" bestFit="1" customWidth="1"/>
    <col min="21" max="21" width="9.42578125" bestFit="1" customWidth="1"/>
    <col min="22" max="22" width="14.140625" bestFit="1" customWidth="1"/>
    <col min="24" max="24" width="10.5703125" bestFit="1" customWidth="1"/>
    <col min="25" max="25" width="10.85546875" bestFit="1" customWidth="1"/>
    <col min="26" max="26" width="8.7109375" bestFit="1" customWidth="1"/>
    <col min="27" max="27" width="9" bestFit="1" customWidth="1"/>
    <col min="28" max="28" width="9.28515625" bestFit="1" customWidth="1"/>
    <col min="29" max="29" width="7.7109375" bestFit="1" customWidth="1"/>
    <col min="30" max="30" width="15.28515625" bestFit="1" customWidth="1"/>
    <col min="31" max="31" width="12.42578125" bestFit="1" customWidth="1"/>
    <col min="32" max="32" width="12.140625" bestFit="1" customWidth="1"/>
    <col min="33" max="33" width="9.5703125" bestFit="1" customWidth="1"/>
    <col min="34" max="34" width="14" bestFit="1" customWidth="1"/>
    <col min="35" max="35" width="12.7109375" bestFit="1" customWidth="1"/>
    <col min="36" max="36" width="7" bestFit="1" customWidth="1"/>
    <col min="37" max="37" width="10" bestFit="1" customWidth="1"/>
    <col min="38" max="38" width="7.5703125" bestFit="1" customWidth="1"/>
    <col min="39" max="39" width="12.7109375" bestFit="1" customWidth="1"/>
    <col min="40" max="40" width="12.42578125" bestFit="1" customWidth="1"/>
    <col min="41" max="41" width="14" bestFit="1" customWidth="1"/>
    <col min="42" max="42" width="12.7109375" bestFit="1" customWidth="1"/>
    <col min="43" max="43" width="10.5703125" bestFit="1" customWidth="1"/>
    <col min="44" max="44" width="7" bestFit="1" customWidth="1"/>
    <col min="45" max="45" width="6" bestFit="1" customWidth="1"/>
    <col min="46" max="46" width="8.85546875" bestFit="1" customWidth="1"/>
    <col min="47" max="47" width="7.85546875" bestFit="1" customWidth="1"/>
    <col min="48" max="48" width="11.7109375" bestFit="1" customWidth="1"/>
    <col min="49" max="49" width="13.140625" bestFit="1" customWidth="1"/>
  </cols>
  <sheetData>
    <row r="1" spans="1:5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48</v>
      </c>
    </row>
    <row r="2" spans="1:51" x14ac:dyDescent="0.25">
      <c r="A2">
        <v>2013</v>
      </c>
      <c r="B2">
        <v>58167</v>
      </c>
      <c r="C2">
        <v>11446</v>
      </c>
      <c r="D2">
        <v>85600</v>
      </c>
      <c r="E2">
        <v>37832</v>
      </c>
      <c r="F2">
        <v>494705</v>
      </c>
      <c r="G2">
        <v>65007</v>
      </c>
      <c r="H2">
        <v>36085</v>
      </c>
      <c r="I2">
        <v>10831</v>
      </c>
      <c r="J2">
        <v>215407</v>
      </c>
      <c r="K2">
        <v>128748</v>
      </c>
      <c r="L2">
        <v>18987</v>
      </c>
      <c r="M2">
        <v>22383</v>
      </c>
      <c r="N2">
        <v>156931</v>
      </c>
      <c r="O2">
        <v>83102</v>
      </c>
      <c r="P2">
        <v>39094</v>
      </c>
      <c r="Q2">
        <v>38839</v>
      </c>
      <c r="R2">
        <v>55686</v>
      </c>
      <c r="S2">
        <v>63201</v>
      </c>
      <c r="T2">
        <v>12776</v>
      </c>
      <c r="U2">
        <v>71953</v>
      </c>
      <c r="V2">
        <v>71788</v>
      </c>
      <c r="W2">
        <v>113489</v>
      </c>
      <c r="X2">
        <v>69159</v>
      </c>
      <c r="Y2">
        <v>38634</v>
      </c>
      <c r="Z2">
        <v>75296</v>
      </c>
      <c r="AA2">
        <v>12377</v>
      </c>
      <c r="AB2">
        <v>26095</v>
      </c>
      <c r="AC2">
        <v>35030</v>
      </c>
      <c r="AD2">
        <v>12396</v>
      </c>
      <c r="AE2">
        <v>102575</v>
      </c>
      <c r="AF2">
        <v>26354</v>
      </c>
      <c r="AG2">
        <v>236980</v>
      </c>
      <c r="AH2">
        <v>119002</v>
      </c>
      <c r="AI2">
        <v>10599</v>
      </c>
      <c r="AJ2">
        <v>138936</v>
      </c>
      <c r="AK2">
        <v>53369</v>
      </c>
      <c r="AL2">
        <v>45155</v>
      </c>
      <c r="AM2">
        <v>140921</v>
      </c>
      <c r="AN2">
        <v>10809</v>
      </c>
      <c r="AO2">
        <v>56795</v>
      </c>
      <c r="AP2">
        <v>12248</v>
      </c>
      <c r="AQ2">
        <v>79992</v>
      </c>
      <c r="AR2">
        <v>387340</v>
      </c>
      <c r="AS2">
        <v>50957</v>
      </c>
      <c r="AT2">
        <v>5975</v>
      </c>
      <c r="AU2">
        <v>102147</v>
      </c>
      <c r="AV2">
        <v>86577</v>
      </c>
      <c r="AW2">
        <v>20825</v>
      </c>
      <c r="AX2">
        <v>66649</v>
      </c>
      <c r="AY2">
        <v>7644</v>
      </c>
    </row>
    <row r="3" spans="1:51" x14ac:dyDescent="0.25">
      <c r="A3">
        <v>2014</v>
      </c>
      <c r="B3">
        <v>59422</v>
      </c>
      <c r="C3">
        <v>11392</v>
      </c>
      <c r="D3">
        <v>86887</v>
      </c>
      <c r="E3">
        <v>38511</v>
      </c>
      <c r="F3">
        <v>502879</v>
      </c>
      <c r="G3">
        <v>65830</v>
      </c>
      <c r="H3">
        <v>36285</v>
      </c>
      <c r="I3">
        <v>10972</v>
      </c>
      <c r="J3">
        <v>219991</v>
      </c>
      <c r="K3">
        <v>130946</v>
      </c>
      <c r="L3">
        <v>18550</v>
      </c>
      <c r="M3">
        <v>22876</v>
      </c>
      <c r="N3">
        <v>158556</v>
      </c>
      <c r="O3">
        <v>84080</v>
      </c>
      <c r="P3">
        <v>39687</v>
      </c>
      <c r="Q3">
        <v>39223</v>
      </c>
      <c r="R3">
        <v>56170</v>
      </c>
      <c r="S3">
        <v>64497</v>
      </c>
      <c r="T3">
        <v>12698</v>
      </c>
      <c r="U3">
        <v>73921</v>
      </c>
      <c r="V3">
        <v>71908</v>
      </c>
      <c r="W3">
        <v>114375</v>
      </c>
      <c r="X3">
        <v>69904</v>
      </c>
      <c r="Y3">
        <v>38736</v>
      </c>
      <c r="Z3">
        <v>75360</v>
      </c>
      <c r="AA3">
        <v>12432</v>
      </c>
      <c r="AB3">
        <v>26794</v>
      </c>
      <c r="AC3">
        <v>35861</v>
      </c>
      <c r="AD3">
        <v>12302</v>
      </c>
      <c r="AE3">
        <v>103305</v>
      </c>
      <c r="AF3">
        <v>26052</v>
      </c>
      <c r="AG3">
        <v>238773</v>
      </c>
      <c r="AH3">
        <v>120975</v>
      </c>
      <c r="AI3">
        <v>11359</v>
      </c>
      <c r="AJ3">
        <v>139467</v>
      </c>
      <c r="AK3">
        <v>53339</v>
      </c>
      <c r="AL3">
        <v>45556</v>
      </c>
      <c r="AM3">
        <v>142268</v>
      </c>
      <c r="AN3">
        <v>10823</v>
      </c>
      <c r="AO3">
        <v>57627</v>
      </c>
      <c r="AP3">
        <v>12283</v>
      </c>
      <c r="AQ3">
        <v>81602</v>
      </c>
      <c r="AR3">
        <v>399766</v>
      </c>
      <c r="AS3">
        <v>51154</v>
      </c>
      <c r="AT3">
        <v>6130</v>
      </c>
      <c r="AU3">
        <v>103300</v>
      </c>
      <c r="AV3">
        <v>88585</v>
      </c>
      <c r="AW3">
        <v>20301</v>
      </c>
      <c r="AX3">
        <v>67161</v>
      </c>
      <c r="AY3">
        <v>7696</v>
      </c>
    </row>
    <row r="4" spans="1:51" x14ac:dyDescent="0.25">
      <c r="A4">
        <v>2015</v>
      </c>
      <c r="B4">
        <v>59657</v>
      </c>
      <c r="C4">
        <v>11282</v>
      </c>
      <c r="D4">
        <v>85351</v>
      </c>
      <c r="E4">
        <v>38886</v>
      </c>
      <c r="F4">
        <v>491748</v>
      </c>
      <c r="G4">
        <v>66581</v>
      </c>
      <c r="H4">
        <v>35746</v>
      </c>
      <c r="I4">
        <v>11166</v>
      </c>
      <c r="J4">
        <v>224269</v>
      </c>
      <c r="K4">
        <v>131404</v>
      </c>
      <c r="L4">
        <v>18420</v>
      </c>
      <c r="M4">
        <v>22827</v>
      </c>
      <c r="N4">
        <v>158116</v>
      </c>
      <c r="O4">
        <v>84040</v>
      </c>
      <c r="P4">
        <v>39482</v>
      </c>
      <c r="Q4">
        <v>39154</v>
      </c>
      <c r="R4">
        <v>55971</v>
      </c>
      <c r="S4">
        <v>64692</v>
      </c>
      <c r="T4">
        <v>12607</v>
      </c>
      <c r="U4">
        <v>73616</v>
      </c>
      <c r="V4">
        <v>71492</v>
      </c>
      <c r="W4">
        <v>113312</v>
      </c>
      <c r="X4">
        <v>69834</v>
      </c>
      <c r="Y4">
        <v>38394</v>
      </c>
      <c r="Z4">
        <v>75061</v>
      </c>
      <c r="AA4">
        <v>12583</v>
      </c>
      <c r="AB4">
        <v>26679</v>
      </c>
      <c r="AC4">
        <v>36298</v>
      </c>
      <c r="AD4">
        <v>12433</v>
      </c>
      <c r="AE4">
        <v>103127</v>
      </c>
      <c r="AF4">
        <v>25816</v>
      </c>
      <c r="AG4">
        <v>237274</v>
      </c>
      <c r="AH4">
        <v>120843</v>
      </c>
      <c r="AI4">
        <v>11314</v>
      </c>
      <c r="AJ4">
        <v>139264</v>
      </c>
      <c r="AK4">
        <v>53122</v>
      </c>
      <c r="AL4">
        <v>45655</v>
      </c>
      <c r="AM4">
        <v>141047</v>
      </c>
      <c r="AN4">
        <v>10993</v>
      </c>
      <c r="AO4">
        <v>58139</v>
      </c>
      <c r="AP4">
        <v>12336</v>
      </c>
      <c r="AQ4">
        <v>81685</v>
      </c>
      <c r="AR4">
        <v>403618</v>
      </c>
      <c r="AS4">
        <v>50778</v>
      </c>
      <c r="AT4">
        <v>5903</v>
      </c>
      <c r="AU4">
        <v>103303</v>
      </c>
      <c r="AV4">
        <v>88990</v>
      </c>
      <c r="AW4">
        <v>19805</v>
      </c>
      <c r="AX4">
        <v>67041</v>
      </c>
      <c r="AY4">
        <v>7765</v>
      </c>
    </row>
    <row r="5" spans="1:51" x14ac:dyDescent="0.25">
      <c r="A5">
        <v>2016</v>
      </c>
      <c r="B5">
        <v>59151</v>
      </c>
      <c r="C5">
        <v>11209</v>
      </c>
      <c r="D5">
        <v>84520</v>
      </c>
      <c r="E5">
        <v>38274</v>
      </c>
      <c r="F5">
        <v>488827</v>
      </c>
      <c r="G5">
        <v>66613</v>
      </c>
      <c r="H5">
        <v>36015</v>
      </c>
      <c r="I5">
        <v>10992</v>
      </c>
      <c r="J5">
        <v>225022</v>
      </c>
      <c r="K5">
        <v>130042</v>
      </c>
      <c r="L5">
        <v>18059</v>
      </c>
      <c r="M5">
        <v>22482</v>
      </c>
      <c r="N5">
        <v>154445</v>
      </c>
      <c r="O5">
        <v>83091</v>
      </c>
      <c r="P5">
        <v>39403</v>
      </c>
      <c r="Q5">
        <v>38053</v>
      </c>
      <c r="R5">
        <v>55449</v>
      </c>
      <c r="S5">
        <v>63178</v>
      </c>
      <c r="T5">
        <v>12705</v>
      </c>
      <c r="U5">
        <v>73136</v>
      </c>
      <c r="V5">
        <v>71317</v>
      </c>
      <c r="W5">
        <v>113315</v>
      </c>
      <c r="X5">
        <v>69749</v>
      </c>
      <c r="Y5">
        <v>37928</v>
      </c>
      <c r="Z5">
        <v>74705</v>
      </c>
      <c r="AA5">
        <v>12282</v>
      </c>
      <c r="AB5">
        <v>26589</v>
      </c>
      <c r="AC5">
        <v>36260</v>
      </c>
      <c r="AD5">
        <v>12267</v>
      </c>
      <c r="AE5">
        <v>102647</v>
      </c>
      <c r="AF5">
        <v>24692</v>
      </c>
      <c r="AG5">
        <v>234283</v>
      </c>
      <c r="AH5">
        <v>120779</v>
      </c>
      <c r="AI5">
        <v>11383</v>
      </c>
      <c r="AJ5">
        <v>138085</v>
      </c>
      <c r="AK5">
        <v>52592</v>
      </c>
      <c r="AL5">
        <v>45535</v>
      </c>
      <c r="AM5">
        <v>139409</v>
      </c>
      <c r="AN5">
        <v>10798</v>
      </c>
      <c r="AO5">
        <v>57352</v>
      </c>
      <c r="AP5">
        <v>12275</v>
      </c>
      <c r="AQ5">
        <v>80807</v>
      </c>
      <c r="AR5">
        <v>398047</v>
      </c>
      <c r="AS5">
        <v>50464</v>
      </c>
      <c r="AT5">
        <v>5756</v>
      </c>
      <c r="AU5">
        <v>102460</v>
      </c>
      <c r="AV5">
        <v>90505</v>
      </c>
      <c r="AW5">
        <v>19079</v>
      </c>
      <c r="AX5">
        <v>66615</v>
      </c>
      <c r="AY5">
        <v>7386</v>
      </c>
    </row>
    <row r="6" spans="1:51" x14ac:dyDescent="0.25">
      <c r="A6">
        <v>2017</v>
      </c>
      <c r="B6">
        <v>58941</v>
      </c>
      <c r="C6">
        <v>10445</v>
      </c>
      <c r="D6">
        <v>81872</v>
      </c>
      <c r="E6">
        <v>37520</v>
      </c>
      <c r="F6">
        <v>471658</v>
      </c>
      <c r="G6">
        <v>64382</v>
      </c>
      <c r="H6">
        <v>35221</v>
      </c>
      <c r="I6">
        <v>10855</v>
      </c>
      <c r="J6">
        <v>223630</v>
      </c>
      <c r="K6">
        <v>129243</v>
      </c>
      <c r="L6">
        <v>17517</v>
      </c>
      <c r="M6">
        <v>22181</v>
      </c>
      <c r="N6">
        <v>149390</v>
      </c>
      <c r="O6">
        <v>82170</v>
      </c>
      <c r="P6">
        <v>38430</v>
      </c>
      <c r="Q6">
        <v>36519</v>
      </c>
      <c r="R6">
        <v>54752</v>
      </c>
      <c r="S6">
        <v>61017</v>
      </c>
      <c r="T6">
        <v>12298</v>
      </c>
      <c r="U6">
        <v>71641</v>
      </c>
      <c r="V6">
        <v>70702</v>
      </c>
      <c r="W6">
        <v>111426</v>
      </c>
      <c r="X6">
        <v>68595</v>
      </c>
      <c r="Y6">
        <v>37357</v>
      </c>
      <c r="Z6">
        <v>73034</v>
      </c>
      <c r="AA6">
        <v>11799</v>
      </c>
      <c r="AB6">
        <v>25821</v>
      </c>
      <c r="AC6">
        <v>35756</v>
      </c>
      <c r="AD6">
        <v>12116</v>
      </c>
      <c r="AE6">
        <v>101250</v>
      </c>
      <c r="AF6">
        <v>23767</v>
      </c>
      <c r="AG6">
        <v>229737</v>
      </c>
      <c r="AH6">
        <v>120125</v>
      </c>
      <c r="AI6">
        <v>10737</v>
      </c>
      <c r="AJ6">
        <v>136832</v>
      </c>
      <c r="AK6">
        <v>50214</v>
      </c>
      <c r="AL6">
        <v>43631</v>
      </c>
      <c r="AM6">
        <v>137745</v>
      </c>
      <c r="AN6">
        <v>10638</v>
      </c>
      <c r="AO6">
        <v>57029</v>
      </c>
      <c r="AP6">
        <v>12134</v>
      </c>
      <c r="AQ6">
        <v>81016</v>
      </c>
      <c r="AR6">
        <v>382050</v>
      </c>
      <c r="AS6">
        <v>48585</v>
      </c>
      <c r="AT6">
        <v>5655</v>
      </c>
      <c r="AU6">
        <v>100391</v>
      </c>
      <c r="AV6">
        <v>87562</v>
      </c>
      <c r="AW6">
        <v>18675</v>
      </c>
      <c r="AX6">
        <v>64975</v>
      </c>
      <c r="AY6">
        <v>6903</v>
      </c>
    </row>
    <row r="7" spans="1:51" x14ac:dyDescent="0.25">
      <c r="A7">
        <v>2018</v>
      </c>
      <c r="B7">
        <v>57761</v>
      </c>
      <c r="C7">
        <v>10086</v>
      </c>
      <c r="D7">
        <v>80723</v>
      </c>
      <c r="E7">
        <v>37018</v>
      </c>
      <c r="F7">
        <v>454920</v>
      </c>
      <c r="G7">
        <v>62885</v>
      </c>
      <c r="H7">
        <v>34725</v>
      </c>
      <c r="I7">
        <v>10621</v>
      </c>
      <c r="J7">
        <v>221542</v>
      </c>
      <c r="K7">
        <v>126172</v>
      </c>
      <c r="L7">
        <v>16972</v>
      </c>
      <c r="M7">
        <v>21403</v>
      </c>
      <c r="N7">
        <v>144815</v>
      </c>
      <c r="O7">
        <v>81646</v>
      </c>
      <c r="P7">
        <v>37785</v>
      </c>
      <c r="Q7">
        <v>36261</v>
      </c>
      <c r="R7">
        <v>53992</v>
      </c>
      <c r="S7">
        <v>59615</v>
      </c>
      <c r="T7">
        <v>12311</v>
      </c>
      <c r="U7">
        <v>71080</v>
      </c>
      <c r="V7">
        <v>69109</v>
      </c>
      <c r="W7">
        <v>110032</v>
      </c>
      <c r="X7">
        <v>67344</v>
      </c>
      <c r="Y7">
        <v>37000</v>
      </c>
      <c r="Z7">
        <v>73269</v>
      </c>
      <c r="AA7">
        <v>11513</v>
      </c>
      <c r="AB7">
        <v>25488</v>
      </c>
      <c r="AC7">
        <v>35682</v>
      </c>
      <c r="AD7">
        <v>11995</v>
      </c>
      <c r="AE7">
        <v>101223</v>
      </c>
      <c r="AF7">
        <v>23039</v>
      </c>
      <c r="AG7">
        <v>226238</v>
      </c>
      <c r="AH7">
        <v>118954</v>
      </c>
      <c r="AI7">
        <v>10636</v>
      </c>
      <c r="AJ7">
        <v>135134</v>
      </c>
      <c r="AK7">
        <v>49800</v>
      </c>
      <c r="AL7">
        <v>42188</v>
      </c>
      <c r="AM7">
        <v>135673</v>
      </c>
      <c r="AN7">
        <v>10506</v>
      </c>
      <c r="AO7">
        <v>56669</v>
      </c>
      <c r="AP7">
        <v>11893</v>
      </c>
      <c r="AQ7">
        <v>80751</v>
      </c>
      <c r="AR7">
        <v>378624</v>
      </c>
      <c r="AS7">
        <v>47209</v>
      </c>
      <c r="AT7">
        <v>5432</v>
      </c>
      <c r="AU7">
        <v>99843</v>
      </c>
      <c r="AV7">
        <v>86085</v>
      </c>
      <c r="AW7">
        <v>18248</v>
      </c>
      <c r="AX7">
        <v>64098</v>
      </c>
      <c r="AY7">
        <v>6562</v>
      </c>
    </row>
    <row r="8" spans="1:51" x14ac:dyDescent="0.25">
      <c r="A8">
        <v>2019</v>
      </c>
      <c r="B8">
        <v>58615</v>
      </c>
      <c r="C8">
        <v>9822</v>
      </c>
      <c r="D8">
        <v>79375</v>
      </c>
      <c r="E8">
        <v>36564</v>
      </c>
      <c r="F8">
        <v>446479</v>
      </c>
      <c r="G8">
        <v>62869</v>
      </c>
      <c r="H8">
        <v>34258</v>
      </c>
      <c r="I8">
        <v>10562</v>
      </c>
      <c r="J8">
        <v>220002</v>
      </c>
      <c r="K8">
        <v>126371</v>
      </c>
      <c r="L8">
        <v>16797</v>
      </c>
      <c r="M8">
        <v>22063</v>
      </c>
      <c r="N8">
        <v>140128</v>
      </c>
      <c r="O8">
        <v>80859</v>
      </c>
      <c r="P8">
        <v>37649</v>
      </c>
      <c r="Q8">
        <v>35395</v>
      </c>
      <c r="R8">
        <v>53069</v>
      </c>
      <c r="S8">
        <v>58941</v>
      </c>
      <c r="T8">
        <v>11779</v>
      </c>
      <c r="U8">
        <v>70178</v>
      </c>
      <c r="V8">
        <v>69117</v>
      </c>
      <c r="W8">
        <v>107886</v>
      </c>
      <c r="X8">
        <v>66027</v>
      </c>
      <c r="Y8">
        <v>36636</v>
      </c>
      <c r="Z8">
        <v>72127</v>
      </c>
      <c r="AA8">
        <v>11079</v>
      </c>
      <c r="AB8">
        <v>24755</v>
      </c>
      <c r="AC8">
        <v>35072</v>
      </c>
      <c r="AD8">
        <v>11839</v>
      </c>
      <c r="AE8">
        <v>99585</v>
      </c>
      <c r="AF8">
        <v>22960</v>
      </c>
      <c r="AG8">
        <v>221539</v>
      </c>
      <c r="AH8">
        <v>118725</v>
      </c>
      <c r="AI8">
        <v>10454</v>
      </c>
      <c r="AJ8">
        <v>134461</v>
      </c>
      <c r="AK8">
        <v>49143</v>
      </c>
      <c r="AL8">
        <v>41858</v>
      </c>
      <c r="AM8">
        <v>134230</v>
      </c>
      <c r="AN8">
        <v>10175</v>
      </c>
      <c r="AO8">
        <v>57038</v>
      </c>
      <c r="AP8">
        <v>11449</v>
      </c>
      <c r="AQ8">
        <v>80450</v>
      </c>
      <c r="AR8">
        <v>377599</v>
      </c>
      <c r="AS8">
        <v>46826</v>
      </c>
      <c r="AT8">
        <v>5361</v>
      </c>
      <c r="AU8">
        <v>97429</v>
      </c>
      <c r="AV8">
        <v>84895</v>
      </c>
      <c r="AW8">
        <v>18136</v>
      </c>
      <c r="AX8">
        <v>63270</v>
      </c>
      <c r="AY8">
        <v>6565</v>
      </c>
    </row>
    <row r="9" spans="1:51" x14ac:dyDescent="0.25">
      <c r="A9">
        <v>2020</v>
      </c>
      <c r="B9">
        <v>57647</v>
      </c>
      <c r="C9">
        <v>9469</v>
      </c>
      <c r="D9">
        <v>76947</v>
      </c>
      <c r="E9">
        <v>35251</v>
      </c>
      <c r="F9">
        <v>420259</v>
      </c>
      <c r="G9">
        <v>61494</v>
      </c>
      <c r="H9">
        <v>33460</v>
      </c>
      <c r="I9">
        <v>10382</v>
      </c>
      <c r="J9">
        <v>209671</v>
      </c>
      <c r="K9">
        <v>122473</v>
      </c>
      <c r="L9">
        <v>15785</v>
      </c>
      <c r="M9">
        <v>21533</v>
      </c>
      <c r="N9">
        <v>133298</v>
      </c>
      <c r="O9">
        <v>78616</v>
      </c>
      <c r="P9">
        <v>36114</v>
      </c>
      <c r="Q9">
        <v>34376</v>
      </c>
      <c r="R9">
        <v>51668</v>
      </c>
      <c r="S9">
        <v>57328</v>
      </c>
      <c r="T9">
        <v>11539</v>
      </c>
      <c r="U9">
        <v>68554</v>
      </c>
      <c r="V9">
        <v>66428</v>
      </c>
      <c r="W9">
        <v>104074</v>
      </c>
      <c r="X9">
        <v>63443</v>
      </c>
      <c r="Y9">
        <v>35473</v>
      </c>
      <c r="Z9">
        <v>69285</v>
      </c>
      <c r="AA9">
        <v>10791</v>
      </c>
      <c r="AB9">
        <v>24291</v>
      </c>
      <c r="AC9">
        <v>33653</v>
      </c>
      <c r="AD9">
        <v>11791</v>
      </c>
      <c r="AE9">
        <v>97954</v>
      </c>
      <c r="AF9">
        <v>21903</v>
      </c>
      <c r="AG9">
        <v>209338</v>
      </c>
      <c r="AH9">
        <v>116730</v>
      </c>
      <c r="AI9">
        <v>10059</v>
      </c>
      <c r="AJ9">
        <v>129191</v>
      </c>
      <c r="AK9">
        <v>47623</v>
      </c>
      <c r="AL9">
        <v>39820</v>
      </c>
      <c r="AM9">
        <v>130693</v>
      </c>
      <c r="AN9">
        <v>10101</v>
      </c>
      <c r="AO9">
        <v>55704</v>
      </c>
      <c r="AP9">
        <v>10960</v>
      </c>
      <c r="AQ9">
        <v>78689</v>
      </c>
      <c r="AR9">
        <v>368190</v>
      </c>
      <c r="AS9">
        <v>45702</v>
      </c>
      <c r="AT9">
        <v>5133</v>
      </c>
      <c r="AU9">
        <v>94749</v>
      </c>
      <c r="AV9">
        <v>83086</v>
      </c>
      <c r="AW9">
        <v>17323</v>
      </c>
      <c r="AX9">
        <v>60594</v>
      </c>
      <c r="AY9">
        <v>6128</v>
      </c>
    </row>
    <row r="10" spans="1:51" x14ac:dyDescent="0.25">
      <c r="A10">
        <v>2021</v>
      </c>
      <c r="B10">
        <v>58054</v>
      </c>
      <c r="C10">
        <v>9367</v>
      </c>
      <c r="D10">
        <v>77916</v>
      </c>
      <c r="E10">
        <v>35965</v>
      </c>
      <c r="F10">
        <v>420608</v>
      </c>
      <c r="G10">
        <v>62949</v>
      </c>
      <c r="H10">
        <v>35670</v>
      </c>
      <c r="I10">
        <v>10482</v>
      </c>
      <c r="J10">
        <v>216260</v>
      </c>
      <c r="K10">
        <v>124073</v>
      </c>
      <c r="L10">
        <v>15620</v>
      </c>
      <c r="M10">
        <v>22427</v>
      </c>
      <c r="N10">
        <v>132189</v>
      </c>
      <c r="O10">
        <v>79946</v>
      </c>
      <c r="P10">
        <v>36835</v>
      </c>
      <c r="Q10">
        <v>34705</v>
      </c>
      <c r="R10">
        <v>52214</v>
      </c>
      <c r="S10">
        <v>57437</v>
      </c>
      <c r="T10">
        <v>12006</v>
      </c>
      <c r="U10">
        <v>68285</v>
      </c>
      <c r="V10">
        <v>69137</v>
      </c>
      <c r="W10">
        <v>104980</v>
      </c>
      <c r="X10">
        <v>64425</v>
      </c>
      <c r="Y10">
        <v>35156</v>
      </c>
      <c r="Z10">
        <v>69453</v>
      </c>
      <c r="AA10">
        <v>11231</v>
      </c>
      <c r="AB10">
        <v>24609</v>
      </c>
      <c r="AC10">
        <v>33686</v>
      </c>
      <c r="AD10">
        <v>12625</v>
      </c>
      <c r="AE10">
        <v>101497</v>
      </c>
      <c r="AF10">
        <v>21391</v>
      </c>
      <c r="AG10">
        <v>210742</v>
      </c>
      <c r="AH10">
        <v>120466</v>
      </c>
      <c r="AI10">
        <v>10112</v>
      </c>
      <c r="AJ10">
        <v>129791</v>
      </c>
      <c r="AK10">
        <v>48410</v>
      </c>
      <c r="AL10">
        <v>40914</v>
      </c>
      <c r="AM10">
        <v>132622</v>
      </c>
      <c r="AN10">
        <v>10464</v>
      </c>
      <c r="AO10">
        <v>57185</v>
      </c>
      <c r="AP10">
        <v>11369</v>
      </c>
      <c r="AQ10">
        <v>81717</v>
      </c>
      <c r="AR10">
        <v>373594</v>
      </c>
      <c r="AS10">
        <v>46712</v>
      </c>
      <c r="AT10">
        <v>5384</v>
      </c>
      <c r="AU10">
        <v>95825</v>
      </c>
      <c r="AV10">
        <v>83911</v>
      </c>
      <c r="AW10">
        <v>17198</v>
      </c>
      <c r="AX10">
        <v>61781</v>
      </c>
      <c r="AY10">
        <v>6237</v>
      </c>
    </row>
    <row r="16" spans="1:51" x14ac:dyDescent="0.25">
      <c r="A16">
        <v>2020</v>
      </c>
      <c r="B16" t="s">
        <v>51</v>
      </c>
    </row>
    <row r="17" spans="1:51" x14ac:dyDescent="0.25">
      <c r="B17" t="s">
        <v>52</v>
      </c>
    </row>
    <row r="18" spans="1:51" x14ac:dyDescent="0.25">
      <c r="A18" t="s">
        <v>57</v>
      </c>
    </row>
    <row r="19" spans="1:51" x14ac:dyDescent="0.25"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  <c r="AC19" s="1" t="s">
        <v>28</v>
      </c>
      <c r="AD19" s="1" t="s">
        <v>29</v>
      </c>
      <c r="AE19" s="1" t="s">
        <v>30</v>
      </c>
      <c r="AF19" s="1" t="s">
        <v>31</v>
      </c>
      <c r="AG19" s="1" t="s">
        <v>32</v>
      </c>
      <c r="AH19" s="1" t="s">
        <v>33</v>
      </c>
      <c r="AI19" s="1" t="s">
        <v>34</v>
      </c>
      <c r="AJ19" s="1" t="s">
        <v>35</v>
      </c>
      <c r="AK19" s="1" t="s">
        <v>36</v>
      </c>
      <c r="AL19" s="1" t="s">
        <v>37</v>
      </c>
      <c r="AM19" s="1" t="s">
        <v>38</v>
      </c>
      <c r="AN19" s="1" t="s">
        <v>39</v>
      </c>
      <c r="AO19" s="1" t="s">
        <v>40</v>
      </c>
      <c r="AP19" s="1" t="s">
        <v>41</v>
      </c>
      <c r="AQ19" s="1" t="s">
        <v>42</v>
      </c>
      <c r="AR19" s="1" t="s">
        <v>43</v>
      </c>
      <c r="AS19" s="1" t="s">
        <v>44</v>
      </c>
      <c r="AT19" s="1" t="s">
        <v>45</v>
      </c>
      <c r="AU19" s="1" t="s">
        <v>46</v>
      </c>
      <c r="AV19" s="1" t="s">
        <v>47</v>
      </c>
      <c r="AW19" s="1" t="s">
        <v>49</v>
      </c>
      <c r="AX19" s="1" t="s">
        <v>50</v>
      </c>
      <c r="AY19" s="1" t="s">
        <v>48</v>
      </c>
    </row>
    <row r="20" spans="1:51" x14ac:dyDescent="0.25">
      <c r="A20">
        <v>2013</v>
      </c>
      <c r="B20">
        <f>RANK(B2,$B$2:$AY$2,0)</f>
        <v>24</v>
      </c>
      <c r="C20">
        <f t="shared" ref="C20:AY20" si="0">RANK(C2,$B$2:$AY$2,0)</f>
        <v>45</v>
      </c>
      <c r="D20">
        <f t="shared" si="0"/>
        <v>14</v>
      </c>
      <c r="E20">
        <f t="shared" si="0"/>
        <v>33</v>
      </c>
      <c r="F20">
        <f t="shared" si="0"/>
        <v>1</v>
      </c>
      <c r="G20">
        <f t="shared" si="0"/>
        <v>22</v>
      </c>
      <c r="H20">
        <f t="shared" si="0"/>
        <v>34</v>
      </c>
      <c r="I20">
        <f t="shared" si="0"/>
        <v>46</v>
      </c>
      <c r="J20">
        <f t="shared" si="0"/>
        <v>4</v>
      </c>
      <c r="K20">
        <f t="shared" si="0"/>
        <v>8</v>
      </c>
      <c r="L20">
        <f t="shared" si="0"/>
        <v>40</v>
      </c>
      <c r="M20">
        <f t="shared" si="0"/>
        <v>38</v>
      </c>
      <c r="N20">
        <f t="shared" si="0"/>
        <v>5</v>
      </c>
      <c r="O20">
        <f t="shared" si="0"/>
        <v>15</v>
      </c>
      <c r="P20">
        <f t="shared" si="0"/>
        <v>30</v>
      </c>
      <c r="Q20">
        <f t="shared" si="0"/>
        <v>31</v>
      </c>
      <c r="R20">
        <f t="shared" si="0"/>
        <v>26</v>
      </c>
      <c r="S20">
        <f t="shared" si="0"/>
        <v>23</v>
      </c>
      <c r="T20">
        <f t="shared" si="0"/>
        <v>41</v>
      </c>
      <c r="U20">
        <f t="shared" si="0"/>
        <v>18</v>
      </c>
      <c r="V20">
        <f t="shared" si="0"/>
        <v>19</v>
      </c>
      <c r="W20">
        <f t="shared" si="0"/>
        <v>10</v>
      </c>
      <c r="X20">
        <f t="shared" si="0"/>
        <v>20</v>
      </c>
      <c r="Y20">
        <f t="shared" si="0"/>
        <v>32</v>
      </c>
      <c r="Z20">
        <f t="shared" si="0"/>
        <v>17</v>
      </c>
      <c r="AA20">
        <f t="shared" si="0"/>
        <v>43</v>
      </c>
      <c r="AB20">
        <f t="shared" si="0"/>
        <v>37</v>
      </c>
      <c r="AC20">
        <f t="shared" si="0"/>
        <v>35</v>
      </c>
      <c r="AD20">
        <f t="shared" si="0"/>
        <v>42</v>
      </c>
      <c r="AE20">
        <f t="shared" si="0"/>
        <v>11</v>
      </c>
      <c r="AF20">
        <f t="shared" si="0"/>
        <v>36</v>
      </c>
      <c r="AG20">
        <f t="shared" si="0"/>
        <v>3</v>
      </c>
      <c r="AH20">
        <f t="shared" si="0"/>
        <v>9</v>
      </c>
      <c r="AI20">
        <f t="shared" si="0"/>
        <v>48</v>
      </c>
      <c r="AJ20">
        <f t="shared" si="0"/>
        <v>7</v>
      </c>
      <c r="AK20">
        <f t="shared" si="0"/>
        <v>27</v>
      </c>
      <c r="AL20">
        <f t="shared" si="0"/>
        <v>29</v>
      </c>
      <c r="AM20">
        <f t="shared" si="0"/>
        <v>6</v>
      </c>
      <c r="AN20">
        <f t="shared" si="0"/>
        <v>47</v>
      </c>
      <c r="AO20">
        <f t="shared" si="0"/>
        <v>25</v>
      </c>
      <c r="AP20">
        <f t="shared" si="0"/>
        <v>44</v>
      </c>
      <c r="AQ20">
        <f t="shared" si="0"/>
        <v>16</v>
      </c>
      <c r="AR20">
        <f t="shared" si="0"/>
        <v>2</v>
      </c>
      <c r="AS20">
        <f t="shared" si="0"/>
        <v>28</v>
      </c>
      <c r="AT20">
        <f t="shared" si="0"/>
        <v>50</v>
      </c>
      <c r="AU20">
        <f t="shared" si="0"/>
        <v>12</v>
      </c>
      <c r="AV20">
        <f t="shared" si="0"/>
        <v>13</v>
      </c>
      <c r="AW20">
        <f t="shared" si="0"/>
        <v>39</v>
      </c>
      <c r="AX20">
        <f t="shared" si="0"/>
        <v>21</v>
      </c>
      <c r="AY20">
        <f t="shared" si="0"/>
        <v>49</v>
      </c>
    </row>
    <row r="21" spans="1:51" x14ac:dyDescent="0.25">
      <c r="A21">
        <v>2014</v>
      </c>
    </row>
    <row r="22" spans="1:51" x14ac:dyDescent="0.25">
      <c r="A22">
        <v>2015</v>
      </c>
    </row>
    <row r="23" spans="1:51" x14ac:dyDescent="0.25">
      <c r="A23">
        <v>2016</v>
      </c>
    </row>
    <row r="24" spans="1:51" x14ac:dyDescent="0.25">
      <c r="A24">
        <v>2017</v>
      </c>
    </row>
    <row r="25" spans="1:51" x14ac:dyDescent="0.25">
      <c r="A25">
        <v>2018</v>
      </c>
    </row>
    <row r="26" spans="1:51" x14ac:dyDescent="0.25">
      <c r="A26">
        <v>2019</v>
      </c>
    </row>
    <row r="27" spans="1:51" x14ac:dyDescent="0.25">
      <c r="A27">
        <v>2020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1315-6B73-49C0-AF56-04EC50068136}">
  <dimension ref="A1:AY15"/>
  <sheetViews>
    <sheetView topLeftCell="AC1" workbookViewId="0">
      <selection activeCell="AQ2" sqref="AQ2:AQ9"/>
    </sheetView>
  </sheetViews>
  <sheetFormatPr defaultRowHeight="15" x14ac:dyDescent="0.25"/>
  <cols>
    <col min="1" max="1" width="5" bestFit="1" customWidth="1"/>
    <col min="2" max="2" width="8.7109375" bestFit="1" customWidth="1"/>
    <col min="3" max="3" width="6.7109375" bestFit="1" customWidth="1"/>
    <col min="4" max="4" width="7.7109375" bestFit="1" customWidth="1"/>
    <col min="5" max="5" width="8.85546875" bestFit="1" customWidth="1"/>
    <col min="6" max="6" width="9.5703125" bestFit="1" customWidth="1"/>
    <col min="7" max="7" width="9" bestFit="1" customWidth="1"/>
    <col min="8" max="8" width="11.5703125" bestFit="1" customWidth="1"/>
    <col min="9" max="9" width="9.42578125" bestFit="1" customWidth="1"/>
    <col min="10" max="10" width="7.140625" bestFit="1" customWidth="1"/>
    <col min="11" max="11" width="8" bestFit="1" customWidth="1"/>
    <col min="12" max="12" width="7" bestFit="1" customWidth="1"/>
    <col min="13" max="13" width="6" bestFit="1" customWidth="1"/>
    <col min="14" max="14" width="7" bestFit="1" customWidth="1"/>
    <col min="15" max="15" width="7.5703125" bestFit="1" customWidth="1"/>
    <col min="16" max="16" width="6" bestFit="1" customWidth="1"/>
    <col min="17" max="17" width="7" bestFit="1" customWidth="1"/>
    <col min="19" max="19" width="9.28515625" bestFit="1" customWidth="1"/>
    <col min="20" max="20" width="6.7109375" bestFit="1" customWidth="1"/>
    <col min="21" max="21" width="9.42578125" bestFit="1" customWidth="1"/>
    <col min="22" max="22" width="14.140625" bestFit="1" customWidth="1"/>
    <col min="24" max="24" width="10.5703125" bestFit="1" customWidth="1"/>
    <col min="25" max="25" width="10.85546875" bestFit="1" customWidth="1"/>
    <col min="26" max="26" width="8.7109375" bestFit="1" customWidth="1"/>
    <col min="27" max="27" width="9" bestFit="1" customWidth="1"/>
    <col min="28" max="28" width="9.28515625" bestFit="1" customWidth="1"/>
    <col min="29" max="29" width="7.7109375" bestFit="1" customWidth="1"/>
    <col min="30" max="30" width="15.28515625" bestFit="1" customWidth="1"/>
    <col min="31" max="31" width="11.140625" bestFit="1" customWidth="1"/>
    <col min="32" max="32" width="12.140625" bestFit="1" customWidth="1"/>
    <col min="33" max="33" width="9.5703125" bestFit="1" customWidth="1"/>
    <col min="34" max="34" width="14" bestFit="1" customWidth="1"/>
    <col min="35" max="35" width="12.7109375" bestFit="1" customWidth="1"/>
    <col min="36" max="36" width="7" bestFit="1" customWidth="1"/>
    <col min="37" max="37" width="10" bestFit="1" customWidth="1"/>
    <col min="38" max="38" width="7.5703125" bestFit="1" customWidth="1"/>
    <col min="39" max="39" width="12.7109375" bestFit="1" customWidth="1"/>
    <col min="40" max="40" width="12.42578125" bestFit="1" customWidth="1"/>
    <col min="41" max="41" width="14" bestFit="1" customWidth="1"/>
    <col min="42" max="42" width="12.7109375" bestFit="1" customWidth="1"/>
    <col min="43" max="43" width="10.5703125" bestFit="1" customWidth="1"/>
    <col min="44" max="44" width="7" bestFit="1" customWidth="1"/>
    <col min="45" max="45" width="6" bestFit="1" customWidth="1"/>
    <col min="46" max="46" width="8.85546875" bestFit="1" customWidth="1"/>
    <col min="47" max="47" width="7.85546875" bestFit="1" customWidth="1"/>
    <col min="48" max="48" width="11.7109375" bestFit="1" customWidth="1"/>
    <col min="49" max="49" width="13.140625" bestFit="1" customWidth="1"/>
  </cols>
  <sheetData>
    <row r="1" spans="1:5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48</v>
      </c>
    </row>
    <row r="2" spans="1:51" x14ac:dyDescent="0.25">
      <c r="A2">
        <v>2013</v>
      </c>
      <c r="B2">
        <v>8485</v>
      </c>
      <c r="C2">
        <v>1450</v>
      </c>
      <c r="D2">
        <v>13401</v>
      </c>
      <c r="E2">
        <v>3730</v>
      </c>
      <c r="G2">
        <v>10199</v>
      </c>
      <c r="H2">
        <v>10560</v>
      </c>
      <c r="I2">
        <v>3042</v>
      </c>
      <c r="J2">
        <v>72727</v>
      </c>
      <c r="K2">
        <v>30673</v>
      </c>
      <c r="L2">
        <v>1967</v>
      </c>
      <c r="M2">
        <v>1375</v>
      </c>
      <c r="N2">
        <v>40750</v>
      </c>
      <c r="O2">
        <v>8179</v>
      </c>
      <c r="P2">
        <v>4423</v>
      </c>
      <c r="Q2">
        <v>7422</v>
      </c>
      <c r="R2">
        <v>3637</v>
      </c>
      <c r="S2">
        <v>9977</v>
      </c>
      <c r="T2">
        <v>1939</v>
      </c>
      <c r="V2">
        <v>19448</v>
      </c>
      <c r="W2">
        <v>26120</v>
      </c>
      <c r="X2">
        <v>9904</v>
      </c>
      <c r="Y2">
        <v>2170</v>
      </c>
      <c r="Z2">
        <v>5416</v>
      </c>
      <c r="AA2">
        <v>1842</v>
      </c>
      <c r="AB2">
        <v>2177</v>
      </c>
      <c r="AC2">
        <v>6056</v>
      </c>
      <c r="AE2">
        <v>21720</v>
      </c>
      <c r="AF2">
        <v>4198</v>
      </c>
      <c r="AG2">
        <f>28206+69840</f>
        <v>98046</v>
      </c>
      <c r="AH2">
        <v>22820</v>
      </c>
      <c r="AI2">
        <v>1182</v>
      </c>
      <c r="AJ2">
        <v>23216</v>
      </c>
      <c r="AK2">
        <v>5013</v>
      </c>
      <c r="AL2">
        <v>8287</v>
      </c>
      <c r="AM2">
        <v>32108</v>
      </c>
      <c r="AN2">
        <v>3251</v>
      </c>
      <c r="AO2">
        <v>5878</v>
      </c>
      <c r="AP2">
        <v>601</v>
      </c>
      <c r="AQ2">
        <v>14216</v>
      </c>
      <c r="AR2">
        <v>63168</v>
      </c>
      <c r="AS2">
        <v>3102</v>
      </c>
      <c r="AT2">
        <v>1217</v>
      </c>
      <c r="AU2">
        <v>20852</v>
      </c>
      <c r="AV2">
        <v>17592</v>
      </c>
      <c r="AW2">
        <v>1876</v>
      </c>
      <c r="AX2">
        <v>6462</v>
      </c>
    </row>
    <row r="3" spans="1:51" x14ac:dyDescent="0.25">
      <c r="A3">
        <v>2014</v>
      </c>
      <c r="B3">
        <v>8080</v>
      </c>
      <c r="C3">
        <v>1518</v>
      </c>
      <c r="D3">
        <v>12900</v>
      </c>
      <c r="E3">
        <v>4253</v>
      </c>
      <c r="G3">
        <v>10648</v>
      </c>
      <c r="H3">
        <v>10611</v>
      </c>
      <c r="I3">
        <v>2937</v>
      </c>
      <c r="J3">
        <v>72107</v>
      </c>
      <c r="K3">
        <v>30013</v>
      </c>
      <c r="L3">
        <v>2147</v>
      </c>
      <c r="M3">
        <v>1353</v>
      </c>
      <c r="N3">
        <v>38472</v>
      </c>
      <c r="O3">
        <v>8118</v>
      </c>
      <c r="P3">
        <v>4020</v>
      </c>
      <c r="Q3">
        <v>7219</v>
      </c>
      <c r="R3">
        <v>3442</v>
      </c>
      <c r="S3">
        <v>10322</v>
      </c>
      <c r="T3">
        <v>2021</v>
      </c>
      <c r="V3">
        <v>19354</v>
      </c>
      <c r="W3">
        <v>27629</v>
      </c>
      <c r="X3">
        <v>10123</v>
      </c>
      <c r="Y3">
        <v>2303</v>
      </c>
      <c r="Z3">
        <v>5060</v>
      </c>
      <c r="AA3">
        <v>1690</v>
      </c>
      <c r="AB3">
        <v>2270</v>
      </c>
      <c r="AC3">
        <v>8132</v>
      </c>
      <c r="AE3">
        <v>24181</v>
      </c>
      <c r="AF3">
        <v>4500</v>
      </c>
      <c r="AG3">
        <f>29091+67620</f>
        <v>96711</v>
      </c>
      <c r="AH3">
        <v>24605</v>
      </c>
      <c r="AI3">
        <v>1264</v>
      </c>
      <c r="AJ3">
        <v>21186</v>
      </c>
      <c r="AK3">
        <v>4916</v>
      </c>
      <c r="AL3">
        <v>8231</v>
      </c>
      <c r="AM3">
        <v>32126</v>
      </c>
      <c r="AN3">
        <v>2990</v>
      </c>
      <c r="AO3">
        <v>5714</v>
      </c>
      <c r="AP3">
        <v>551</v>
      </c>
      <c r="AQ3">
        <v>12373</v>
      </c>
      <c r="AR3">
        <v>54148</v>
      </c>
      <c r="AS3">
        <v>2948</v>
      </c>
      <c r="AT3">
        <v>1235</v>
      </c>
      <c r="AU3">
        <v>20187</v>
      </c>
      <c r="AV3">
        <v>17710</v>
      </c>
      <c r="AW3">
        <v>1730</v>
      </c>
      <c r="AX3">
        <v>5800</v>
      </c>
    </row>
    <row r="4" spans="1:51" x14ac:dyDescent="0.25">
      <c r="A4">
        <v>2015</v>
      </c>
      <c r="B4">
        <v>5899</v>
      </c>
      <c r="C4">
        <v>1334</v>
      </c>
      <c r="D4">
        <v>12655</v>
      </c>
      <c r="E4">
        <v>3771</v>
      </c>
      <c r="G4">
        <v>10114</v>
      </c>
      <c r="H4">
        <v>9938</v>
      </c>
      <c r="I4">
        <v>2785</v>
      </c>
      <c r="J4">
        <v>72023</v>
      </c>
      <c r="K4">
        <v>31009</v>
      </c>
      <c r="L4">
        <v>2026</v>
      </c>
      <c r="M4">
        <v>1272</v>
      </c>
      <c r="N4">
        <v>39856</v>
      </c>
      <c r="O4">
        <v>7957</v>
      </c>
      <c r="P4">
        <v>3989</v>
      </c>
      <c r="Q4">
        <v>6931</v>
      </c>
      <c r="R4">
        <v>3188</v>
      </c>
      <c r="S4">
        <v>9362</v>
      </c>
      <c r="T4">
        <v>1836</v>
      </c>
      <c r="V4">
        <v>18570</v>
      </c>
      <c r="W4">
        <v>27151</v>
      </c>
      <c r="X4">
        <v>9861</v>
      </c>
      <c r="Y4">
        <v>2613</v>
      </c>
      <c r="Z4">
        <v>4765</v>
      </c>
      <c r="AA4">
        <v>1611</v>
      </c>
      <c r="AB4">
        <v>2004</v>
      </c>
      <c r="AC4">
        <v>7116</v>
      </c>
      <c r="AE4">
        <v>22991</v>
      </c>
      <c r="AF4">
        <v>4669</v>
      </c>
      <c r="AG4">
        <f>29450+63646</f>
        <v>93096</v>
      </c>
      <c r="AH4">
        <v>27631</v>
      </c>
      <c r="AI4">
        <v>1166</v>
      </c>
      <c r="AJ4">
        <v>20976</v>
      </c>
      <c r="AK4">
        <v>4709</v>
      </c>
      <c r="AL4">
        <v>8610</v>
      </c>
      <c r="AM4">
        <v>31818</v>
      </c>
      <c r="AN4">
        <v>2649</v>
      </c>
      <c r="AO4">
        <v>5778</v>
      </c>
      <c r="AP4">
        <v>444</v>
      </c>
      <c r="AQ4">
        <v>11411</v>
      </c>
      <c r="AR4">
        <v>53940</v>
      </c>
      <c r="AS4">
        <v>3176</v>
      </c>
      <c r="AT4">
        <v>1265</v>
      </c>
      <c r="AU4">
        <v>18663</v>
      </c>
      <c r="AV4">
        <v>17098</v>
      </c>
      <c r="AW4">
        <v>1516</v>
      </c>
      <c r="AX4">
        <v>5660</v>
      </c>
    </row>
    <row r="5" spans="1:51" x14ac:dyDescent="0.25">
      <c r="A5">
        <v>2016</v>
      </c>
      <c r="B5">
        <v>6642</v>
      </c>
      <c r="C5">
        <v>1260</v>
      </c>
      <c r="D5">
        <v>13332</v>
      </c>
      <c r="E5">
        <v>3207</v>
      </c>
      <c r="G5">
        <v>8333</v>
      </c>
      <c r="H5">
        <v>10031</v>
      </c>
      <c r="I5">
        <v>2170</v>
      </c>
      <c r="J5">
        <v>69770</v>
      </c>
      <c r="K5">
        <v>33811</v>
      </c>
      <c r="L5">
        <v>2554</v>
      </c>
      <c r="M5">
        <v>1289</v>
      </c>
      <c r="N5">
        <v>38382</v>
      </c>
      <c r="O5">
        <v>7277</v>
      </c>
      <c r="P5">
        <v>3722</v>
      </c>
      <c r="Q5">
        <v>6790</v>
      </c>
      <c r="R5">
        <v>3312</v>
      </c>
      <c r="S5">
        <v>8973</v>
      </c>
      <c r="T5">
        <v>2021</v>
      </c>
      <c r="V5">
        <v>17901</v>
      </c>
      <c r="W5">
        <v>26395</v>
      </c>
      <c r="X5">
        <v>10017</v>
      </c>
      <c r="Y5">
        <v>2569</v>
      </c>
      <c r="Z5">
        <v>4562</v>
      </c>
      <c r="AA5">
        <v>1618</v>
      </c>
      <c r="AB5">
        <v>1907</v>
      </c>
      <c r="AC5">
        <v>7284</v>
      </c>
      <c r="AE5">
        <v>24470</v>
      </c>
      <c r="AF5">
        <v>4573</v>
      </c>
      <c r="AG5">
        <f>27471+59854</f>
        <v>87325</v>
      </c>
      <c r="AH5">
        <v>27138</v>
      </c>
      <c r="AI5">
        <v>1160</v>
      </c>
      <c r="AJ5">
        <v>20672</v>
      </c>
      <c r="AK5">
        <v>4294</v>
      </c>
      <c r="AL5">
        <v>8942</v>
      </c>
      <c r="AM5">
        <v>30881</v>
      </c>
      <c r="AN5">
        <v>2479</v>
      </c>
      <c r="AO5">
        <v>5736</v>
      </c>
      <c r="AP5">
        <v>472</v>
      </c>
      <c r="AQ5">
        <v>11235</v>
      </c>
      <c r="AR5">
        <v>53481</v>
      </c>
      <c r="AS5">
        <v>3008</v>
      </c>
      <c r="AT5">
        <v>1298</v>
      </c>
      <c r="AU5">
        <v>17058</v>
      </c>
      <c r="AV5">
        <v>17080</v>
      </c>
      <c r="AW5">
        <v>1428</v>
      </c>
      <c r="AX5">
        <v>5612</v>
      </c>
    </row>
    <row r="6" spans="1:51" x14ac:dyDescent="0.25">
      <c r="A6">
        <v>2017</v>
      </c>
      <c r="B6">
        <v>6063</v>
      </c>
      <c r="C6">
        <v>1255</v>
      </c>
      <c r="D6">
        <v>12533</v>
      </c>
      <c r="E6">
        <v>3249</v>
      </c>
      <c r="G6">
        <v>8873</v>
      </c>
      <c r="H6">
        <v>9584</v>
      </c>
      <c r="I6">
        <v>1890</v>
      </c>
      <c r="J6">
        <v>69102</v>
      </c>
      <c r="K6">
        <v>31991</v>
      </c>
      <c r="L6">
        <v>2249</v>
      </c>
      <c r="M6">
        <v>1285</v>
      </c>
      <c r="N6">
        <v>39329</v>
      </c>
      <c r="O6">
        <v>7778</v>
      </c>
      <c r="P6">
        <v>3269</v>
      </c>
      <c r="Q6">
        <v>6747</v>
      </c>
      <c r="R6">
        <v>3201</v>
      </c>
      <c r="S6">
        <v>8706</v>
      </c>
      <c r="T6">
        <v>1959</v>
      </c>
      <c r="V6">
        <v>18285</v>
      </c>
      <c r="W6">
        <v>26594</v>
      </c>
      <c r="X6">
        <v>10134</v>
      </c>
      <c r="Y6">
        <v>2594</v>
      </c>
      <c r="Z6">
        <v>3903</v>
      </c>
      <c r="AA6">
        <v>1561</v>
      </c>
      <c r="AB6">
        <v>1958</v>
      </c>
      <c r="AC6">
        <v>7360</v>
      </c>
      <c r="AE6">
        <v>21484</v>
      </c>
      <c r="AF6">
        <v>3999</v>
      </c>
      <c r="AG6">
        <f>28575+54391</f>
        <v>82966</v>
      </c>
      <c r="AH6">
        <v>27183</v>
      </c>
      <c r="AI6">
        <v>1155</v>
      </c>
      <c r="AJ6">
        <v>20893</v>
      </c>
      <c r="AK6">
        <v>4681</v>
      </c>
      <c r="AL6">
        <v>8506</v>
      </c>
      <c r="AM6">
        <v>30011</v>
      </c>
      <c r="AN6">
        <v>3101</v>
      </c>
      <c r="AO6">
        <v>5112</v>
      </c>
      <c r="AP6">
        <v>497</v>
      </c>
      <c r="AQ6">
        <v>10810</v>
      </c>
      <c r="AR6">
        <v>53277</v>
      </c>
      <c r="AS6">
        <v>2923</v>
      </c>
      <c r="AT6">
        <v>1203</v>
      </c>
      <c r="AU6">
        <v>15381</v>
      </c>
      <c r="AV6">
        <v>17207</v>
      </c>
      <c r="AW6">
        <v>1436</v>
      </c>
      <c r="AX6">
        <v>5818</v>
      </c>
    </row>
    <row r="7" spans="1:51" x14ac:dyDescent="0.25">
      <c r="A7">
        <v>2018</v>
      </c>
      <c r="B7">
        <v>6484</v>
      </c>
      <c r="C7">
        <v>1283</v>
      </c>
      <c r="D7">
        <v>12438</v>
      </c>
      <c r="E7">
        <v>3069</v>
      </c>
      <c r="G7">
        <v>8975</v>
      </c>
      <c r="H7">
        <v>9294</v>
      </c>
      <c r="I7">
        <v>1740</v>
      </c>
      <c r="J7">
        <v>70239</v>
      </c>
      <c r="K7">
        <v>33918</v>
      </c>
      <c r="L7">
        <v>2121</v>
      </c>
      <c r="M7">
        <v>1257</v>
      </c>
      <c r="N7">
        <v>42441</v>
      </c>
      <c r="O7">
        <v>8037</v>
      </c>
      <c r="P7">
        <v>2849</v>
      </c>
      <c r="Q7">
        <v>6972</v>
      </c>
      <c r="R7">
        <v>3203</v>
      </c>
      <c r="S7">
        <v>8097</v>
      </c>
      <c r="T7">
        <v>1949</v>
      </c>
      <c r="V7">
        <v>18256</v>
      </c>
      <c r="W7">
        <v>26716</v>
      </c>
      <c r="X7">
        <v>9910</v>
      </c>
      <c r="Y7">
        <v>3005</v>
      </c>
      <c r="Z7">
        <v>2910</v>
      </c>
      <c r="AA7">
        <v>1674</v>
      </c>
      <c r="AB7">
        <v>2078</v>
      </c>
      <c r="AC7">
        <v>8819</v>
      </c>
      <c r="AE7">
        <v>22936</v>
      </c>
      <c r="AF7">
        <v>3847</v>
      </c>
      <c r="AG7">
        <f>27688+49759</f>
        <v>77447</v>
      </c>
      <c r="AH7">
        <v>27581</v>
      </c>
      <c r="AI7">
        <v>1141</v>
      </c>
      <c r="AJ7">
        <v>20425</v>
      </c>
      <c r="AK7">
        <v>4990</v>
      </c>
      <c r="AL7">
        <v>8735</v>
      </c>
      <c r="AM7">
        <v>30364</v>
      </c>
      <c r="AN7">
        <v>2817</v>
      </c>
      <c r="AO7">
        <v>4646</v>
      </c>
      <c r="AP7">
        <v>382</v>
      </c>
      <c r="AQ7">
        <v>10880</v>
      </c>
      <c r="AR7">
        <v>55140</v>
      </c>
      <c r="AS7">
        <v>3082</v>
      </c>
      <c r="AT7">
        <v>1204</v>
      </c>
      <c r="AU7">
        <v>16474</v>
      </c>
      <c r="AV7">
        <v>17264</v>
      </c>
      <c r="AW7">
        <v>1507</v>
      </c>
      <c r="AX7">
        <v>6224</v>
      </c>
    </row>
    <row r="8" spans="1:51" x14ac:dyDescent="0.25">
      <c r="A8">
        <v>2019</v>
      </c>
      <c r="B8">
        <v>6009</v>
      </c>
      <c r="C8">
        <v>1270</v>
      </c>
      <c r="D8">
        <v>13097</v>
      </c>
      <c r="E8">
        <v>2963</v>
      </c>
      <c r="G8">
        <v>9002</v>
      </c>
      <c r="H8">
        <v>9202</v>
      </c>
      <c r="I8">
        <v>2042</v>
      </c>
      <c r="J8">
        <v>71914</v>
      </c>
      <c r="K8">
        <v>36907</v>
      </c>
      <c r="L8">
        <v>2003</v>
      </c>
      <c r="M8">
        <v>1513</v>
      </c>
      <c r="N8">
        <v>46517</v>
      </c>
      <c r="O8">
        <v>7637</v>
      </c>
      <c r="P8">
        <v>3566</v>
      </c>
      <c r="Q8">
        <v>6894</v>
      </c>
      <c r="R8">
        <v>3664</v>
      </c>
      <c r="S8">
        <v>8144</v>
      </c>
      <c r="T8">
        <v>2021</v>
      </c>
      <c r="V8">
        <v>18593</v>
      </c>
      <c r="W8">
        <v>27339</v>
      </c>
      <c r="X8">
        <v>9940</v>
      </c>
      <c r="Y8">
        <v>3194</v>
      </c>
      <c r="Z8">
        <v>1471</v>
      </c>
      <c r="AA8">
        <v>1568</v>
      </c>
      <c r="AB8">
        <v>2068</v>
      </c>
      <c r="AC8">
        <v>8414</v>
      </c>
      <c r="AE8">
        <v>22178</v>
      </c>
      <c r="AF8">
        <v>3942</v>
      </c>
      <c r="AG8">
        <f>49784+28803</f>
        <v>78587</v>
      </c>
      <c r="AH8">
        <v>28450</v>
      </c>
      <c r="AI8">
        <v>1121</v>
      </c>
      <c r="AJ8">
        <v>20102</v>
      </c>
      <c r="AK8">
        <v>4995</v>
      </c>
      <c r="AL8">
        <v>8688</v>
      </c>
      <c r="AM8">
        <v>31018</v>
      </c>
      <c r="AN8">
        <v>2099</v>
      </c>
      <c r="AO8">
        <v>5101</v>
      </c>
      <c r="AP8">
        <v>414</v>
      </c>
      <c r="AQ8">
        <v>9719</v>
      </c>
      <c r="AR8">
        <v>57275</v>
      </c>
      <c r="AS8">
        <v>2922</v>
      </c>
      <c r="AT8">
        <v>1195</v>
      </c>
      <c r="AU8">
        <v>15601</v>
      </c>
      <c r="AV8">
        <v>17262</v>
      </c>
      <c r="AW8">
        <v>1183</v>
      </c>
      <c r="AX8">
        <v>6511</v>
      </c>
      <c r="AY8">
        <v>31</v>
      </c>
    </row>
    <row r="9" spans="1:51" x14ac:dyDescent="0.25">
      <c r="A9">
        <v>2020</v>
      </c>
      <c r="B9">
        <v>5713</v>
      </c>
      <c r="C9">
        <v>1206</v>
      </c>
      <c r="D9">
        <v>13273</v>
      </c>
      <c r="E9">
        <v>3154</v>
      </c>
      <c r="G9">
        <v>9869</v>
      </c>
      <c r="H9">
        <v>9115</v>
      </c>
      <c r="I9">
        <v>2281</v>
      </c>
      <c r="J9">
        <v>74868</v>
      </c>
      <c r="K9">
        <v>37533</v>
      </c>
      <c r="L9">
        <v>1809</v>
      </c>
      <c r="M9">
        <v>1680</v>
      </c>
      <c r="N9">
        <v>46243</v>
      </c>
      <c r="O9">
        <v>7756</v>
      </c>
      <c r="P9">
        <v>4058</v>
      </c>
      <c r="Q9">
        <v>7526</v>
      </c>
      <c r="R9">
        <v>4104</v>
      </c>
      <c r="S9">
        <v>7473</v>
      </c>
      <c r="T9">
        <v>2064</v>
      </c>
      <c r="V9">
        <v>16452</v>
      </c>
      <c r="W9">
        <v>29669</v>
      </c>
      <c r="X9">
        <v>10349</v>
      </c>
      <c r="Y9">
        <v>3559</v>
      </c>
      <c r="Z9">
        <v>167</v>
      </c>
      <c r="AA9">
        <v>1675</v>
      </c>
      <c r="AB9">
        <v>2378</v>
      </c>
      <c r="AC9">
        <v>8633</v>
      </c>
      <c r="AE9">
        <v>22972</v>
      </c>
      <c r="AF9">
        <v>4293</v>
      </c>
      <c r="AG9">
        <f>37523+25619</f>
        <v>63142</v>
      </c>
      <c r="AH9">
        <v>30004</v>
      </c>
      <c r="AI9">
        <v>1174</v>
      </c>
      <c r="AJ9">
        <v>20605</v>
      </c>
      <c r="AK9">
        <v>3797</v>
      </c>
      <c r="AL9">
        <v>6991</v>
      </c>
      <c r="AM9">
        <v>32123</v>
      </c>
      <c r="AN9">
        <v>2611</v>
      </c>
      <c r="AO9">
        <v>5468</v>
      </c>
      <c r="AP9">
        <v>125</v>
      </c>
      <c r="AQ9">
        <v>11243</v>
      </c>
      <c r="AR9">
        <v>55132</v>
      </c>
      <c r="AS9">
        <v>2362</v>
      </c>
      <c r="AT9">
        <v>1227</v>
      </c>
      <c r="AU9">
        <v>15604</v>
      </c>
      <c r="AV9">
        <v>16909</v>
      </c>
      <c r="AW9">
        <v>1001</v>
      </c>
      <c r="AX9">
        <v>6430</v>
      </c>
      <c r="AY9">
        <v>91</v>
      </c>
    </row>
    <row r="12" spans="1:51" x14ac:dyDescent="0.25">
      <c r="D12" t="s">
        <v>54</v>
      </c>
      <c r="I12" t="s">
        <v>56</v>
      </c>
    </row>
    <row r="15" spans="1:51" x14ac:dyDescent="0.25">
      <c r="J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77D8-D620-4353-8E5D-2B3EF38E388B}">
  <dimension ref="A1:AY13"/>
  <sheetViews>
    <sheetView topLeftCell="AC1" workbookViewId="0">
      <selection activeCell="AQ2" sqref="AQ2:AQ10"/>
    </sheetView>
  </sheetViews>
  <sheetFormatPr defaultRowHeight="15" x14ac:dyDescent="0.25"/>
  <cols>
    <col min="1" max="1" width="5" bestFit="1" customWidth="1"/>
    <col min="2" max="2" width="8.7109375" bestFit="1" customWidth="1"/>
    <col min="3" max="3" width="6.7109375" bestFit="1" customWidth="1"/>
    <col min="4" max="4" width="7.7109375" bestFit="1" customWidth="1"/>
    <col min="5" max="5" width="8.85546875" bestFit="1" customWidth="1"/>
    <col min="6" max="6" width="9.5703125" bestFit="1" customWidth="1"/>
    <col min="7" max="7" width="9" bestFit="1" customWidth="1"/>
    <col min="8" max="8" width="11.5703125" bestFit="1" customWidth="1"/>
    <col min="9" max="9" width="9.42578125" bestFit="1" customWidth="1"/>
    <col min="10" max="10" width="7.140625" bestFit="1" customWidth="1"/>
    <col min="11" max="11" width="8" bestFit="1" customWidth="1"/>
    <col min="12" max="12" width="7" bestFit="1" customWidth="1"/>
    <col min="13" max="13" width="6" bestFit="1" customWidth="1"/>
    <col min="14" max="14" width="7" bestFit="1" customWidth="1"/>
    <col min="15" max="15" width="7.5703125" bestFit="1" customWidth="1"/>
    <col min="16" max="16" width="6" bestFit="1" customWidth="1"/>
    <col min="17" max="17" width="7" bestFit="1" customWidth="1"/>
    <col min="19" max="19" width="9.28515625" bestFit="1" customWidth="1"/>
    <col min="20" max="20" width="6.7109375" bestFit="1" customWidth="1"/>
    <col min="21" max="21" width="9.42578125" bestFit="1" customWidth="1"/>
    <col min="22" max="22" width="14.140625" bestFit="1" customWidth="1"/>
    <col min="24" max="24" width="10.5703125" bestFit="1" customWidth="1"/>
    <col min="25" max="25" width="10.85546875" bestFit="1" customWidth="1"/>
    <col min="26" max="26" width="8.7109375" bestFit="1" customWidth="1"/>
    <col min="27" max="27" width="9" bestFit="1" customWidth="1"/>
    <col min="28" max="28" width="9.28515625" bestFit="1" customWidth="1"/>
    <col min="29" max="29" width="7.7109375" bestFit="1" customWidth="1"/>
    <col min="30" max="30" width="15.28515625" bestFit="1" customWidth="1"/>
    <col min="31" max="31" width="11.140625" bestFit="1" customWidth="1"/>
    <col min="32" max="32" width="12.140625" bestFit="1" customWidth="1"/>
    <col min="33" max="33" width="9.5703125" bestFit="1" customWidth="1"/>
    <col min="34" max="34" width="14" bestFit="1" customWidth="1"/>
    <col min="35" max="35" width="12.7109375" bestFit="1" customWidth="1"/>
    <col min="36" max="36" width="7" bestFit="1" customWidth="1"/>
    <col min="37" max="37" width="10" bestFit="1" customWidth="1"/>
    <col min="38" max="38" width="7.5703125" bestFit="1" customWidth="1"/>
    <col min="39" max="39" width="12.7109375" bestFit="1" customWidth="1"/>
    <col min="40" max="40" width="12.42578125" bestFit="1" customWidth="1"/>
    <col min="41" max="41" width="14" bestFit="1" customWidth="1"/>
    <col min="42" max="42" width="12.7109375" bestFit="1" customWidth="1"/>
    <col min="43" max="43" width="10.5703125" bestFit="1" customWidth="1"/>
    <col min="44" max="44" width="7" bestFit="1" customWidth="1"/>
    <col min="45" max="45" width="6" bestFit="1" customWidth="1"/>
    <col min="46" max="46" width="8.85546875" bestFit="1" customWidth="1"/>
    <col min="47" max="47" width="7.85546875" bestFit="1" customWidth="1"/>
    <col min="48" max="48" width="11.7109375" bestFit="1" customWidth="1"/>
    <col min="49" max="49" width="13.140625" bestFit="1" customWidth="1"/>
  </cols>
  <sheetData>
    <row r="1" spans="1:5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48</v>
      </c>
    </row>
    <row r="2" spans="1:51" x14ac:dyDescent="0.25">
      <c r="A2">
        <v>2013</v>
      </c>
      <c r="B2">
        <v>5456</v>
      </c>
      <c r="C2">
        <v>716</v>
      </c>
      <c r="D2">
        <v>7303</v>
      </c>
      <c r="E2">
        <v>4192</v>
      </c>
      <c r="F2">
        <v>30819</v>
      </c>
      <c r="G2">
        <v>3864</v>
      </c>
      <c r="H2">
        <v>1625</v>
      </c>
      <c r="I2">
        <v>734</v>
      </c>
      <c r="J2">
        <v>14127</v>
      </c>
      <c r="K2">
        <v>10465</v>
      </c>
      <c r="L2">
        <v>988</v>
      </c>
      <c r="M2">
        <v>1436</v>
      </c>
      <c r="N2">
        <v>10649</v>
      </c>
      <c r="O2">
        <v>6814</v>
      </c>
      <c r="P2">
        <v>2301</v>
      </c>
      <c r="Q2">
        <v>2899</v>
      </c>
      <c r="R2">
        <v>5456</v>
      </c>
      <c r="S2">
        <v>5901</v>
      </c>
      <c r="T2">
        <v>703</v>
      </c>
      <c r="U2">
        <v>3741</v>
      </c>
      <c r="V2">
        <v>2767</v>
      </c>
      <c r="W2">
        <v>7949</v>
      </c>
      <c r="X2">
        <v>2981</v>
      </c>
      <c r="Y2">
        <v>4421</v>
      </c>
      <c r="Z2">
        <v>5857</v>
      </c>
      <c r="AA2">
        <v>861</v>
      </c>
      <c r="AB2">
        <v>1565</v>
      </c>
      <c r="AC2">
        <v>2630</v>
      </c>
      <c r="AD2">
        <v>563</v>
      </c>
      <c r="AE2">
        <v>4231</v>
      </c>
      <c r="AF2">
        <v>2992</v>
      </c>
      <c r="AG2">
        <v>11253</v>
      </c>
      <c r="AH2">
        <v>9148</v>
      </c>
      <c r="AI2">
        <v>570</v>
      </c>
      <c r="AJ2">
        <v>10464</v>
      </c>
      <c r="AK2">
        <v>5379</v>
      </c>
      <c r="AL2">
        <v>2609</v>
      </c>
      <c r="AM2">
        <v>8755</v>
      </c>
      <c r="AN2">
        <v>664</v>
      </c>
      <c r="AO2">
        <v>4815</v>
      </c>
      <c r="AP2">
        <v>822</v>
      </c>
      <c r="AQ2">
        <v>7193</v>
      </c>
      <c r="AR2">
        <v>38051</v>
      </c>
      <c r="AS2">
        <v>2269</v>
      </c>
      <c r="AT2">
        <v>320</v>
      </c>
      <c r="AU2">
        <v>5335</v>
      </c>
      <c r="AV2">
        <v>4421</v>
      </c>
      <c r="AW2">
        <v>2199</v>
      </c>
      <c r="AX2">
        <v>3731</v>
      </c>
      <c r="AY2">
        <v>542</v>
      </c>
    </row>
    <row r="3" spans="1:51" x14ac:dyDescent="0.25">
      <c r="A3">
        <v>2014</v>
      </c>
      <c r="B3">
        <v>5073</v>
      </c>
      <c r="C3">
        <v>652</v>
      </c>
      <c r="D3">
        <v>6670</v>
      </c>
      <c r="E3">
        <v>3825</v>
      </c>
      <c r="F3">
        <v>27253</v>
      </c>
      <c r="G3">
        <v>3405</v>
      </c>
      <c r="H3">
        <v>1434</v>
      </c>
      <c r="I3">
        <v>627</v>
      </c>
      <c r="J3">
        <v>12958</v>
      </c>
      <c r="K3">
        <v>9762</v>
      </c>
      <c r="L3">
        <v>899</v>
      </c>
      <c r="M3">
        <v>1310</v>
      </c>
      <c r="N3">
        <v>9684</v>
      </c>
      <c r="O3">
        <v>6283</v>
      </c>
      <c r="P3">
        <v>2069</v>
      </c>
      <c r="Q3">
        <v>2698</v>
      </c>
      <c r="R3">
        <v>4922</v>
      </c>
      <c r="S3">
        <v>5368</v>
      </c>
      <c r="T3">
        <v>662</v>
      </c>
      <c r="U3">
        <v>3430</v>
      </c>
      <c r="V3">
        <v>2421</v>
      </c>
      <c r="W3">
        <v>7036</v>
      </c>
      <c r="X3">
        <v>2732</v>
      </c>
      <c r="Y3">
        <v>3925</v>
      </c>
      <c r="Z3">
        <v>5283</v>
      </c>
      <c r="AA3">
        <v>813</v>
      </c>
      <c r="AB3">
        <v>1411</v>
      </c>
      <c r="AC3">
        <v>2474</v>
      </c>
      <c r="AD3">
        <v>486</v>
      </c>
      <c r="AE3">
        <v>3729</v>
      </c>
      <c r="AF3">
        <v>2574</v>
      </c>
      <c r="AG3">
        <v>10056</v>
      </c>
      <c r="AH3">
        <v>8387</v>
      </c>
      <c r="AI3">
        <v>570</v>
      </c>
      <c r="AJ3">
        <v>9593</v>
      </c>
      <c r="AK3">
        <v>4860</v>
      </c>
      <c r="AL3">
        <v>2410</v>
      </c>
      <c r="AM3">
        <v>7987</v>
      </c>
      <c r="AN3">
        <v>596</v>
      </c>
      <c r="AO3">
        <v>4346</v>
      </c>
      <c r="AP3">
        <v>742</v>
      </c>
      <c r="AQ3">
        <v>6832</v>
      </c>
      <c r="AR3">
        <v>35533</v>
      </c>
      <c r="AS3">
        <v>2180</v>
      </c>
      <c r="AT3">
        <v>308</v>
      </c>
      <c r="AU3">
        <v>4920</v>
      </c>
      <c r="AV3">
        <v>4127</v>
      </c>
      <c r="AW3">
        <v>1997</v>
      </c>
      <c r="AX3">
        <v>3414</v>
      </c>
      <c r="AY3">
        <v>548</v>
      </c>
    </row>
    <row r="4" spans="1:51" x14ac:dyDescent="0.25">
      <c r="A4">
        <v>2015</v>
      </c>
      <c r="B4">
        <v>4791</v>
      </c>
      <c r="C4">
        <v>665</v>
      </c>
      <c r="D4">
        <v>5952</v>
      </c>
      <c r="E4">
        <v>3719</v>
      </c>
      <c r="F4">
        <v>24395</v>
      </c>
      <c r="G4">
        <v>3299</v>
      </c>
      <c r="H4">
        <v>1251</v>
      </c>
      <c r="I4">
        <v>553</v>
      </c>
      <c r="J4">
        <v>12087</v>
      </c>
      <c r="K4">
        <v>8933</v>
      </c>
      <c r="L4">
        <v>797</v>
      </c>
      <c r="M4">
        <v>1299</v>
      </c>
      <c r="N4">
        <v>8848</v>
      </c>
      <c r="O4">
        <v>5877</v>
      </c>
      <c r="P4">
        <v>1955</v>
      </c>
      <c r="Q4">
        <v>2493</v>
      </c>
      <c r="R4">
        <v>4553</v>
      </c>
      <c r="S4">
        <v>5140</v>
      </c>
      <c r="T4">
        <v>604</v>
      </c>
      <c r="U4">
        <v>3247</v>
      </c>
      <c r="V4">
        <v>2162</v>
      </c>
      <c r="W4">
        <v>6415</v>
      </c>
      <c r="X4">
        <v>2408</v>
      </c>
      <c r="Y4">
        <v>3610</v>
      </c>
      <c r="Z4">
        <v>4881</v>
      </c>
      <c r="AA4">
        <v>777</v>
      </c>
      <c r="AB4">
        <v>1397</v>
      </c>
      <c r="AC4">
        <v>2385</v>
      </c>
      <c r="AD4">
        <v>470</v>
      </c>
      <c r="AE4">
        <v>3407</v>
      </c>
      <c r="AF4">
        <v>2340</v>
      </c>
      <c r="AG4">
        <v>9055</v>
      </c>
      <c r="AH4">
        <v>7739</v>
      </c>
      <c r="AI4">
        <v>528</v>
      </c>
      <c r="AJ4">
        <v>8861</v>
      </c>
      <c r="AK4">
        <v>4434</v>
      </c>
      <c r="AL4">
        <v>2298</v>
      </c>
      <c r="AM4">
        <v>7287</v>
      </c>
      <c r="AN4">
        <v>541</v>
      </c>
      <c r="AO4">
        <v>4087</v>
      </c>
      <c r="AP4">
        <v>728</v>
      </c>
      <c r="AQ4">
        <v>6334</v>
      </c>
      <c r="AR4">
        <v>33144</v>
      </c>
      <c r="AS4">
        <v>2037</v>
      </c>
      <c r="AT4">
        <v>249</v>
      </c>
      <c r="AU4">
        <v>4553</v>
      </c>
      <c r="AV4">
        <v>3804</v>
      </c>
      <c r="AW4">
        <v>1729</v>
      </c>
      <c r="AX4">
        <v>3075</v>
      </c>
      <c r="AY4">
        <v>516</v>
      </c>
    </row>
    <row r="5" spans="1:51" x14ac:dyDescent="0.25">
      <c r="A5">
        <v>2016</v>
      </c>
      <c r="B5">
        <v>4528</v>
      </c>
      <c r="C5">
        <v>590</v>
      </c>
      <c r="D5">
        <v>5412</v>
      </c>
      <c r="E5">
        <v>3416</v>
      </c>
      <c r="F5">
        <v>21607</v>
      </c>
      <c r="G5">
        <v>3104</v>
      </c>
      <c r="H5">
        <v>1152</v>
      </c>
      <c r="I5">
        <v>597</v>
      </c>
      <c r="J5">
        <v>11311</v>
      </c>
      <c r="K5">
        <v>8347</v>
      </c>
      <c r="L5">
        <v>733</v>
      </c>
      <c r="M5">
        <v>1178</v>
      </c>
      <c r="N5">
        <v>7805</v>
      </c>
      <c r="O5">
        <v>5300</v>
      </c>
      <c r="P5">
        <v>1814</v>
      </c>
      <c r="Q5">
        <v>2147</v>
      </c>
      <c r="R5">
        <v>4373</v>
      </c>
      <c r="S5">
        <v>4625</v>
      </c>
      <c r="T5">
        <v>578</v>
      </c>
      <c r="U5">
        <v>3055</v>
      </c>
      <c r="V5">
        <v>1944</v>
      </c>
      <c r="W5">
        <v>5835</v>
      </c>
      <c r="X5">
        <v>2215</v>
      </c>
      <c r="Y5">
        <v>3378</v>
      </c>
      <c r="Z5">
        <v>4540</v>
      </c>
      <c r="AA5">
        <v>726</v>
      </c>
      <c r="AB5">
        <v>1226</v>
      </c>
      <c r="AC5">
        <v>2094</v>
      </c>
      <c r="AD5">
        <v>394</v>
      </c>
      <c r="AE5">
        <v>3087</v>
      </c>
      <c r="AF5">
        <v>2039</v>
      </c>
      <c r="AG5">
        <v>8089</v>
      </c>
      <c r="AH5">
        <v>7263</v>
      </c>
      <c r="AI5">
        <v>472</v>
      </c>
      <c r="AJ5">
        <v>8241</v>
      </c>
      <c r="AK5">
        <v>4299</v>
      </c>
      <c r="AL5">
        <v>2014</v>
      </c>
      <c r="AM5">
        <v>6452</v>
      </c>
      <c r="AN5">
        <v>479</v>
      </c>
      <c r="AO5">
        <v>3739</v>
      </c>
      <c r="AP5">
        <v>689</v>
      </c>
      <c r="AQ5">
        <v>5835</v>
      </c>
      <c r="AR5">
        <v>30169</v>
      </c>
      <c r="AS5">
        <v>1839</v>
      </c>
      <c r="AT5">
        <v>215</v>
      </c>
      <c r="AU5">
        <v>4159</v>
      </c>
      <c r="AV5">
        <v>3618</v>
      </c>
      <c r="AW5">
        <v>1572</v>
      </c>
      <c r="AX5">
        <v>2830</v>
      </c>
      <c r="AY5">
        <v>469</v>
      </c>
    </row>
    <row r="6" spans="1:51" x14ac:dyDescent="0.25">
      <c r="A6">
        <v>2017</v>
      </c>
      <c r="B6">
        <v>4285</v>
      </c>
      <c r="C6">
        <v>492</v>
      </c>
      <c r="D6">
        <v>5061</v>
      </c>
      <c r="E6">
        <v>3227</v>
      </c>
      <c r="F6">
        <v>19087</v>
      </c>
      <c r="G6">
        <v>2810</v>
      </c>
      <c r="H6">
        <v>1063</v>
      </c>
      <c r="I6">
        <v>556</v>
      </c>
      <c r="J6">
        <v>10815</v>
      </c>
      <c r="K6">
        <v>7858</v>
      </c>
      <c r="L6">
        <v>721</v>
      </c>
      <c r="M6">
        <v>1116</v>
      </c>
      <c r="N6">
        <v>7162</v>
      </c>
      <c r="O6">
        <v>5145</v>
      </c>
      <c r="P6">
        <v>1700</v>
      </c>
      <c r="Q6">
        <v>2070</v>
      </c>
      <c r="R6">
        <v>4096</v>
      </c>
      <c r="S6">
        <v>4326</v>
      </c>
      <c r="T6">
        <v>505</v>
      </c>
      <c r="U6">
        <v>2706</v>
      </c>
      <c r="V6">
        <v>1842</v>
      </c>
      <c r="W6">
        <v>5364</v>
      </c>
      <c r="X6">
        <v>2125</v>
      </c>
      <c r="Y6">
        <v>3175</v>
      </c>
      <c r="Z6">
        <v>4322</v>
      </c>
      <c r="AA6">
        <v>653</v>
      </c>
      <c r="AB6">
        <v>1167</v>
      </c>
      <c r="AC6">
        <v>1928</v>
      </c>
      <c r="AD6">
        <v>353</v>
      </c>
      <c r="AE6">
        <v>2864</v>
      </c>
      <c r="AF6">
        <v>1913</v>
      </c>
      <c r="AG6">
        <v>7548</v>
      </c>
      <c r="AH6">
        <v>6924</v>
      </c>
      <c r="AI6">
        <v>370</v>
      </c>
      <c r="AJ6">
        <v>7867</v>
      </c>
      <c r="AK6">
        <v>3837</v>
      </c>
      <c r="AL6">
        <v>1822</v>
      </c>
      <c r="AM6">
        <v>5956</v>
      </c>
      <c r="AN6">
        <v>417</v>
      </c>
      <c r="AO6">
        <v>3448</v>
      </c>
      <c r="AP6">
        <v>622</v>
      </c>
      <c r="AQ6">
        <v>5584</v>
      </c>
      <c r="AR6">
        <v>27272</v>
      </c>
      <c r="AS6">
        <v>1809</v>
      </c>
      <c r="AT6">
        <v>207</v>
      </c>
      <c r="AU6">
        <v>4027</v>
      </c>
      <c r="AV6">
        <v>3214</v>
      </c>
      <c r="AW6">
        <v>1426</v>
      </c>
      <c r="AX6">
        <v>2588</v>
      </c>
      <c r="AY6">
        <v>430</v>
      </c>
    </row>
    <row r="7" spans="1:51" x14ac:dyDescent="0.25">
      <c r="A7">
        <v>2018</v>
      </c>
      <c r="B7">
        <v>3962</v>
      </c>
      <c r="C7">
        <v>426</v>
      </c>
      <c r="D7">
        <v>4680</v>
      </c>
      <c r="E7">
        <v>2955</v>
      </c>
      <c r="F7">
        <v>17059</v>
      </c>
      <c r="G7">
        <v>2540</v>
      </c>
      <c r="H7">
        <v>997</v>
      </c>
      <c r="I7">
        <v>502</v>
      </c>
      <c r="J7">
        <v>9927</v>
      </c>
      <c r="K7">
        <v>7472</v>
      </c>
      <c r="L7">
        <v>650</v>
      </c>
      <c r="M7">
        <v>976</v>
      </c>
      <c r="N7">
        <v>6459</v>
      </c>
      <c r="O7">
        <v>4886</v>
      </c>
      <c r="P7">
        <v>1613</v>
      </c>
      <c r="Q7">
        <v>1944</v>
      </c>
      <c r="R7">
        <v>3842</v>
      </c>
      <c r="S7">
        <v>4044</v>
      </c>
      <c r="T7">
        <v>422</v>
      </c>
      <c r="U7">
        <v>2678</v>
      </c>
      <c r="V7">
        <v>1655</v>
      </c>
      <c r="W7">
        <v>5087</v>
      </c>
      <c r="X7">
        <v>1814</v>
      </c>
      <c r="Y7">
        <v>2857</v>
      </c>
      <c r="Z7">
        <v>4140</v>
      </c>
      <c r="AA7">
        <v>532</v>
      </c>
      <c r="AB7">
        <v>1079</v>
      </c>
      <c r="AC7">
        <v>1814</v>
      </c>
      <c r="AD7">
        <v>336</v>
      </c>
      <c r="AE7">
        <v>2840</v>
      </c>
      <c r="AF7">
        <v>1743</v>
      </c>
      <c r="AG7">
        <v>6904</v>
      </c>
      <c r="AH7">
        <v>6376</v>
      </c>
      <c r="AI7">
        <v>378</v>
      </c>
      <c r="AJ7">
        <v>7100</v>
      </c>
      <c r="AK7">
        <v>3524</v>
      </c>
      <c r="AL7">
        <v>1605</v>
      </c>
      <c r="AM7">
        <v>5659</v>
      </c>
      <c r="AN7">
        <v>412</v>
      </c>
      <c r="AO7">
        <v>3516</v>
      </c>
      <c r="AP7">
        <v>569</v>
      </c>
      <c r="AQ7">
        <v>5324</v>
      </c>
      <c r="AR7">
        <v>25393</v>
      </c>
      <c r="AS7">
        <v>1611</v>
      </c>
      <c r="AT7">
        <v>182</v>
      </c>
      <c r="AU7">
        <v>3842</v>
      </c>
      <c r="AV7">
        <v>2779</v>
      </c>
      <c r="AW7">
        <v>1327</v>
      </c>
      <c r="AX7">
        <v>2432</v>
      </c>
      <c r="AY7">
        <v>365</v>
      </c>
    </row>
    <row r="8" spans="1:51" x14ac:dyDescent="0.25">
      <c r="A8">
        <v>2019</v>
      </c>
      <c r="B8">
        <v>4002</v>
      </c>
      <c r="C8">
        <v>396</v>
      </c>
      <c r="D8">
        <v>4355</v>
      </c>
      <c r="E8">
        <v>2910</v>
      </c>
      <c r="F8">
        <v>15478</v>
      </c>
      <c r="G8">
        <v>2493</v>
      </c>
      <c r="H8">
        <v>910</v>
      </c>
      <c r="I8">
        <v>451</v>
      </c>
      <c r="J8">
        <v>9647</v>
      </c>
      <c r="K8">
        <v>7177</v>
      </c>
      <c r="L8">
        <v>588</v>
      </c>
      <c r="M8">
        <v>925</v>
      </c>
      <c r="N8">
        <v>5949</v>
      </c>
      <c r="O8">
        <v>4673</v>
      </c>
      <c r="P8">
        <v>1472</v>
      </c>
      <c r="Q8">
        <v>1875</v>
      </c>
      <c r="R8">
        <v>3498</v>
      </c>
      <c r="S8">
        <v>4065</v>
      </c>
      <c r="T8">
        <v>341</v>
      </c>
      <c r="U8">
        <v>2644</v>
      </c>
      <c r="V8">
        <v>1558</v>
      </c>
      <c r="W8">
        <v>4807</v>
      </c>
      <c r="X8">
        <v>1803</v>
      </c>
      <c r="Y8">
        <v>2911</v>
      </c>
      <c r="Z8">
        <v>3892</v>
      </c>
      <c r="AA8">
        <v>505</v>
      </c>
      <c r="AB8">
        <v>1011</v>
      </c>
      <c r="AC8">
        <v>1681</v>
      </c>
      <c r="AD8">
        <v>275</v>
      </c>
      <c r="AE8">
        <v>2725</v>
      </c>
      <c r="AF8">
        <v>1679</v>
      </c>
      <c r="AG8">
        <v>6664</v>
      </c>
      <c r="AH8">
        <v>6252</v>
      </c>
      <c r="AI8">
        <v>356</v>
      </c>
      <c r="AJ8">
        <v>7006</v>
      </c>
      <c r="AK8">
        <v>3549</v>
      </c>
      <c r="AL8">
        <v>1460</v>
      </c>
      <c r="AM8">
        <v>5325</v>
      </c>
      <c r="AN8">
        <v>360</v>
      </c>
      <c r="AO8">
        <v>3462</v>
      </c>
      <c r="AP8">
        <v>540</v>
      </c>
      <c r="AQ8">
        <v>4978</v>
      </c>
      <c r="AR8">
        <v>24382</v>
      </c>
      <c r="AS8">
        <v>1508</v>
      </c>
      <c r="AT8">
        <v>153</v>
      </c>
      <c r="AU8">
        <v>3654</v>
      </c>
      <c r="AV8">
        <v>2810</v>
      </c>
      <c r="AW8">
        <v>1297</v>
      </c>
      <c r="AX8">
        <v>2339</v>
      </c>
      <c r="AY8">
        <v>341</v>
      </c>
    </row>
    <row r="9" spans="1:51" x14ac:dyDescent="0.25">
      <c r="A9">
        <v>2020</v>
      </c>
      <c r="B9">
        <v>3838</v>
      </c>
      <c r="C9">
        <v>381</v>
      </c>
      <c r="D9">
        <v>3944</v>
      </c>
      <c r="E9">
        <v>2719</v>
      </c>
      <c r="F9">
        <v>13708</v>
      </c>
      <c r="G9">
        <v>2239</v>
      </c>
      <c r="H9">
        <v>897</v>
      </c>
      <c r="I9">
        <v>443</v>
      </c>
      <c r="J9">
        <v>9008</v>
      </c>
      <c r="K9">
        <v>6667</v>
      </c>
      <c r="L9">
        <v>474</v>
      </c>
      <c r="M9">
        <v>917</v>
      </c>
      <c r="N9">
        <v>5429</v>
      </c>
      <c r="O9">
        <v>4170</v>
      </c>
      <c r="P9">
        <v>1395</v>
      </c>
      <c r="Q9">
        <v>1764</v>
      </c>
      <c r="R9">
        <v>3331</v>
      </c>
      <c r="S9">
        <v>3740</v>
      </c>
      <c r="T9">
        <v>400</v>
      </c>
      <c r="U9">
        <v>2469</v>
      </c>
      <c r="V9">
        <v>1372</v>
      </c>
      <c r="W9">
        <v>4232</v>
      </c>
      <c r="X9">
        <v>1631</v>
      </c>
      <c r="Y9">
        <v>2756</v>
      </c>
      <c r="Z9">
        <v>3591</v>
      </c>
      <c r="AA9">
        <v>414</v>
      </c>
      <c r="AB9">
        <v>997</v>
      </c>
      <c r="AC9">
        <v>1514</v>
      </c>
      <c r="AD9">
        <v>274</v>
      </c>
      <c r="AE9">
        <v>2482</v>
      </c>
      <c r="AF9">
        <v>1496</v>
      </c>
      <c r="AG9">
        <v>5758</v>
      </c>
      <c r="AH9">
        <v>5902</v>
      </c>
      <c r="AI9">
        <v>325</v>
      </c>
      <c r="AJ9">
        <v>6494</v>
      </c>
      <c r="AK9">
        <v>3254</v>
      </c>
      <c r="AL9">
        <v>1220</v>
      </c>
      <c r="AM9">
        <v>4952</v>
      </c>
      <c r="AN9">
        <v>333</v>
      </c>
      <c r="AO9">
        <v>3105</v>
      </c>
      <c r="AP9">
        <v>540</v>
      </c>
      <c r="AQ9">
        <v>4877</v>
      </c>
      <c r="AR9">
        <v>22898</v>
      </c>
      <c r="AS9">
        <v>1370</v>
      </c>
      <c r="AT9">
        <v>139</v>
      </c>
      <c r="AU9">
        <v>3520</v>
      </c>
      <c r="AV9">
        <v>2503</v>
      </c>
      <c r="AW9">
        <v>1153</v>
      </c>
      <c r="AX9">
        <v>2143</v>
      </c>
      <c r="AY9">
        <v>325</v>
      </c>
    </row>
    <row r="10" spans="1:51" x14ac:dyDescent="0.25">
      <c r="A10">
        <v>2021</v>
      </c>
      <c r="B10">
        <v>3700</v>
      </c>
      <c r="C10">
        <v>379</v>
      </c>
      <c r="D10">
        <v>3595</v>
      </c>
      <c r="E10">
        <v>2642</v>
      </c>
      <c r="F10">
        <v>12611</v>
      </c>
      <c r="G10">
        <v>2091</v>
      </c>
      <c r="H10">
        <v>856</v>
      </c>
      <c r="I10">
        <v>430</v>
      </c>
      <c r="J10">
        <v>8191</v>
      </c>
      <c r="K10">
        <v>6223</v>
      </c>
      <c r="L10">
        <v>468</v>
      </c>
      <c r="M10">
        <v>794</v>
      </c>
      <c r="N10">
        <v>4566</v>
      </c>
      <c r="O10">
        <v>3881</v>
      </c>
      <c r="P10">
        <v>1382</v>
      </c>
      <c r="Q10">
        <v>1629</v>
      </c>
      <c r="R10">
        <v>3235</v>
      </c>
      <c r="S10">
        <v>3640</v>
      </c>
      <c r="T10">
        <v>301</v>
      </c>
      <c r="U10">
        <v>2213</v>
      </c>
      <c r="V10">
        <v>1322</v>
      </c>
      <c r="W10">
        <v>3924</v>
      </c>
      <c r="X10">
        <v>1587</v>
      </c>
      <c r="Y10">
        <v>2597</v>
      </c>
      <c r="Z10">
        <v>3350</v>
      </c>
      <c r="AA10">
        <v>448</v>
      </c>
      <c r="AB10">
        <v>950</v>
      </c>
      <c r="AC10">
        <v>1393</v>
      </c>
      <c r="AD10">
        <v>229</v>
      </c>
      <c r="AE10">
        <v>2289</v>
      </c>
      <c r="AF10">
        <v>1339</v>
      </c>
      <c r="AG10">
        <v>5433</v>
      </c>
      <c r="AH10">
        <v>5542</v>
      </c>
      <c r="AI10">
        <v>321</v>
      </c>
      <c r="AJ10">
        <v>5890</v>
      </c>
      <c r="AK10">
        <v>3233</v>
      </c>
      <c r="AL10">
        <v>1170</v>
      </c>
      <c r="AM10">
        <v>4698</v>
      </c>
      <c r="AN10">
        <v>291</v>
      </c>
      <c r="AO10">
        <v>2994</v>
      </c>
      <c r="AP10">
        <v>507</v>
      </c>
      <c r="AQ10">
        <v>4685</v>
      </c>
      <c r="AR10">
        <v>21301</v>
      </c>
      <c r="AS10">
        <v>1287</v>
      </c>
      <c r="AT10">
        <v>133</v>
      </c>
      <c r="AU10">
        <v>3223</v>
      </c>
      <c r="AV10">
        <v>2305</v>
      </c>
      <c r="AW10">
        <v>1090</v>
      </c>
      <c r="AX10">
        <v>1930</v>
      </c>
      <c r="AY10">
        <v>297</v>
      </c>
    </row>
    <row r="13" spans="1:51" x14ac:dyDescent="0.25">
      <c r="C13" t="s">
        <v>52</v>
      </c>
      <c r="G1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59C6-59C4-4184-82A6-DD1C3E36DF8D}">
  <dimension ref="A1:AY13"/>
  <sheetViews>
    <sheetView topLeftCell="AC1" workbookViewId="0">
      <selection activeCell="AQ2" sqref="AQ2:AQ8"/>
    </sheetView>
  </sheetViews>
  <sheetFormatPr defaultRowHeight="15" x14ac:dyDescent="0.25"/>
  <cols>
    <col min="1" max="1" width="5" bestFit="1" customWidth="1"/>
    <col min="2" max="2" width="8.7109375" bestFit="1" customWidth="1"/>
    <col min="3" max="3" width="6.7109375" bestFit="1" customWidth="1"/>
    <col min="4" max="4" width="7.7109375" bestFit="1" customWidth="1"/>
    <col min="5" max="5" width="8.85546875" bestFit="1" customWidth="1"/>
    <col min="6" max="6" width="9.5703125" bestFit="1" customWidth="1"/>
    <col min="7" max="7" width="9" bestFit="1" customWidth="1"/>
    <col min="8" max="8" width="11.5703125" bestFit="1" customWidth="1"/>
    <col min="9" max="9" width="9.42578125" bestFit="1" customWidth="1"/>
    <col min="10" max="10" width="7.140625" bestFit="1" customWidth="1"/>
    <col min="11" max="11" width="8" bestFit="1" customWidth="1"/>
    <col min="12" max="12" width="7" bestFit="1" customWidth="1"/>
    <col min="13" max="13" width="6" bestFit="1" customWidth="1"/>
    <col min="14" max="14" width="7" bestFit="1" customWidth="1"/>
    <col min="15" max="15" width="7.5703125" bestFit="1" customWidth="1"/>
    <col min="16" max="16" width="6" bestFit="1" customWidth="1"/>
    <col min="17" max="17" width="7" bestFit="1" customWidth="1"/>
    <col min="19" max="19" width="9.28515625" bestFit="1" customWidth="1"/>
    <col min="20" max="20" width="6.7109375" bestFit="1" customWidth="1"/>
    <col min="21" max="21" width="9.42578125" bestFit="1" customWidth="1"/>
    <col min="22" max="22" width="14.140625" bestFit="1" customWidth="1"/>
    <col min="24" max="24" width="10.5703125" bestFit="1" customWidth="1"/>
    <col min="25" max="25" width="10.85546875" bestFit="1" customWidth="1"/>
    <col min="26" max="26" width="8.7109375" bestFit="1" customWidth="1"/>
    <col min="27" max="27" width="9" bestFit="1" customWidth="1"/>
    <col min="28" max="28" width="9.28515625" bestFit="1" customWidth="1"/>
    <col min="29" max="29" width="7.7109375" bestFit="1" customWidth="1"/>
    <col min="30" max="30" width="15.28515625" bestFit="1" customWidth="1"/>
    <col min="31" max="31" width="11.140625" bestFit="1" customWidth="1"/>
    <col min="32" max="32" width="12.140625" bestFit="1" customWidth="1"/>
    <col min="33" max="33" width="9.5703125" bestFit="1" customWidth="1"/>
    <col min="34" max="34" width="14" bestFit="1" customWidth="1"/>
    <col min="35" max="35" width="12.7109375" bestFit="1" customWidth="1"/>
    <col min="36" max="36" width="7" bestFit="1" customWidth="1"/>
    <col min="37" max="37" width="10" bestFit="1" customWidth="1"/>
    <col min="38" max="38" width="7.5703125" bestFit="1" customWidth="1"/>
    <col min="39" max="39" width="12.7109375" bestFit="1" customWidth="1"/>
    <col min="40" max="40" width="12.42578125" bestFit="1" customWidth="1"/>
    <col min="41" max="41" width="14" bestFit="1" customWidth="1"/>
    <col min="42" max="42" width="12.7109375" bestFit="1" customWidth="1"/>
    <col min="43" max="43" width="10.5703125" bestFit="1" customWidth="1"/>
    <col min="44" max="44" width="7" bestFit="1" customWidth="1"/>
    <col min="45" max="45" width="6" bestFit="1" customWidth="1"/>
    <col min="46" max="46" width="8.85546875" bestFit="1" customWidth="1"/>
    <col min="47" max="47" width="7.85546875" bestFit="1" customWidth="1"/>
    <col min="48" max="48" width="11.7109375" bestFit="1" customWidth="1"/>
    <col min="49" max="49" width="13.140625" bestFit="1" customWidth="1"/>
  </cols>
  <sheetData>
    <row r="1" spans="1:5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48</v>
      </c>
    </row>
    <row r="2" spans="1:51" x14ac:dyDescent="0.25">
      <c r="A2">
        <v>2013</v>
      </c>
      <c r="B2">
        <f>54+1059</f>
        <v>1113</v>
      </c>
      <c r="C2">
        <f>9+189</f>
        <v>198</v>
      </c>
      <c r="D2">
        <f>20+1428</f>
        <v>1448</v>
      </c>
      <c r="E2">
        <f>14+437</f>
        <v>451</v>
      </c>
      <c r="G2">
        <f>24+1182</f>
        <v>1206</v>
      </c>
      <c r="H2">
        <f>22+1223</f>
        <v>1245</v>
      </c>
      <c r="I2">
        <f>12+414</f>
        <v>426</v>
      </c>
      <c r="K2">
        <f>157+3188</f>
        <v>3345</v>
      </c>
      <c r="L2">
        <v>236</v>
      </c>
      <c r="M2">
        <v>173</v>
      </c>
      <c r="N2">
        <f>149+4698</f>
        <v>4847</v>
      </c>
      <c r="O2">
        <f>14+945</f>
        <v>959</v>
      </c>
      <c r="P2">
        <f>17+528</f>
        <v>545</v>
      </c>
      <c r="Q2">
        <f>19+797</f>
        <v>816</v>
      </c>
      <c r="R2">
        <f>16+465</f>
        <v>481</v>
      </c>
      <c r="S2">
        <f>52+1034</f>
        <v>1086</v>
      </c>
      <c r="T2">
        <f>254</f>
        <v>254</v>
      </c>
      <c r="V2">
        <f>35+1930</f>
        <v>1965</v>
      </c>
      <c r="W2">
        <f>82+3096</f>
        <v>3178</v>
      </c>
      <c r="X2">
        <f>27+1020</f>
        <v>1047</v>
      </c>
      <c r="Y2">
        <f>9+259</f>
        <v>268</v>
      </c>
      <c r="Z2">
        <f>20+643</f>
        <v>663</v>
      </c>
      <c r="AA2">
        <f>10+241</f>
        <v>251</v>
      </c>
      <c r="AB2">
        <f>10+246</f>
        <v>256</v>
      </c>
      <c r="AC2">
        <f>15+615</f>
        <v>630</v>
      </c>
      <c r="AE2">
        <f>82+2327</f>
        <v>2409</v>
      </c>
      <c r="AF2">
        <f>24+589</f>
        <v>613</v>
      </c>
      <c r="AG2">
        <f>322+11649</f>
        <v>11971</v>
      </c>
      <c r="AH2">
        <f>64+2343</f>
        <v>2407</v>
      </c>
      <c r="AI2">
        <f>5+133</f>
        <v>138</v>
      </c>
      <c r="AJ2">
        <f>111+2799</f>
        <v>2910</v>
      </c>
      <c r="AK2">
        <f>26+614</f>
        <v>640</v>
      </c>
      <c r="AL2">
        <f>17+977</f>
        <v>994</v>
      </c>
      <c r="AM2">
        <f>132+3608</f>
        <v>3740</v>
      </c>
      <c r="AN2">
        <f>9+377</f>
        <v>386</v>
      </c>
      <c r="AO2">
        <f>15+714</f>
        <v>729</v>
      </c>
      <c r="AP2">
        <f>66</f>
        <v>66</v>
      </c>
      <c r="AQ2">
        <f>69+1529</f>
        <v>1598</v>
      </c>
      <c r="AR2">
        <f>194+6939</f>
        <v>7133</v>
      </c>
      <c r="AS2">
        <f>9+365</f>
        <v>374</v>
      </c>
      <c r="AT2">
        <f>170</f>
        <v>170</v>
      </c>
      <c r="AU2">
        <f>48+1949</f>
        <v>1997</v>
      </c>
      <c r="AV2">
        <f>47+2204</f>
        <v>2251</v>
      </c>
      <c r="AW2">
        <f>8+225</f>
        <v>233</v>
      </c>
      <c r="AX2">
        <f>15+707</f>
        <v>722</v>
      </c>
    </row>
    <row r="3" spans="1:51" x14ac:dyDescent="0.25">
      <c r="A3">
        <v>2014</v>
      </c>
      <c r="B3">
        <f>34+954</f>
        <v>988</v>
      </c>
      <c r="C3">
        <f>6+199</f>
        <v>205</v>
      </c>
      <c r="D3">
        <f>22+1247</f>
        <v>1269</v>
      </c>
      <c r="E3">
        <f>13+473</f>
        <v>486</v>
      </c>
      <c r="G3">
        <f>31+1124</f>
        <v>1155</v>
      </c>
      <c r="H3">
        <f>27+1125</f>
        <v>1152</v>
      </c>
      <c r="I3">
        <f>9+366</f>
        <v>375</v>
      </c>
      <c r="K3">
        <f>123+2945</f>
        <v>3068</v>
      </c>
      <c r="L3">
        <v>248</v>
      </c>
      <c r="M3">
        <f>7+175</f>
        <v>182</v>
      </c>
      <c r="N3">
        <f>109+3664</f>
        <v>3773</v>
      </c>
      <c r="O3">
        <f>21+907</f>
        <v>928</v>
      </c>
      <c r="P3">
        <f>13+478</f>
        <v>491</v>
      </c>
      <c r="Q3">
        <f>16+760</f>
        <v>776</v>
      </c>
      <c r="R3">
        <f>17+408</f>
        <v>425</v>
      </c>
      <c r="S3">
        <f>45+960</f>
        <v>1005</v>
      </c>
      <c r="T3">
        <v>233</v>
      </c>
      <c r="V3">
        <f>37+1780</f>
        <v>1817</v>
      </c>
      <c r="W3">
        <f>60+2967</f>
        <v>3027</v>
      </c>
      <c r="X3">
        <f>32+942</f>
        <v>974</v>
      </c>
      <c r="Y3">
        <f>11+259</f>
        <v>270</v>
      </c>
      <c r="Z3">
        <f>14+555</f>
        <v>569</v>
      </c>
      <c r="AA3">
        <f>229</f>
        <v>229</v>
      </c>
      <c r="AB3">
        <f>10+221</f>
        <v>231</v>
      </c>
      <c r="AC3">
        <f>10+753</f>
        <v>763</v>
      </c>
      <c r="AE3">
        <v>2273</v>
      </c>
      <c r="AF3">
        <f>26+596</f>
        <v>622</v>
      </c>
      <c r="AG3">
        <f>289+10390</f>
        <v>10679</v>
      </c>
      <c r="AH3">
        <f>75+2266</f>
        <v>2341</v>
      </c>
      <c r="AI3">
        <v>128</v>
      </c>
      <c r="AJ3">
        <f>77+2253</f>
        <v>2330</v>
      </c>
      <c r="AK3">
        <f>25+630</f>
        <v>655</v>
      </c>
      <c r="AL3">
        <f>22+864</f>
        <v>886</v>
      </c>
      <c r="AM3">
        <f>110+3332</f>
        <v>3442</v>
      </c>
      <c r="AN3">
        <f>7+252</f>
        <v>259</v>
      </c>
      <c r="AO3">
        <f>13+639</f>
        <v>652</v>
      </c>
      <c r="AP3">
        <f>62</f>
        <v>62</v>
      </c>
      <c r="AQ3">
        <f>56+1210</f>
        <v>1266</v>
      </c>
      <c r="AS3">
        <f>9+347</f>
        <v>356</v>
      </c>
      <c r="AT3">
        <f>153</f>
        <v>153</v>
      </c>
      <c r="AU3">
        <f>44+1627</f>
        <v>1671</v>
      </c>
      <c r="AV3">
        <f>37+1966</f>
        <v>2003</v>
      </c>
      <c r="AW3">
        <f>9+210</f>
        <v>219</v>
      </c>
      <c r="AX3">
        <f>15+642</f>
        <v>657</v>
      </c>
    </row>
    <row r="4" spans="1:51" x14ac:dyDescent="0.25">
      <c r="A4">
        <v>2015</v>
      </c>
      <c r="B4">
        <f>23+643</f>
        <v>666</v>
      </c>
      <c r="C4">
        <f>152</f>
        <v>152</v>
      </c>
      <c r="D4">
        <f>25+1177</f>
        <v>1202</v>
      </c>
      <c r="E4">
        <f>16+391</f>
        <v>407</v>
      </c>
      <c r="G4">
        <v>1046</v>
      </c>
      <c r="H4">
        <f>21+992</f>
        <v>1013</v>
      </c>
      <c r="I4">
        <f>5+328</f>
        <v>333</v>
      </c>
      <c r="K4">
        <f>86+2783</f>
        <v>2869</v>
      </c>
      <c r="L4">
        <f>5+215</f>
        <v>220</v>
      </c>
      <c r="M4">
        <v>165</v>
      </c>
      <c r="N4">
        <f>82+3415</f>
        <v>3497</v>
      </c>
      <c r="O4">
        <f>25+821</f>
        <v>846</v>
      </c>
      <c r="P4">
        <f>13+445</f>
        <v>458</v>
      </c>
      <c r="Q4">
        <f>13+657</f>
        <v>670</v>
      </c>
      <c r="R4">
        <f>16+337</f>
        <v>353</v>
      </c>
      <c r="S4">
        <f>37+828</f>
        <v>865</v>
      </c>
      <c r="T4">
        <f>5+206</f>
        <v>211</v>
      </c>
      <c r="V4">
        <v>1574</v>
      </c>
      <c r="W4">
        <f>84+2579</f>
        <v>2663</v>
      </c>
      <c r="X4">
        <f>18+854</f>
        <v>872</v>
      </c>
      <c r="Y4">
        <f>13+258</f>
        <v>271</v>
      </c>
      <c r="Z4">
        <f>14+480</f>
        <v>494</v>
      </c>
      <c r="AA4">
        <v>201</v>
      </c>
      <c r="AB4">
        <f>7+194</f>
        <v>201</v>
      </c>
      <c r="AC4">
        <f>12+636</f>
        <v>648</v>
      </c>
      <c r="AE4">
        <f>53+2234</f>
        <v>2287</v>
      </c>
      <c r="AF4">
        <f>24+614</f>
        <v>638</v>
      </c>
      <c r="AG4">
        <f>241+9303</f>
        <v>9544</v>
      </c>
      <c r="AH4">
        <f>70+2486</f>
        <v>2556</v>
      </c>
      <c r="AI4">
        <f>6+107</f>
        <v>113</v>
      </c>
      <c r="AJ4">
        <f>73+2114</f>
        <v>2187</v>
      </c>
      <c r="AK4">
        <f>10+515</f>
        <v>525</v>
      </c>
      <c r="AL4">
        <f>21+901</f>
        <v>922</v>
      </c>
      <c r="AM4">
        <f>86+3028</f>
        <v>3114</v>
      </c>
      <c r="AN4">
        <v>249</v>
      </c>
      <c r="AO4">
        <f>12+602</f>
        <v>614</v>
      </c>
      <c r="AP4">
        <v>41</v>
      </c>
      <c r="AQ4">
        <f>34+1075</f>
        <v>1109</v>
      </c>
      <c r="AR4">
        <f>151+5001</f>
        <v>5152</v>
      </c>
      <c r="AS4">
        <f>363</f>
        <v>363</v>
      </c>
      <c r="AT4">
        <f>127</f>
        <v>127</v>
      </c>
      <c r="AU4">
        <f>38+1558</f>
        <v>1596</v>
      </c>
      <c r="AV4">
        <f>36+1905</f>
        <v>1941</v>
      </c>
      <c r="AW4">
        <f>6+145</f>
        <v>151</v>
      </c>
      <c r="AX4">
        <f>13+623</f>
        <v>636</v>
      </c>
    </row>
    <row r="5" spans="1:51" x14ac:dyDescent="0.25">
      <c r="A5">
        <v>2016</v>
      </c>
      <c r="B5">
        <f>23+711</f>
        <v>734</v>
      </c>
      <c r="C5">
        <v>147</v>
      </c>
      <c r="D5">
        <f>31+1283</f>
        <v>1314</v>
      </c>
      <c r="E5">
        <f>14+335</f>
        <v>349</v>
      </c>
      <c r="G5">
        <v>822</v>
      </c>
      <c r="H5">
        <f>18+902</f>
        <v>920</v>
      </c>
      <c r="I5">
        <f>245</f>
        <v>245</v>
      </c>
      <c r="K5">
        <v>2985</v>
      </c>
      <c r="L5">
        <f>259</f>
        <v>259</v>
      </c>
      <c r="M5">
        <f>164</f>
        <v>164</v>
      </c>
      <c r="N5">
        <f>104+3007</f>
        <v>3111</v>
      </c>
      <c r="O5">
        <f>25+743</f>
        <v>768</v>
      </c>
      <c r="P5">
        <f>7+405</f>
        <v>412</v>
      </c>
      <c r="Q5">
        <f>14+628</f>
        <v>642</v>
      </c>
      <c r="R5">
        <f>15+343</f>
        <v>358</v>
      </c>
      <c r="S5">
        <f>34+811</f>
        <v>845</v>
      </c>
      <c r="T5">
        <v>219</v>
      </c>
      <c r="V5">
        <f>25+1470</f>
        <v>1495</v>
      </c>
      <c r="W5">
        <f>57+2448</f>
        <v>2505</v>
      </c>
      <c r="X5">
        <f>29+870</f>
        <v>899</v>
      </c>
      <c r="Y5">
        <f>11+237</f>
        <v>248</v>
      </c>
      <c r="Z5">
        <f>8+451</f>
        <v>459</v>
      </c>
      <c r="AA5">
        <v>169</v>
      </c>
      <c r="AB5">
        <v>169</v>
      </c>
      <c r="AC5">
        <f>12+658</f>
        <v>670</v>
      </c>
      <c r="AE5">
        <f>61+2316</f>
        <v>2377</v>
      </c>
      <c r="AF5">
        <f>25+595</f>
        <v>620</v>
      </c>
      <c r="AG5">
        <f>212+8294</f>
        <v>8506</v>
      </c>
      <c r="AH5">
        <f>74+2344</f>
        <v>2418</v>
      </c>
      <c r="AI5">
        <f>5+110</f>
        <v>115</v>
      </c>
      <c r="AJ5">
        <f>76+1995</f>
        <v>2071</v>
      </c>
      <c r="AK5">
        <f>15+411</f>
        <v>426</v>
      </c>
      <c r="AL5">
        <f>20+865</f>
        <v>885</v>
      </c>
      <c r="AM5">
        <f>77+2728</f>
        <v>2805</v>
      </c>
      <c r="AN5">
        <f>5+228</f>
        <v>233</v>
      </c>
      <c r="AO5">
        <f>8+548</f>
        <v>556</v>
      </c>
      <c r="AP5">
        <v>46</v>
      </c>
      <c r="AQ5">
        <f>25+1020</f>
        <v>1045</v>
      </c>
      <c r="AR5">
        <f>107+4903</f>
        <v>5010</v>
      </c>
      <c r="AS5">
        <f>9+318</f>
        <v>327</v>
      </c>
      <c r="AT5">
        <v>152</v>
      </c>
      <c r="AU5">
        <f>35+1382</f>
        <v>1417</v>
      </c>
      <c r="AV5">
        <f>24+1820</f>
        <v>1844</v>
      </c>
      <c r="AW5">
        <f>5+141</f>
        <v>146</v>
      </c>
      <c r="AX5">
        <f>11+565</f>
        <v>576</v>
      </c>
    </row>
    <row r="6" spans="1:51" x14ac:dyDescent="0.25">
      <c r="A6">
        <v>2017</v>
      </c>
    </row>
    <row r="7" spans="1:51" x14ac:dyDescent="0.25">
      <c r="A7">
        <v>2018</v>
      </c>
      <c r="B7">
        <f>24+634</f>
        <v>658</v>
      </c>
      <c r="C7">
        <f>154</f>
        <v>154</v>
      </c>
      <c r="D7">
        <f>28+1126</f>
        <v>1154</v>
      </c>
      <c r="E7">
        <f>17+290</f>
        <v>307</v>
      </c>
      <c r="G7">
        <v>876</v>
      </c>
      <c r="H7">
        <v>869</v>
      </c>
      <c r="I7">
        <v>201</v>
      </c>
      <c r="J7">
        <f>101+5370</f>
        <v>5471</v>
      </c>
      <c r="K7">
        <f>74+2717</f>
        <v>2791</v>
      </c>
      <c r="L7">
        <v>200</v>
      </c>
      <c r="M7">
        <v>138</v>
      </c>
      <c r="N7">
        <f>3223+94</f>
        <v>3317</v>
      </c>
      <c r="O7">
        <f>22+787</f>
        <v>809</v>
      </c>
      <c r="P7">
        <f>7+283</f>
        <v>290</v>
      </c>
      <c r="Q7">
        <f>15+647</f>
        <v>662</v>
      </c>
      <c r="R7">
        <f>14+287</f>
        <v>301</v>
      </c>
      <c r="S7">
        <f>18+721</f>
        <v>739</v>
      </c>
      <c r="T7">
        <v>194</v>
      </c>
      <c r="V7">
        <f>25+1256</f>
        <v>1281</v>
      </c>
      <c r="W7">
        <f>54+2265</f>
        <v>2319</v>
      </c>
      <c r="X7">
        <f>16+793</f>
        <v>809</v>
      </c>
      <c r="Y7">
        <f>13+285</f>
        <v>298</v>
      </c>
      <c r="Z7">
        <f>14+286</f>
        <v>300</v>
      </c>
      <c r="AA7">
        <v>183</v>
      </c>
      <c r="AB7">
        <v>229</v>
      </c>
      <c r="AC7">
        <f>17+713</f>
        <v>730</v>
      </c>
      <c r="AE7">
        <v>2092</v>
      </c>
      <c r="AF7">
        <f>9+502</f>
        <v>511</v>
      </c>
      <c r="AG7">
        <f>168+6843</f>
        <v>7011</v>
      </c>
      <c r="AH7">
        <f>72+2240</f>
        <v>2312</v>
      </c>
      <c r="AI7">
        <v>103</v>
      </c>
      <c r="AJ7">
        <f>54+1884</f>
        <v>1938</v>
      </c>
      <c r="AK7">
        <f>25+471</f>
        <v>496</v>
      </c>
      <c r="AL7">
        <f>12+809</f>
        <v>821</v>
      </c>
      <c r="AM7">
        <f>72+2529</f>
        <v>2601</v>
      </c>
      <c r="AN7">
        <v>218</v>
      </c>
      <c r="AO7">
        <f>14+449</f>
        <v>463</v>
      </c>
      <c r="AP7">
        <v>41</v>
      </c>
      <c r="AQ7">
        <f>22+972</f>
        <v>994</v>
      </c>
      <c r="AR7">
        <f>112+4856</f>
        <v>4968</v>
      </c>
      <c r="AS7">
        <f>6+412</f>
        <v>418</v>
      </c>
      <c r="AT7">
        <v>101</v>
      </c>
      <c r="AU7">
        <f>16+1196</f>
        <v>1212</v>
      </c>
      <c r="AV7">
        <f>36+1725</f>
        <v>1761</v>
      </c>
      <c r="AW7">
        <v>145</v>
      </c>
      <c r="AX7">
        <f>17+561</f>
        <v>578</v>
      </c>
    </row>
    <row r="8" spans="1:51" x14ac:dyDescent="0.25">
      <c r="A8">
        <v>2019</v>
      </c>
      <c r="B8">
        <f>23+526</f>
        <v>549</v>
      </c>
      <c r="C8">
        <f>123</f>
        <v>123</v>
      </c>
      <c r="D8">
        <f>19+1163</f>
        <v>1182</v>
      </c>
      <c r="E8">
        <f>10+294</f>
        <v>304</v>
      </c>
      <c r="G8">
        <f>27+812</f>
        <v>839</v>
      </c>
      <c r="H8">
        <f>20+788</f>
        <v>808</v>
      </c>
      <c r="I8">
        <v>248</v>
      </c>
      <c r="J8">
        <f>118+5231</f>
        <v>5349</v>
      </c>
      <c r="K8">
        <f>71+2832</f>
        <v>2903</v>
      </c>
      <c r="L8">
        <f>6+190</f>
        <v>196</v>
      </c>
      <c r="M8">
        <f>187</f>
        <v>187</v>
      </c>
      <c r="N8">
        <f>75+3492</f>
        <v>3567</v>
      </c>
      <c r="O8">
        <f>18+768</f>
        <v>786</v>
      </c>
      <c r="P8">
        <f>12+357</f>
        <v>369</v>
      </c>
      <c r="Q8">
        <f>12+632</f>
        <v>644</v>
      </c>
      <c r="R8">
        <f>11+294</f>
        <v>305</v>
      </c>
      <c r="S8">
        <f>26+726</f>
        <v>752</v>
      </c>
      <c r="T8">
        <f>5+198</f>
        <v>203</v>
      </c>
      <c r="V8">
        <f>28+1306</f>
        <v>1334</v>
      </c>
      <c r="W8">
        <f>51+2328</f>
        <v>2379</v>
      </c>
      <c r="X8">
        <f>26+823</f>
        <v>849</v>
      </c>
      <c r="Y8">
        <f>7+295</f>
        <v>302</v>
      </c>
      <c r="Z8">
        <f>141+5</f>
        <v>146</v>
      </c>
      <c r="AA8">
        <f>157+5</f>
        <v>162</v>
      </c>
      <c r="AB8">
        <f>7+187</f>
        <v>194</v>
      </c>
      <c r="AC8">
        <f>19+691</f>
        <v>710</v>
      </c>
      <c r="AE8">
        <f>50+1958</f>
        <v>2008</v>
      </c>
      <c r="AF8">
        <f>22+507</f>
        <v>529</v>
      </c>
      <c r="AG8">
        <f>186+6919</f>
        <v>7105</v>
      </c>
      <c r="AH8">
        <f>60+2252</f>
        <v>2312</v>
      </c>
      <c r="AI8">
        <v>121</v>
      </c>
      <c r="AJ8">
        <f>63+1737</f>
        <v>1800</v>
      </c>
      <c r="AK8">
        <f>89+440</f>
        <v>529</v>
      </c>
      <c r="AL8">
        <f>19+837</f>
        <v>856</v>
      </c>
      <c r="AM8">
        <f>71+2474</f>
        <v>2545</v>
      </c>
      <c r="AN8">
        <v>185</v>
      </c>
      <c r="AO8">
        <f>10+499</f>
        <v>509</v>
      </c>
      <c r="AP8">
        <f>0</f>
        <v>0</v>
      </c>
      <c r="AQ8">
        <f>17+830</f>
        <v>847</v>
      </c>
      <c r="AR8">
        <f>106+5041</f>
        <v>5147</v>
      </c>
      <c r="AS8">
        <f>6+371</f>
        <v>377</v>
      </c>
      <c r="AT8">
        <f>108</f>
        <v>108</v>
      </c>
      <c r="AU8">
        <f>25+1108</f>
        <v>1133</v>
      </c>
      <c r="AV8">
        <f>32+1647</f>
        <v>1679</v>
      </c>
      <c r="AW8">
        <f>8+115</f>
        <v>123</v>
      </c>
      <c r="AX8">
        <f>17+690</f>
        <v>707</v>
      </c>
    </row>
    <row r="9" spans="1:51" x14ac:dyDescent="0.25">
      <c r="A9">
        <v>2020</v>
      </c>
      <c r="B9">
        <f>483+21</f>
        <v>504</v>
      </c>
      <c r="C9">
        <f>7+121</f>
        <v>128</v>
      </c>
      <c r="D9">
        <f>24+1202</f>
        <v>1226</v>
      </c>
      <c r="E9">
        <f>11+293</f>
        <v>304</v>
      </c>
      <c r="G9">
        <f>929+28</f>
        <v>957</v>
      </c>
      <c r="H9">
        <f>770+15</f>
        <v>785</v>
      </c>
      <c r="I9">
        <f>8+221</f>
        <v>229</v>
      </c>
      <c r="J9">
        <f>124+5157</f>
        <v>5281</v>
      </c>
      <c r="K9">
        <f>66+2666</f>
        <v>2732</v>
      </c>
      <c r="L9">
        <f>157</f>
        <v>157</v>
      </c>
      <c r="M9">
        <f>9+195</f>
        <v>204</v>
      </c>
      <c r="N9">
        <f>88+3775</f>
        <v>3863</v>
      </c>
      <c r="O9">
        <f>16+699</f>
        <v>715</v>
      </c>
      <c r="P9">
        <f>14+409</f>
        <v>423</v>
      </c>
      <c r="Q9">
        <f>20+694</f>
        <v>714</v>
      </c>
      <c r="R9">
        <f>13+353</f>
        <v>366</v>
      </c>
      <c r="S9">
        <f>22+634</f>
        <v>656</v>
      </c>
      <c r="T9">
        <f>7+164</f>
        <v>171</v>
      </c>
      <c r="V9">
        <f>19+1118</f>
        <v>1137</v>
      </c>
      <c r="W9">
        <f>74+2360</f>
        <v>2434</v>
      </c>
      <c r="X9">
        <f>28+857</f>
        <v>885</v>
      </c>
      <c r="Y9">
        <f>12+296</f>
        <v>308</v>
      </c>
      <c r="Z9">
        <v>8</v>
      </c>
      <c r="AA9">
        <f>6+200</f>
        <v>206</v>
      </c>
      <c r="AB9">
        <f>9+245</f>
        <v>254</v>
      </c>
      <c r="AC9">
        <f>22+795</f>
        <v>817</v>
      </c>
      <c r="AE9">
        <f>42+1983</f>
        <v>2025</v>
      </c>
      <c r="AF9">
        <f>23+491</f>
        <v>514</v>
      </c>
      <c r="AG9">
        <f>126+5338</f>
        <v>5464</v>
      </c>
      <c r="AH9">
        <f>56+2201</f>
        <v>2257</v>
      </c>
      <c r="AI9">
        <v>109</v>
      </c>
      <c r="AJ9">
        <f>52+1702</f>
        <v>1754</v>
      </c>
      <c r="AK9">
        <f>21+373</f>
        <v>394</v>
      </c>
      <c r="AL9">
        <f>20+653</f>
        <v>673</v>
      </c>
      <c r="AM9">
        <f>102+2437</f>
        <v>2539</v>
      </c>
      <c r="AN9">
        <v>203</v>
      </c>
      <c r="AO9">
        <f>14+495</f>
        <v>509</v>
      </c>
      <c r="AP9">
        <v>9</v>
      </c>
      <c r="AR9">
        <f>107+4611</f>
        <v>4718</v>
      </c>
      <c r="AS9">
        <f>6+276</f>
        <v>282</v>
      </c>
      <c r="AT9">
        <f>6+94</f>
        <v>100</v>
      </c>
      <c r="AU9">
        <f>21+1065</f>
        <v>1086</v>
      </c>
      <c r="AV9">
        <f>36+1597</f>
        <v>1633</v>
      </c>
      <c r="AW9">
        <v>90</v>
      </c>
      <c r="AX9">
        <f>14+627</f>
        <v>641</v>
      </c>
      <c r="AY9">
        <v>7</v>
      </c>
    </row>
    <row r="13" spans="1:51" x14ac:dyDescent="0.25">
      <c r="B13" t="s">
        <v>54</v>
      </c>
      <c r="H13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E1E8-D9C1-458D-B386-A83B43B64FE1}">
  <dimension ref="A1:AY24"/>
  <sheetViews>
    <sheetView workbookViewId="0">
      <selection activeCell="J26" sqref="J26"/>
    </sheetView>
  </sheetViews>
  <sheetFormatPr defaultRowHeight="15" x14ac:dyDescent="0.25"/>
  <cols>
    <col min="1" max="1" width="5" bestFit="1" customWidth="1"/>
    <col min="2" max="5" width="9.5703125" bestFit="1" customWidth="1"/>
    <col min="6" max="6" width="9.7109375" bestFit="1" customWidth="1"/>
    <col min="7" max="7" width="9.5703125" bestFit="1" customWidth="1"/>
    <col min="8" max="8" width="11.7109375" bestFit="1" customWidth="1"/>
    <col min="9" max="21" width="9.5703125" bestFit="1" customWidth="1"/>
    <col min="22" max="22" width="14.28515625" bestFit="1" customWidth="1"/>
    <col min="23" max="23" width="9.5703125" bestFit="1" customWidth="1"/>
    <col min="24" max="24" width="10.7109375" bestFit="1" customWidth="1"/>
    <col min="25" max="25" width="11" bestFit="1" customWidth="1"/>
    <col min="26" max="29" width="9.5703125" bestFit="1" customWidth="1"/>
    <col min="30" max="30" width="15.42578125" bestFit="1" customWidth="1"/>
    <col min="31" max="31" width="11.28515625" bestFit="1" customWidth="1"/>
    <col min="32" max="32" width="12.28515625" bestFit="1" customWidth="1"/>
    <col min="33" max="33" width="9.7109375" bestFit="1" customWidth="1"/>
    <col min="34" max="34" width="14.140625" bestFit="1" customWidth="1"/>
    <col min="35" max="35" width="12.85546875" bestFit="1" customWidth="1"/>
    <col min="36" max="36" width="9.5703125" bestFit="1" customWidth="1"/>
    <col min="37" max="37" width="10.140625" bestFit="1" customWidth="1"/>
    <col min="38" max="38" width="9.5703125" bestFit="1" customWidth="1"/>
    <col min="39" max="39" width="12.85546875" bestFit="1" customWidth="1"/>
    <col min="40" max="40" width="12.5703125" bestFit="1" customWidth="1"/>
    <col min="41" max="41" width="14.140625" bestFit="1" customWidth="1"/>
    <col min="42" max="42" width="12.85546875" bestFit="1" customWidth="1"/>
    <col min="43" max="43" width="10.7109375" bestFit="1" customWidth="1"/>
    <col min="44" max="47" width="9.5703125" bestFit="1" customWidth="1"/>
    <col min="48" max="48" width="11.85546875" bestFit="1" customWidth="1"/>
    <col min="49" max="49" width="13.28515625" bestFit="1" customWidth="1"/>
    <col min="50" max="51" width="9.5703125" bestFit="1" customWidth="1"/>
  </cols>
  <sheetData>
    <row r="1" spans="1:5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48</v>
      </c>
    </row>
    <row r="2" spans="1:51" x14ac:dyDescent="0.25">
      <c r="A2">
        <v>2013</v>
      </c>
      <c r="B2">
        <v>59</v>
      </c>
      <c r="C2">
        <v>15</v>
      </c>
      <c r="D2">
        <v>34</v>
      </c>
      <c r="E2">
        <v>37</v>
      </c>
      <c r="F2">
        <v>25</v>
      </c>
      <c r="G2">
        <v>32</v>
      </c>
      <c r="H2">
        <v>25</v>
      </c>
      <c r="I2">
        <v>47</v>
      </c>
      <c r="J2">
        <v>52</v>
      </c>
      <c r="K2">
        <v>86</v>
      </c>
      <c r="L2">
        <v>20</v>
      </c>
      <c r="M2">
        <v>26</v>
      </c>
      <c r="N2">
        <v>55</v>
      </c>
      <c r="O2">
        <v>31</v>
      </c>
      <c r="P2">
        <v>22</v>
      </c>
      <c r="Q2">
        <v>57</v>
      </c>
      <c r="R2">
        <v>53</v>
      </c>
      <c r="S2">
        <v>77</v>
      </c>
      <c r="T2">
        <v>10</v>
      </c>
      <c r="U2">
        <v>67</v>
      </c>
      <c r="V2">
        <v>33</v>
      </c>
      <c r="W2">
        <v>55</v>
      </c>
      <c r="X2">
        <v>38</v>
      </c>
      <c r="Y2">
        <v>100</v>
      </c>
      <c r="Z2">
        <v>41</v>
      </c>
      <c r="AA2">
        <v>20</v>
      </c>
      <c r="AB2">
        <v>35</v>
      </c>
      <c r="AC2">
        <v>48</v>
      </c>
      <c r="AD2">
        <v>25</v>
      </c>
      <c r="AE2">
        <v>58</v>
      </c>
      <c r="AF2">
        <v>31</v>
      </c>
      <c r="AG2">
        <v>41</v>
      </c>
      <c r="AH2">
        <v>62</v>
      </c>
      <c r="AI2">
        <v>44</v>
      </c>
      <c r="AJ2">
        <v>41</v>
      </c>
      <c r="AK2">
        <v>59</v>
      </c>
      <c r="AL2">
        <v>15</v>
      </c>
      <c r="AM2">
        <v>42</v>
      </c>
      <c r="AN2">
        <v>25</v>
      </c>
      <c r="AO2">
        <v>61</v>
      </c>
      <c r="AP2">
        <v>37</v>
      </c>
      <c r="AQ2">
        <v>58</v>
      </c>
      <c r="AR2">
        <v>61</v>
      </c>
      <c r="AS2">
        <v>22</v>
      </c>
      <c r="AT2">
        <v>6</v>
      </c>
      <c r="AU2">
        <v>63</v>
      </c>
      <c r="AV2">
        <v>23</v>
      </c>
      <c r="AW2">
        <v>58</v>
      </c>
      <c r="AX2">
        <v>35</v>
      </c>
      <c r="AY2">
        <v>33</v>
      </c>
    </row>
    <row r="3" spans="1:51" x14ac:dyDescent="0.25">
      <c r="A3">
        <v>2014</v>
      </c>
      <c r="B3">
        <v>55</v>
      </c>
      <c r="C3">
        <v>26</v>
      </c>
      <c r="D3">
        <v>34</v>
      </c>
      <c r="E3">
        <v>39</v>
      </c>
      <c r="F3">
        <v>23</v>
      </c>
      <c r="G3">
        <v>34</v>
      </c>
      <c r="H3">
        <v>20</v>
      </c>
      <c r="I3">
        <v>28</v>
      </c>
      <c r="J3">
        <v>51</v>
      </c>
      <c r="K3">
        <v>81</v>
      </c>
      <c r="L3">
        <v>21</v>
      </c>
      <c r="M3">
        <v>21</v>
      </c>
      <c r="N3">
        <v>52</v>
      </c>
      <c r="O3">
        <v>28</v>
      </c>
      <c r="P3">
        <v>22</v>
      </c>
      <c r="Q3">
        <v>55</v>
      </c>
      <c r="R3">
        <v>47</v>
      </c>
      <c r="S3">
        <v>80</v>
      </c>
      <c r="T3">
        <v>16</v>
      </c>
      <c r="U3">
        <v>51</v>
      </c>
      <c r="V3">
        <v>32</v>
      </c>
      <c r="W3">
        <v>51</v>
      </c>
      <c r="X3">
        <v>30</v>
      </c>
      <c r="Y3">
        <v>100</v>
      </c>
      <c r="Z3">
        <v>40</v>
      </c>
      <c r="AA3">
        <v>19</v>
      </c>
      <c r="AB3">
        <v>29</v>
      </c>
      <c r="AC3">
        <v>47</v>
      </c>
      <c r="AD3">
        <v>33</v>
      </c>
      <c r="AE3">
        <v>46</v>
      </c>
      <c r="AF3">
        <v>30</v>
      </c>
      <c r="AG3">
        <v>38</v>
      </c>
      <c r="AH3">
        <v>53</v>
      </c>
      <c r="AI3">
        <v>33</v>
      </c>
      <c r="AJ3">
        <v>35</v>
      </c>
      <c r="AK3">
        <v>52</v>
      </c>
      <c r="AL3">
        <v>13</v>
      </c>
      <c r="AM3">
        <v>39</v>
      </c>
      <c r="AN3">
        <v>22</v>
      </c>
      <c r="AO3">
        <v>61</v>
      </c>
      <c r="AP3">
        <v>10</v>
      </c>
      <c r="AQ3">
        <v>53</v>
      </c>
      <c r="AR3">
        <v>54</v>
      </c>
      <c r="AS3">
        <v>20</v>
      </c>
      <c r="AT3">
        <v>27</v>
      </c>
      <c r="AU3">
        <v>48</v>
      </c>
      <c r="AV3">
        <v>21</v>
      </c>
      <c r="AW3">
        <v>50</v>
      </c>
      <c r="AX3">
        <v>26</v>
      </c>
      <c r="AY3">
        <v>36</v>
      </c>
    </row>
    <row r="4" spans="1:51" x14ac:dyDescent="0.25">
      <c r="A4">
        <v>2015</v>
      </c>
      <c r="B4">
        <v>57</v>
      </c>
      <c r="C4">
        <v>20</v>
      </c>
      <c r="D4">
        <v>35</v>
      </c>
      <c r="E4">
        <v>49</v>
      </c>
      <c r="F4">
        <v>27</v>
      </c>
      <c r="G4">
        <v>30</v>
      </c>
      <c r="H4">
        <v>19</v>
      </c>
      <c r="I4">
        <v>38</v>
      </c>
      <c r="J4">
        <v>58</v>
      </c>
      <c r="K4">
        <v>86</v>
      </c>
      <c r="L4">
        <v>20</v>
      </c>
      <c r="M4">
        <v>21</v>
      </c>
      <c r="N4">
        <v>54</v>
      </c>
      <c r="O4">
        <v>37</v>
      </c>
      <c r="P4">
        <v>20</v>
      </c>
      <c r="Q4">
        <v>30</v>
      </c>
      <c r="R4">
        <v>53</v>
      </c>
      <c r="S4">
        <v>76</v>
      </c>
      <c r="T4">
        <v>29</v>
      </c>
      <c r="U4">
        <v>49</v>
      </c>
      <c r="V4">
        <v>32</v>
      </c>
      <c r="W4">
        <v>61</v>
      </c>
      <c r="X4">
        <v>32</v>
      </c>
      <c r="Y4">
        <v>100</v>
      </c>
      <c r="Z4">
        <v>39</v>
      </c>
      <c r="AA4">
        <v>19</v>
      </c>
      <c r="AB4">
        <v>49</v>
      </c>
      <c r="AC4">
        <v>40</v>
      </c>
      <c r="AD4">
        <v>22</v>
      </c>
      <c r="AE4">
        <v>40</v>
      </c>
      <c r="AF4">
        <v>40</v>
      </c>
      <c r="AG4">
        <v>42</v>
      </c>
      <c r="AH4">
        <v>57</v>
      </c>
      <c r="AI4">
        <v>55</v>
      </c>
      <c r="AJ4">
        <v>38</v>
      </c>
      <c r="AK4">
        <v>64</v>
      </c>
      <c r="AL4">
        <v>15</v>
      </c>
      <c r="AM4">
        <v>40</v>
      </c>
      <c r="AN4">
        <v>21</v>
      </c>
      <c r="AO4">
        <v>87</v>
      </c>
      <c r="AP4">
        <v>35</v>
      </c>
      <c r="AQ4">
        <v>60</v>
      </c>
      <c r="AR4">
        <v>60</v>
      </c>
      <c r="AS4">
        <v>18</v>
      </c>
      <c r="AT4">
        <v>13</v>
      </c>
      <c r="AU4">
        <v>37</v>
      </c>
      <c r="AV4">
        <v>21</v>
      </c>
      <c r="AW4">
        <v>69</v>
      </c>
      <c r="AX4">
        <v>30</v>
      </c>
      <c r="AY4">
        <v>36</v>
      </c>
    </row>
    <row r="5" spans="1:51" x14ac:dyDescent="0.25">
      <c r="A5">
        <v>2016</v>
      </c>
      <c r="B5">
        <v>66</v>
      </c>
      <c r="C5">
        <v>21</v>
      </c>
      <c r="D5">
        <v>36</v>
      </c>
      <c r="E5">
        <v>48</v>
      </c>
      <c r="F5">
        <v>21</v>
      </c>
      <c r="G5">
        <v>24</v>
      </c>
      <c r="H5">
        <v>21</v>
      </c>
      <c r="I5">
        <v>32</v>
      </c>
      <c r="J5">
        <v>54</v>
      </c>
      <c r="K5">
        <v>75</v>
      </c>
      <c r="L5">
        <v>19</v>
      </c>
      <c r="M5">
        <v>17</v>
      </c>
      <c r="N5">
        <v>46</v>
      </c>
      <c r="O5">
        <v>38</v>
      </c>
      <c r="P5">
        <v>23</v>
      </c>
      <c r="Q5">
        <v>24</v>
      </c>
      <c r="R5">
        <v>48</v>
      </c>
      <c r="S5">
        <v>83</v>
      </c>
      <c r="T5">
        <v>22</v>
      </c>
      <c r="U5">
        <v>63</v>
      </c>
      <c r="V5">
        <v>28</v>
      </c>
      <c r="W5">
        <v>60</v>
      </c>
      <c r="X5">
        <v>24</v>
      </c>
      <c r="Y5">
        <v>100</v>
      </c>
      <c r="Z5">
        <v>31</v>
      </c>
      <c r="AA5">
        <v>23</v>
      </c>
      <c r="AB5">
        <v>33</v>
      </c>
      <c r="AC5">
        <v>48</v>
      </c>
      <c r="AD5">
        <v>17</v>
      </c>
      <c r="AE5">
        <v>48</v>
      </c>
      <c r="AF5">
        <v>36</v>
      </c>
      <c r="AG5">
        <v>36</v>
      </c>
      <c r="AH5">
        <v>57</v>
      </c>
      <c r="AI5">
        <v>53</v>
      </c>
      <c r="AJ5">
        <v>43</v>
      </c>
      <c r="AK5">
        <v>50</v>
      </c>
      <c r="AL5">
        <v>15</v>
      </c>
      <c r="AM5">
        <v>37</v>
      </c>
      <c r="AN5">
        <v>26</v>
      </c>
      <c r="AO5">
        <v>64</v>
      </c>
      <c r="AP5">
        <v>36</v>
      </c>
      <c r="AQ5">
        <v>49</v>
      </c>
      <c r="AR5">
        <v>58</v>
      </c>
      <c r="AS5">
        <v>14</v>
      </c>
      <c r="AT5">
        <v>11</v>
      </c>
      <c r="AU5">
        <v>51</v>
      </c>
      <c r="AV5">
        <v>17</v>
      </c>
      <c r="AW5">
        <v>40</v>
      </c>
      <c r="AX5">
        <v>26</v>
      </c>
      <c r="AY5">
        <v>25</v>
      </c>
    </row>
    <row r="6" spans="1:51" x14ac:dyDescent="0.25">
      <c r="A6">
        <v>2017</v>
      </c>
      <c r="B6">
        <v>79</v>
      </c>
      <c r="C6">
        <v>23</v>
      </c>
      <c r="D6">
        <v>31</v>
      </c>
      <c r="E6">
        <v>53</v>
      </c>
      <c r="F6">
        <v>19</v>
      </c>
      <c r="G6">
        <v>22</v>
      </c>
      <c r="H6">
        <v>17</v>
      </c>
      <c r="I6">
        <v>34</v>
      </c>
      <c r="J6">
        <v>54</v>
      </c>
      <c r="K6">
        <v>79</v>
      </c>
      <c r="L6">
        <v>20</v>
      </c>
      <c r="M6">
        <v>15</v>
      </c>
      <c r="N6">
        <v>45</v>
      </c>
      <c r="O6">
        <v>45</v>
      </c>
      <c r="P6">
        <v>23</v>
      </c>
      <c r="Q6">
        <v>41</v>
      </c>
      <c r="R6">
        <v>60</v>
      </c>
      <c r="S6">
        <v>86</v>
      </c>
      <c r="T6">
        <v>16</v>
      </c>
      <c r="U6">
        <v>69</v>
      </c>
      <c r="V6">
        <v>26</v>
      </c>
      <c r="W6">
        <v>57</v>
      </c>
      <c r="X6">
        <v>24</v>
      </c>
      <c r="Y6">
        <v>100</v>
      </c>
      <c r="Z6">
        <v>32</v>
      </c>
      <c r="AA6">
        <v>28</v>
      </c>
      <c r="AB6">
        <v>28</v>
      </c>
      <c r="AC6">
        <v>55</v>
      </c>
      <c r="AD6">
        <v>27</v>
      </c>
      <c r="AE6">
        <v>53</v>
      </c>
      <c r="AF6">
        <v>36</v>
      </c>
      <c r="AG6">
        <v>34</v>
      </c>
      <c r="AH6">
        <v>58</v>
      </c>
      <c r="AI6">
        <v>33</v>
      </c>
      <c r="AJ6">
        <v>48</v>
      </c>
      <c r="AK6">
        <v>56</v>
      </c>
      <c r="AL6">
        <v>18</v>
      </c>
      <c r="AM6">
        <v>36</v>
      </c>
      <c r="AN6">
        <v>22</v>
      </c>
      <c r="AO6">
        <v>70</v>
      </c>
      <c r="AP6">
        <v>35</v>
      </c>
      <c r="AQ6">
        <v>47</v>
      </c>
      <c r="AR6">
        <v>50</v>
      </c>
      <c r="AS6">
        <v>16</v>
      </c>
      <c r="AU6">
        <v>51</v>
      </c>
      <c r="AV6">
        <v>15</v>
      </c>
      <c r="AW6">
        <v>51</v>
      </c>
      <c r="AX6">
        <v>31</v>
      </c>
      <c r="AY6">
        <v>42</v>
      </c>
    </row>
    <row r="7" spans="1:51" x14ac:dyDescent="0.25">
      <c r="A7">
        <v>2018</v>
      </c>
      <c r="B7">
        <v>83</v>
      </c>
      <c r="C7">
        <v>14</v>
      </c>
      <c r="D7">
        <v>34</v>
      </c>
      <c r="E7">
        <v>47</v>
      </c>
      <c r="F7">
        <v>17</v>
      </c>
      <c r="G7">
        <v>21</v>
      </c>
      <c r="H7">
        <v>17</v>
      </c>
      <c r="I7">
        <v>30</v>
      </c>
      <c r="J7">
        <v>55</v>
      </c>
      <c r="K7">
        <v>78</v>
      </c>
      <c r="L7">
        <v>10</v>
      </c>
      <c r="M7">
        <v>17</v>
      </c>
      <c r="N7">
        <v>44</v>
      </c>
      <c r="O7">
        <v>43</v>
      </c>
      <c r="P7">
        <v>16</v>
      </c>
      <c r="Q7">
        <v>34</v>
      </c>
      <c r="R7">
        <v>42</v>
      </c>
      <c r="S7">
        <v>91</v>
      </c>
      <c r="T7">
        <v>10</v>
      </c>
      <c r="U7">
        <v>58</v>
      </c>
      <c r="V7">
        <v>2</v>
      </c>
      <c r="W7">
        <v>54</v>
      </c>
      <c r="X7">
        <v>20</v>
      </c>
      <c r="Y7">
        <v>100</v>
      </c>
      <c r="Z7">
        <v>26</v>
      </c>
      <c r="AA7">
        <v>24</v>
      </c>
      <c r="AB7">
        <v>32</v>
      </c>
      <c r="AC7">
        <v>50</v>
      </c>
      <c r="AD7">
        <v>20</v>
      </c>
      <c r="AE7">
        <v>44</v>
      </c>
      <c r="AF7">
        <v>39</v>
      </c>
      <c r="AG7">
        <v>32</v>
      </c>
      <c r="AH7">
        <v>54</v>
      </c>
      <c r="AI7">
        <v>28</v>
      </c>
      <c r="AJ7">
        <v>45</v>
      </c>
      <c r="AK7">
        <v>51</v>
      </c>
      <c r="AL7">
        <v>17</v>
      </c>
      <c r="AM7">
        <v>36</v>
      </c>
      <c r="AN7">
        <v>23</v>
      </c>
      <c r="AO7">
        <v>63</v>
      </c>
      <c r="AP7">
        <v>26</v>
      </c>
      <c r="AQ7">
        <v>48</v>
      </c>
      <c r="AR7">
        <v>56</v>
      </c>
      <c r="AS7">
        <v>12</v>
      </c>
      <c r="AT7">
        <v>6</v>
      </c>
      <c r="AU7">
        <v>52</v>
      </c>
      <c r="AV7">
        <v>14</v>
      </c>
      <c r="AW7">
        <v>45</v>
      </c>
      <c r="AX7">
        <v>29</v>
      </c>
      <c r="AY7">
        <v>40</v>
      </c>
    </row>
    <row r="8" spans="1:51" x14ac:dyDescent="0.25">
      <c r="A8">
        <v>2019</v>
      </c>
      <c r="B8">
        <v>77</v>
      </c>
      <c r="C8">
        <v>16</v>
      </c>
      <c r="D8">
        <v>32</v>
      </c>
      <c r="E8">
        <v>46</v>
      </c>
      <c r="F8">
        <v>17</v>
      </c>
      <c r="G8">
        <v>22</v>
      </c>
      <c r="H8">
        <v>20</v>
      </c>
      <c r="I8">
        <v>34</v>
      </c>
      <c r="J8">
        <v>55</v>
      </c>
      <c r="K8">
        <v>76</v>
      </c>
      <c r="L8">
        <v>13</v>
      </c>
      <c r="M8">
        <v>16</v>
      </c>
      <c r="N8">
        <v>44</v>
      </c>
      <c r="O8">
        <v>45</v>
      </c>
      <c r="P8">
        <v>22</v>
      </c>
      <c r="Q8">
        <v>36</v>
      </c>
      <c r="R8">
        <v>42</v>
      </c>
      <c r="S8">
        <v>82</v>
      </c>
      <c r="T8">
        <v>19</v>
      </c>
      <c r="U8">
        <v>61</v>
      </c>
      <c r="V8">
        <v>21</v>
      </c>
      <c r="W8">
        <v>53</v>
      </c>
      <c r="X8">
        <v>22</v>
      </c>
      <c r="Y8">
        <v>100</v>
      </c>
      <c r="Z8">
        <v>37</v>
      </c>
      <c r="AA8">
        <v>18</v>
      </c>
      <c r="AB8">
        <v>35</v>
      </c>
      <c r="AC8">
        <v>59</v>
      </c>
      <c r="AD8">
        <v>18</v>
      </c>
      <c r="AE8">
        <v>43</v>
      </c>
      <c r="AF8">
        <v>35</v>
      </c>
      <c r="AG8">
        <v>32</v>
      </c>
      <c r="AH8">
        <v>57</v>
      </c>
      <c r="AI8">
        <v>51</v>
      </c>
      <c r="AJ8">
        <v>44</v>
      </c>
      <c r="AK8">
        <v>50</v>
      </c>
      <c r="AL8">
        <v>13</v>
      </c>
      <c r="AM8">
        <v>41</v>
      </c>
      <c r="AN8">
        <v>16</v>
      </c>
      <c r="AO8">
        <v>63</v>
      </c>
      <c r="AP8">
        <v>28</v>
      </c>
      <c r="AQ8">
        <v>48</v>
      </c>
      <c r="AR8">
        <v>50</v>
      </c>
      <c r="AS8">
        <v>13</v>
      </c>
      <c r="AT8">
        <v>8</v>
      </c>
      <c r="AU8">
        <v>52</v>
      </c>
      <c r="AV8">
        <v>15</v>
      </c>
      <c r="AW8">
        <v>48</v>
      </c>
      <c r="AX8">
        <v>31</v>
      </c>
      <c r="AY8">
        <v>37</v>
      </c>
    </row>
    <row r="9" spans="1:51" x14ac:dyDescent="0.25">
      <c r="A9">
        <v>2020</v>
      </c>
      <c r="B9">
        <v>78</v>
      </c>
      <c r="C9">
        <v>16</v>
      </c>
      <c r="D9">
        <v>32</v>
      </c>
      <c r="E9">
        <v>49</v>
      </c>
      <c r="F9">
        <v>16</v>
      </c>
      <c r="G9">
        <v>22</v>
      </c>
      <c r="H9">
        <v>13</v>
      </c>
      <c r="I9">
        <v>39</v>
      </c>
      <c r="J9">
        <v>51</v>
      </c>
      <c r="K9">
        <v>70</v>
      </c>
      <c r="L9">
        <v>10</v>
      </c>
      <c r="M9">
        <v>19</v>
      </c>
      <c r="N9">
        <v>40</v>
      </c>
      <c r="O9">
        <v>41</v>
      </c>
      <c r="P9">
        <v>24</v>
      </c>
      <c r="Q9">
        <v>30</v>
      </c>
      <c r="R9">
        <v>63</v>
      </c>
      <c r="S9">
        <v>97</v>
      </c>
      <c r="T9">
        <v>17</v>
      </c>
      <c r="U9">
        <v>56</v>
      </c>
      <c r="V9">
        <v>21</v>
      </c>
      <c r="W9">
        <v>60</v>
      </c>
      <c r="X9">
        <v>23</v>
      </c>
      <c r="Y9">
        <v>100</v>
      </c>
      <c r="Z9">
        <v>27</v>
      </c>
      <c r="AA9">
        <v>25</v>
      </c>
      <c r="AB9">
        <v>25</v>
      </c>
      <c r="AC9">
        <v>50</v>
      </c>
      <c r="AD9">
        <v>26</v>
      </c>
      <c r="AE9">
        <v>42</v>
      </c>
      <c r="AF9">
        <v>32</v>
      </c>
      <c r="AG9">
        <v>32</v>
      </c>
      <c r="AH9">
        <v>53</v>
      </c>
      <c r="AI9">
        <v>51</v>
      </c>
      <c r="AJ9">
        <v>45</v>
      </c>
      <c r="AK9">
        <v>44</v>
      </c>
      <c r="AL9">
        <v>13</v>
      </c>
      <c r="AM9">
        <v>34</v>
      </c>
      <c r="AN9">
        <v>20</v>
      </c>
      <c r="AO9">
        <v>65</v>
      </c>
      <c r="AP9">
        <v>15</v>
      </c>
      <c r="AQ9">
        <v>41</v>
      </c>
      <c r="AR9">
        <v>54</v>
      </c>
      <c r="AS9">
        <v>15</v>
      </c>
      <c r="AT9">
        <v>5</v>
      </c>
      <c r="AU9">
        <v>44</v>
      </c>
      <c r="AV9">
        <v>19</v>
      </c>
      <c r="AW9">
        <v>42</v>
      </c>
      <c r="AX9">
        <v>30</v>
      </c>
      <c r="AY9">
        <v>39</v>
      </c>
    </row>
    <row r="10" spans="1:51" x14ac:dyDescent="0.25">
      <c r="A10">
        <v>2021</v>
      </c>
      <c r="B10">
        <v>74</v>
      </c>
      <c r="C10">
        <v>27</v>
      </c>
      <c r="D10">
        <v>40</v>
      </c>
      <c r="E10">
        <v>40</v>
      </c>
      <c r="F10">
        <v>18</v>
      </c>
      <c r="G10">
        <v>22</v>
      </c>
      <c r="H10">
        <v>18</v>
      </c>
      <c r="I10">
        <v>37</v>
      </c>
      <c r="J10">
        <v>46</v>
      </c>
      <c r="K10">
        <v>71</v>
      </c>
      <c r="L10">
        <v>15</v>
      </c>
      <c r="M10">
        <v>14</v>
      </c>
      <c r="N10">
        <v>34</v>
      </c>
      <c r="O10">
        <v>38</v>
      </c>
      <c r="P10">
        <v>12</v>
      </c>
      <c r="Q10">
        <v>37</v>
      </c>
      <c r="R10">
        <v>36</v>
      </c>
      <c r="S10">
        <v>77</v>
      </c>
      <c r="T10">
        <v>17</v>
      </c>
      <c r="U10">
        <v>57</v>
      </c>
      <c r="V10">
        <v>22</v>
      </c>
      <c r="W10">
        <v>49</v>
      </c>
      <c r="X10">
        <v>24</v>
      </c>
      <c r="Y10">
        <v>100</v>
      </c>
      <c r="Z10">
        <v>26</v>
      </c>
      <c r="AA10">
        <v>35</v>
      </c>
      <c r="AB10">
        <v>24</v>
      </c>
      <c r="AC10">
        <v>46</v>
      </c>
      <c r="AD10">
        <v>18</v>
      </c>
      <c r="AE10">
        <v>36</v>
      </c>
      <c r="AF10">
        <v>32</v>
      </c>
      <c r="AG10">
        <v>28</v>
      </c>
      <c r="AH10">
        <v>48</v>
      </c>
      <c r="AI10">
        <v>45</v>
      </c>
      <c r="AJ10">
        <v>39</v>
      </c>
      <c r="AK10">
        <v>42</v>
      </c>
      <c r="AL10">
        <v>15</v>
      </c>
      <c r="AM10">
        <v>32</v>
      </c>
      <c r="AN10">
        <v>21</v>
      </c>
      <c r="AO10">
        <v>61</v>
      </c>
      <c r="AP10">
        <v>21</v>
      </c>
      <c r="AQ10">
        <v>37</v>
      </c>
      <c r="AR10">
        <v>49</v>
      </c>
      <c r="AS10">
        <v>15</v>
      </c>
      <c r="AT10">
        <v>23</v>
      </c>
      <c r="AU10">
        <v>44</v>
      </c>
      <c r="AV10">
        <v>15</v>
      </c>
      <c r="AW10">
        <v>50</v>
      </c>
      <c r="AX10">
        <v>22</v>
      </c>
      <c r="AY10">
        <v>30</v>
      </c>
    </row>
    <row r="11" spans="1:51" x14ac:dyDescent="0.25">
      <c r="B11" s="2">
        <f>AVERAGE(B2:B10)</f>
        <v>69.777777777777771</v>
      </c>
      <c r="C11" s="2">
        <f t="shared" ref="C11:AY11" si="0">AVERAGE(C2:C10)</f>
        <v>19.777777777777779</v>
      </c>
      <c r="D11" s="2">
        <f t="shared" si="0"/>
        <v>34.222222222222221</v>
      </c>
      <c r="E11" s="2">
        <f t="shared" si="0"/>
        <v>45.333333333333336</v>
      </c>
      <c r="F11" s="2">
        <f t="shared" si="0"/>
        <v>20.333333333333332</v>
      </c>
      <c r="G11" s="2">
        <f t="shared" si="0"/>
        <v>25.444444444444443</v>
      </c>
      <c r="H11" s="2">
        <f t="shared" si="0"/>
        <v>18.888888888888889</v>
      </c>
      <c r="I11" s="2">
        <f t="shared" si="0"/>
        <v>35.444444444444443</v>
      </c>
      <c r="J11" s="2">
        <f t="shared" si="0"/>
        <v>52.888888888888886</v>
      </c>
      <c r="K11" s="2">
        <f t="shared" si="0"/>
        <v>78</v>
      </c>
      <c r="L11" s="2">
        <f t="shared" si="0"/>
        <v>16.444444444444443</v>
      </c>
      <c r="M11" s="2">
        <f t="shared" si="0"/>
        <v>18.444444444444443</v>
      </c>
      <c r="N11" s="2">
        <f t="shared" si="0"/>
        <v>46</v>
      </c>
      <c r="O11" s="2">
        <f t="shared" si="0"/>
        <v>38.444444444444443</v>
      </c>
      <c r="P11" s="2">
        <f t="shared" si="0"/>
        <v>20.444444444444443</v>
      </c>
      <c r="Q11" s="2">
        <f t="shared" si="0"/>
        <v>38.222222222222221</v>
      </c>
      <c r="R11" s="2">
        <f t="shared" si="0"/>
        <v>49.333333333333336</v>
      </c>
      <c r="S11" s="2">
        <f t="shared" si="0"/>
        <v>83.222222222222229</v>
      </c>
      <c r="T11" s="2">
        <f t="shared" si="0"/>
        <v>17.333333333333332</v>
      </c>
      <c r="U11" s="2">
        <f t="shared" si="0"/>
        <v>59</v>
      </c>
      <c r="V11" s="2">
        <f t="shared" si="0"/>
        <v>24.111111111111111</v>
      </c>
      <c r="W11" s="2">
        <f t="shared" si="0"/>
        <v>55.555555555555557</v>
      </c>
      <c r="X11" s="2">
        <f t="shared" si="0"/>
        <v>26.333333333333332</v>
      </c>
      <c r="Y11" s="2">
        <f t="shared" si="0"/>
        <v>100</v>
      </c>
      <c r="Z11" s="2">
        <f t="shared" si="0"/>
        <v>33.222222222222221</v>
      </c>
      <c r="AA11" s="2">
        <f t="shared" si="0"/>
        <v>23.444444444444443</v>
      </c>
      <c r="AB11" s="2">
        <f t="shared" si="0"/>
        <v>32.222222222222221</v>
      </c>
      <c r="AC11" s="2">
        <f t="shared" si="0"/>
        <v>49.222222222222221</v>
      </c>
      <c r="AD11" s="2">
        <f t="shared" si="0"/>
        <v>22.888888888888889</v>
      </c>
      <c r="AE11" s="2">
        <f t="shared" si="0"/>
        <v>45.555555555555557</v>
      </c>
      <c r="AF11" s="2">
        <f t="shared" si="0"/>
        <v>34.555555555555557</v>
      </c>
      <c r="AG11" s="2">
        <f t="shared" si="0"/>
        <v>35</v>
      </c>
      <c r="AH11" s="2">
        <f t="shared" si="0"/>
        <v>55.444444444444443</v>
      </c>
      <c r="AI11" s="2">
        <f t="shared" si="0"/>
        <v>43.666666666666664</v>
      </c>
      <c r="AJ11" s="2">
        <f t="shared" si="0"/>
        <v>42</v>
      </c>
      <c r="AK11" s="2">
        <f t="shared" si="0"/>
        <v>52</v>
      </c>
      <c r="AL11" s="2">
        <f t="shared" si="0"/>
        <v>14.888888888888889</v>
      </c>
      <c r="AM11" s="2">
        <f t="shared" si="0"/>
        <v>37.444444444444443</v>
      </c>
      <c r="AN11" s="2">
        <f t="shared" si="0"/>
        <v>21.777777777777779</v>
      </c>
      <c r="AO11" s="2">
        <f t="shared" si="0"/>
        <v>66.111111111111114</v>
      </c>
      <c r="AP11" s="2">
        <f t="shared" si="0"/>
        <v>27</v>
      </c>
      <c r="AQ11" s="2">
        <f t="shared" si="0"/>
        <v>49</v>
      </c>
      <c r="AR11" s="2">
        <f t="shared" si="0"/>
        <v>54.666666666666664</v>
      </c>
      <c r="AS11" s="2">
        <f t="shared" si="0"/>
        <v>16.111111111111111</v>
      </c>
      <c r="AT11" s="2">
        <f t="shared" si="0"/>
        <v>12.375</v>
      </c>
      <c r="AU11" s="2">
        <f t="shared" si="0"/>
        <v>49.111111111111114</v>
      </c>
      <c r="AV11" s="2">
        <f t="shared" si="0"/>
        <v>17.777777777777779</v>
      </c>
      <c r="AW11" s="2">
        <f t="shared" si="0"/>
        <v>50.333333333333336</v>
      </c>
      <c r="AX11" s="2">
        <f t="shared" si="0"/>
        <v>28.888888888888889</v>
      </c>
      <c r="AY11" s="2">
        <f t="shared" si="0"/>
        <v>35.333333333333336</v>
      </c>
    </row>
    <row r="12" spans="1:51" x14ac:dyDescent="0.25">
      <c r="A12" t="s">
        <v>59</v>
      </c>
      <c r="B12">
        <v>38.92</v>
      </c>
    </row>
    <row r="14" spans="1:51" x14ac:dyDescent="0.25">
      <c r="A14" t="s">
        <v>58</v>
      </c>
    </row>
    <row r="15" spans="1:51" x14ac:dyDescent="0.25"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  <c r="AJ15" s="1" t="s">
        <v>35</v>
      </c>
      <c r="AK15" s="1" t="s">
        <v>36</v>
      </c>
      <c r="AL15" s="1" t="s">
        <v>37</v>
      </c>
      <c r="AM15" s="1" t="s">
        <v>38</v>
      </c>
      <c r="AN15" s="1" t="s">
        <v>39</v>
      </c>
      <c r="AO15" s="1" t="s">
        <v>40</v>
      </c>
      <c r="AP15" s="1" t="s">
        <v>41</v>
      </c>
      <c r="AQ15" s="1" t="s">
        <v>42</v>
      </c>
      <c r="AR15" s="1" t="s">
        <v>43</v>
      </c>
      <c r="AS15" s="1" t="s">
        <v>44</v>
      </c>
      <c r="AT15" s="1" t="s">
        <v>45</v>
      </c>
      <c r="AU15" s="1" t="s">
        <v>46</v>
      </c>
      <c r="AV15" s="1" t="s">
        <v>47</v>
      </c>
      <c r="AW15" s="1" t="s">
        <v>49</v>
      </c>
      <c r="AX15" s="1" t="s">
        <v>50</v>
      </c>
      <c r="AY15" s="1" t="s">
        <v>48</v>
      </c>
    </row>
    <row r="16" spans="1:51" x14ac:dyDescent="0.25">
      <c r="A16">
        <v>2013</v>
      </c>
      <c r="B16">
        <f>RANK(B2,$B$2:$AY$2,0)</f>
        <v>9</v>
      </c>
      <c r="C16">
        <f t="shared" ref="C16:AY16" si="1">RANK(C2,$B$2:$AY$2,0)</f>
        <v>47</v>
      </c>
      <c r="D16">
        <f t="shared" si="1"/>
        <v>31</v>
      </c>
      <c r="E16">
        <f t="shared" si="1"/>
        <v>27</v>
      </c>
      <c r="F16">
        <f t="shared" si="1"/>
        <v>38</v>
      </c>
      <c r="G16">
        <f t="shared" si="1"/>
        <v>34</v>
      </c>
      <c r="H16">
        <f t="shared" si="1"/>
        <v>38</v>
      </c>
      <c r="I16">
        <f t="shared" si="1"/>
        <v>20</v>
      </c>
      <c r="J16">
        <f t="shared" si="1"/>
        <v>18</v>
      </c>
      <c r="K16">
        <f t="shared" si="1"/>
        <v>2</v>
      </c>
      <c r="L16">
        <f t="shared" si="1"/>
        <v>45</v>
      </c>
      <c r="M16">
        <f t="shared" si="1"/>
        <v>37</v>
      </c>
      <c r="N16">
        <f t="shared" si="1"/>
        <v>15</v>
      </c>
      <c r="O16">
        <f t="shared" si="1"/>
        <v>35</v>
      </c>
      <c r="P16">
        <f t="shared" si="1"/>
        <v>43</v>
      </c>
      <c r="Q16">
        <f t="shared" si="1"/>
        <v>14</v>
      </c>
      <c r="R16">
        <f t="shared" si="1"/>
        <v>17</v>
      </c>
      <c r="S16">
        <f t="shared" si="1"/>
        <v>3</v>
      </c>
      <c r="T16">
        <f t="shared" si="1"/>
        <v>49</v>
      </c>
      <c r="U16">
        <f t="shared" si="1"/>
        <v>4</v>
      </c>
      <c r="V16">
        <f t="shared" si="1"/>
        <v>32</v>
      </c>
      <c r="W16">
        <f t="shared" si="1"/>
        <v>15</v>
      </c>
      <c r="X16">
        <f t="shared" si="1"/>
        <v>26</v>
      </c>
      <c r="Y16">
        <f t="shared" si="1"/>
        <v>1</v>
      </c>
      <c r="Z16">
        <f t="shared" si="1"/>
        <v>23</v>
      </c>
      <c r="AA16">
        <f t="shared" si="1"/>
        <v>45</v>
      </c>
      <c r="AB16">
        <f t="shared" si="1"/>
        <v>29</v>
      </c>
      <c r="AC16">
        <f t="shared" si="1"/>
        <v>19</v>
      </c>
      <c r="AD16">
        <f t="shared" si="1"/>
        <v>38</v>
      </c>
      <c r="AE16">
        <f t="shared" si="1"/>
        <v>11</v>
      </c>
      <c r="AF16">
        <f t="shared" si="1"/>
        <v>35</v>
      </c>
      <c r="AG16">
        <f t="shared" si="1"/>
        <v>23</v>
      </c>
      <c r="AH16">
        <f t="shared" si="1"/>
        <v>6</v>
      </c>
      <c r="AI16">
        <f t="shared" si="1"/>
        <v>21</v>
      </c>
      <c r="AJ16">
        <f t="shared" si="1"/>
        <v>23</v>
      </c>
      <c r="AK16">
        <f t="shared" si="1"/>
        <v>9</v>
      </c>
      <c r="AL16">
        <f t="shared" si="1"/>
        <v>47</v>
      </c>
      <c r="AM16">
        <f t="shared" si="1"/>
        <v>22</v>
      </c>
      <c r="AN16">
        <f t="shared" si="1"/>
        <v>38</v>
      </c>
      <c r="AO16">
        <f t="shared" si="1"/>
        <v>7</v>
      </c>
      <c r="AP16">
        <f t="shared" si="1"/>
        <v>27</v>
      </c>
      <c r="AQ16">
        <f t="shared" si="1"/>
        <v>11</v>
      </c>
      <c r="AR16">
        <f t="shared" si="1"/>
        <v>7</v>
      </c>
      <c r="AS16">
        <f t="shared" si="1"/>
        <v>43</v>
      </c>
      <c r="AT16">
        <f t="shared" si="1"/>
        <v>50</v>
      </c>
      <c r="AU16">
        <f t="shared" si="1"/>
        <v>5</v>
      </c>
      <c r="AV16">
        <f t="shared" si="1"/>
        <v>42</v>
      </c>
      <c r="AW16">
        <f t="shared" si="1"/>
        <v>11</v>
      </c>
      <c r="AX16">
        <f t="shared" si="1"/>
        <v>29</v>
      </c>
      <c r="AY16">
        <f t="shared" si="1"/>
        <v>32</v>
      </c>
    </row>
    <row r="17" spans="1:51" x14ac:dyDescent="0.25">
      <c r="A17">
        <v>2014</v>
      </c>
      <c r="B17">
        <f>RANK(B3,$B$3:$AY$3,0)</f>
        <v>5</v>
      </c>
      <c r="C17">
        <f t="shared" ref="C17:AY17" si="2">RANK(C3,$B$3:$AY$3,0)</f>
        <v>37</v>
      </c>
      <c r="D17">
        <f t="shared" si="2"/>
        <v>26</v>
      </c>
      <c r="E17">
        <f t="shared" si="2"/>
        <v>21</v>
      </c>
      <c r="F17">
        <f t="shared" si="2"/>
        <v>39</v>
      </c>
      <c r="G17">
        <f t="shared" si="2"/>
        <v>26</v>
      </c>
      <c r="H17">
        <f t="shared" si="2"/>
        <v>45</v>
      </c>
      <c r="I17">
        <f t="shared" si="2"/>
        <v>34</v>
      </c>
      <c r="J17">
        <f t="shared" si="2"/>
        <v>12</v>
      </c>
      <c r="K17">
        <f t="shared" si="2"/>
        <v>2</v>
      </c>
      <c r="L17">
        <f t="shared" si="2"/>
        <v>42</v>
      </c>
      <c r="M17">
        <f t="shared" si="2"/>
        <v>42</v>
      </c>
      <c r="N17">
        <f t="shared" si="2"/>
        <v>10</v>
      </c>
      <c r="O17">
        <f t="shared" si="2"/>
        <v>34</v>
      </c>
      <c r="P17">
        <f t="shared" si="2"/>
        <v>40</v>
      </c>
      <c r="Q17">
        <f t="shared" si="2"/>
        <v>5</v>
      </c>
      <c r="R17">
        <f t="shared" si="2"/>
        <v>17</v>
      </c>
      <c r="S17">
        <f t="shared" si="2"/>
        <v>3</v>
      </c>
      <c r="T17">
        <f t="shared" si="2"/>
        <v>48</v>
      </c>
      <c r="U17">
        <f t="shared" si="2"/>
        <v>12</v>
      </c>
      <c r="V17">
        <f t="shared" si="2"/>
        <v>30</v>
      </c>
      <c r="W17">
        <f t="shared" si="2"/>
        <v>12</v>
      </c>
      <c r="X17">
        <f t="shared" si="2"/>
        <v>31</v>
      </c>
      <c r="Y17">
        <f t="shared" si="2"/>
        <v>1</v>
      </c>
      <c r="Z17">
        <f t="shared" si="2"/>
        <v>20</v>
      </c>
      <c r="AA17">
        <f t="shared" si="2"/>
        <v>47</v>
      </c>
      <c r="AB17">
        <f t="shared" si="2"/>
        <v>33</v>
      </c>
      <c r="AC17">
        <f t="shared" si="2"/>
        <v>17</v>
      </c>
      <c r="AD17">
        <f t="shared" si="2"/>
        <v>28</v>
      </c>
      <c r="AE17">
        <f t="shared" si="2"/>
        <v>19</v>
      </c>
      <c r="AF17">
        <f t="shared" si="2"/>
        <v>31</v>
      </c>
      <c r="AG17">
        <f t="shared" si="2"/>
        <v>23</v>
      </c>
      <c r="AH17">
        <f t="shared" si="2"/>
        <v>8</v>
      </c>
      <c r="AI17">
        <f t="shared" si="2"/>
        <v>28</v>
      </c>
      <c r="AJ17">
        <f t="shared" si="2"/>
        <v>25</v>
      </c>
      <c r="AK17">
        <f t="shared" si="2"/>
        <v>10</v>
      </c>
      <c r="AL17">
        <f t="shared" si="2"/>
        <v>49</v>
      </c>
      <c r="AM17">
        <f t="shared" si="2"/>
        <v>21</v>
      </c>
      <c r="AN17">
        <f t="shared" si="2"/>
        <v>40</v>
      </c>
      <c r="AO17">
        <f t="shared" si="2"/>
        <v>4</v>
      </c>
      <c r="AP17">
        <f t="shared" si="2"/>
        <v>50</v>
      </c>
      <c r="AQ17">
        <f t="shared" si="2"/>
        <v>8</v>
      </c>
      <c r="AR17">
        <f t="shared" si="2"/>
        <v>7</v>
      </c>
      <c r="AS17">
        <f t="shared" si="2"/>
        <v>45</v>
      </c>
      <c r="AT17">
        <f t="shared" si="2"/>
        <v>36</v>
      </c>
      <c r="AU17">
        <f t="shared" si="2"/>
        <v>16</v>
      </c>
      <c r="AV17">
        <f t="shared" si="2"/>
        <v>42</v>
      </c>
      <c r="AW17">
        <f t="shared" si="2"/>
        <v>15</v>
      </c>
      <c r="AX17">
        <f t="shared" si="2"/>
        <v>37</v>
      </c>
      <c r="AY17">
        <f t="shared" si="2"/>
        <v>24</v>
      </c>
    </row>
    <row r="18" spans="1:51" x14ac:dyDescent="0.25">
      <c r="A18">
        <v>2015</v>
      </c>
      <c r="B18">
        <f>RANK(B4,$B$4:$AY$4,0)</f>
        <v>11</v>
      </c>
      <c r="C18">
        <f t="shared" ref="C18:AY18" si="3">RANK(C4,$B$4:$AY$4,0)</f>
        <v>43</v>
      </c>
      <c r="D18">
        <f t="shared" si="3"/>
        <v>30</v>
      </c>
      <c r="E18">
        <f t="shared" si="3"/>
        <v>16</v>
      </c>
      <c r="F18">
        <f t="shared" si="3"/>
        <v>38</v>
      </c>
      <c r="G18">
        <f t="shared" si="3"/>
        <v>34</v>
      </c>
      <c r="H18">
        <f t="shared" si="3"/>
        <v>46</v>
      </c>
      <c r="I18">
        <f t="shared" si="3"/>
        <v>25</v>
      </c>
      <c r="J18">
        <f t="shared" si="3"/>
        <v>10</v>
      </c>
      <c r="K18">
        <f t="shared" si="3"/>
        <v>3</v>
      </c>
      <c r="L18">
        <f t="shared" si="3"/>
        <v>43</v>
      </c>
      <c r="M18">
        <f t="shared" si="3"/>
        <v>40</v>
      </c>
      <c r="N18">
        <f t="shared" si="3"/>
        <v>14</v>
      </c>
      <c r="O18">
        <f t="shared" si="3"/>
        <v>27</v>
      </c>
      <c r="P18">
        <f t="shared" si="3"/>
        <v>43</v>
      </c>
      <c r="Q18">
        <f t="shared" si="3"/>
        <v>34</v>
      </c>
      <c r="R18">
        <f t="shared" si="3"/>
        <v>15</v>
      </c>
      <c r="S18">
        <f t="shared" si="3"/>
        <v>4</v>
      </c>
      <c r="T18">
        <f t="shared" si="3"/>
        <v>37</v>
      </c>
      <c r="U18">
        <f t="shared" si="3"/>
        <v>16</v>
      </c>
      <c r="V18">
        <f t="shared" si="3"/>
        <v>32</v>
      </c>
      <c r="W18">
        <f t="shared" si="3"/>
        <v>7</v>
      </c>
      <c r="X18">
        <f t="shared" si="3"/>
        <v>32</v>
      </c>
      <c r="Y18">
        <f t="shared" si="3"/>
        <v>1</v>
      </c>
      <c r="Z18">
        <f t="shared" si="3"/>
        <v>24</v>
      </c>
      <c r="AA18">
        <f t="shared" si="3"/>
        <v>46</v>
      </c>
      <c r="AB18">
        <f t="shared" si="3"/>
        <v>16</v>
      </c>
      <c r="AC18">
        <f t="shared" si="3"/>
        <v>20</v>
      </c>
      <c r="AD18">
        <f t="shared" si="3"/>
        <v>39</v>
      </c>
      <c r="AE18">
        <f t="shared" si="3"/>
        <v>20</v>
      </c>
      <c r="AF18">
        <f t="shared" si="3"/>
        <v>20</v>
      </c>
      <c r="AG18">
        <f t="shared" si="3"/>
        <v>19</v>
      </c>
      <c r="AH18">
        <f t="shared" si="3"/>
        <v>11</v>
      </c>
      <c r="AI18">
        <f t="shared" si="3"/>
        <v>13</v>
      </c>
      <c r="AJ18">
        <f t="shared" si="3"/>
        <v>25</v>
      </c>
      <c r="AK18">
        <f t="shared" si="3"/>
        <v>6</v>
      </c>
      <c r="AL18">
        <f t="shared" si="3"/>
        <v>49</v>
      </c>
      <c r="AM18">
        <f t="shared" si="3"/>
        <v>20</v>
      </c>
      <c r="AN18">
        <f t="shared" si="3"/>
        <v>40</v>
      </c>
      <c r="AO18">
        <f t="shared" si="3"/>
        <v>2</v>
      </c>
      <c r="AP18">
        <f t="shared" si="3"/>
        <v>30</v>
      </c>
      <c r="AQ18">
        <f t="shared" si="3"/>
        <v>8</v>
      </c>
      <c r="AR18">
        <f t="shared" si="3"/>
        <v>8</v>
      </c>
      <c r="AS18">
        <f t="shared" si="3"/>
        <v>48</v>
      </c>
      <c r="AT18">
        <f t="shared" si="3"/>
        <v>50</v>
      </c>
      <c r="AU18">
        <f t="shared" si="3"/>
        <v>27</v>
      </c>
      <c r="AV18">
        <f t="shared" si="3"/>
        <v>40</v>
      </c>
      <c r="AW18">
        <f t="shared" si="3"/>
        <v>5</v>
      </c>
      <c r="AX18">
        <f t="shared" si="3"/>
        <v>34</v>
      </c>
      <c r="AY18">
        <f t="shared" si="3"/>
        <v>29</v>
      </c>
    </row>
    <row r="19" spans="1:51" x14ac:dyDescent="0.25">
      <c r="A19">
        <v>2016</v>
      </c>
      <c r="B19">
        <f>RANK(B5,$B$5:$AY$5,0)</f>
        <v>4</v>
      </c>
      <c r="C19">
        <f t="shared" ref="C19:AY19" si="4">RANK(C5,$B$5:$AY$5,0)</f>
        <v>41</v>
      </c>
      <c r="D19">
        <f t="shared" si="4"/>
        <v>24</v>
      </c>
      <c r="E19">
        <f t="shared" si="4"/>
        <v>15</v>
      </c>
      <c r="F19">
        <f t="shared" si="4"/>
        <v>41</v>
      </c>
      <c r="G19">
        <f t="shared" si="4"/>
        <v>35</v>
      </c>
      <c r="H19">
        <f t="shared" si="4"/>
        <v>41</v>
      </c>
      <c r="I19">
        <f t="shared" si="4"/>
        <v>29</v>
      </c>
      <c r="J19">
        <f t="shared" si="4"/>
        <v>10</v>
      </c>
      <c r="K19">
        <f t="shared" si="4"/>
        <v>3</v>
      </c>
      <c r="L19">
        <f t="shared" si="4"/>
        <v>44</v>
      </c>
      <c r="M19">
        <f t="shared" si="4"/>
        <v>45</v>
      </c>
      <c r="N19">
        <f t="shared" si="4"/>
        <v>19</v>
      </c>
      <c r="O19">
        <f t="shared" si="4"/>
        <v>22</v>
      </c>
      <c r="P19">
        <f t="shared" si="4"/>
        <v>38</v>
      </c>
      <c r="Q19">
        <f t="shared" si="4"/>
        <v>35</v>
      </c>
      <c r="R19">
        <f t="shared" si="4"/>
        <v>15</v>
      </c>
      <c r="S19">
        <f t="shared" si="4"/>
        <v>2</v>
      </c>
      <c r="T19">
        <f t="shared" si="4"/>
        <v>40</v>
      </c>
      <c r="U19">
        <f t="shared" si="4"/>
        <v>6</v>
      </c>
      <c r="V19">
        <f t="shared" si="4"/>
        <v>31</v>
      </c>
      <c r="W19">
        <f t="shared" si="4"/>
        <v>7</v>
      </c>
      <c r="X19">
        <f t="shared" si="4"/>
        <v>35</v>
      </c>
      <c r="Y19">
        <f t="shared" si="4"/>
        <v>1</v>
      </c>
      <c r="Z19">
        <f t="shared" si="4"/>
        <v>30</v>
      </c>
      <c r="AA19">
        <f t="shared" si="4"/>
        <v>38</v>
      </c>
      <c r="AB19">
        <f t="shared" si="4"/>
        <v>28</v>
      </c>
      <c r="AC19">
        <f t="shared" si="4"/>
        <v>15</v>
      </c>
      <c r="AD19">
        <f t="shared" si="4"/>
        <v>45</v>
      </c>
      <c r="AE19">
        <f t="shared" si="4"/>
        <v>15</v>
      </c>
      <c r="AF19">
        <f t="shared" si="4"/>
        <v>24</v>
      </c>
      <c r="AG19">
        <f t="shared" si="4"/>
        <v>24</v>
      </c>
      <c r="AH19">
        <f t="shared" si="4"/>
        <v>9</v>
      </c>
      <c r="AI19">
        <f t="shared" si="4"/>
        <v>11</v>
      </c>
      <c r="AJ19">
        <f t="shared" si="4"/>
        <v>20</v>
      </c>
      <c r="AK19">
        <f t="shared" si="4"/>
        <v>13</v>
      </c>
      <c r="AL19">
        <f t="shared" si="4"/>
        <v>48</v>
      </c>
      <c r="AM19">
        <f t="shared" si="4"/>
        <v>23</v>
      </c>
      <c r="AN19">
        <f t="shared" si="4"/>
        <v>32</v>
      </c>
      <c r="AO19">
        <f t="shared" si="4"/>
        <v>5</v>
      </c>
      <c r="AP19">
        <f t="shared" si="4"/>
        <v>24</v>
      </c>
      <c r="AQ19">
        <f t="shared" si="4"/>
        <v>14</v>
      </c>
      <c r="AR19">
        <f t="shared" si="4"/>
        <v>8</v>
      </c>
      <c r="AS19">
        <f t="shared" si="4"/>
        <v>49</v>
      </c>
      <c r="AT19">
        <f t="shared" si="4"/>
        <v>50</v>
      </c>
      <c r="AU19">
        <f t="shared" si="4"/>
        <v>12</v>
      </c>
      <c r="AV19">
        <f t="shared" si="4"/>
        <v>45</v>
      </c>
      <c r="AW19">
        <f t="shared" si="4"/>
        <v>21</v>
      </c>
      <c r="AX19">
        <f t="shared" si="4"/>
        <v>32</v>
      </c>
      <c r="AY19">
        <f t="shared" si="4"/>
        <v>34</v>
      </c>
    </row>
    <row r="20" spans="1:51" x14ac:dyDescent="0.25">
      <c r="A20">
        <v>2017</v>
      </c>
      <c r="B20">
        <f>RANK(B6,$B$6:$AY$6,0)</f>
        <v>3</v>
      </c>
      <c r="C20">
        <f t="shared" ref="C20:AY20" si="5">RANK(C6,$B$6:$AY$6,0)</f>
        <v>38</v>
      </c>
      <c r="D20">
        <f t="shared" si="5"/>
        <v>31</v>
      </c>
      <c r="E20">
        <f t="shared" si="5"/>
        <v>13</v>
      </c>
      <c r="F20">
        <f t="shared" si="5"/>
        <v>43</v>
      </c>
      <c r="G20">
        <f t="shared" si="5"/>
        <v>40</v>
      </c>
      <c r="H20">
        <f t="shared" si="5"/>
        <v>45</v>
      </c>
      <c r="I20">
        <f t="shared" si="5"/>
        <v>27</v>
      </c>
      <c r="J20">
        <f t="shared" si="5"/>
        <v>12</v>
      </c>
      <c r="K20">
        <f t="shared" si="5"/>
        <v>3</v>
      </c>
      <c r="L20">
        <f t="shared" si="5"/>
        <v>42</v>
      </c>
      <c r="M20">
        <f t="shared" si="5"/>
        <v>48</v>
      </c>
      <c r="N20">
        <f t="shared" si="5"/>
        <v>20</v>
      </c>
      <c r="O20">
        <f t="shared" si="5"/>
        <v>20</v>
      </c>
      <c r="P20">
        <f t="shared" si="5"/>
        <v>38</v>
      </c>
      <c r="Q20">
        <f t="shared" si="5"/>
        <v>23</v>
      </c>
      <c r="R20">
        <f t="shared" si="5"/>
        <v>7</v>
      </c>
      <c r="S20">
        <f t="shared" si="5"/>
        <v>2</v>
      </c>
      <c r="T20">
        <f t="shared" si="5"/>
        <v>46</v>
      </c>
      <c r="U20">
        <f t="shared" si="5"/>
        <v>6</v>
      </c>
      <c r="V20">
        <f t="shared" si="5"/>
        <v>36</v>
      </c>
      <c r="W20">
        <f t="shared" si="5"/>
        <v>9</v>
      </c>
      <c r="X20">
        <f t="shared" si="5"/>
        <v>37</v>
      </c>
      <c r="Y20">
        <f t="shared" si="5"/>
        <v>1</v>
      </c>
      <c r="Z20">
        <f t="shared" si="5"/>
        <v>30</v>
      </c>
      <c r="AA20">
        <f t="shared" si="5"/>
        <v>33</v>
      </c>
      <c r="AB20">
        <f t="shared" si="5"/>
        <v>33</v>
      </c>
      <c r="AC20">
        <f t="shared" si="5"/>
        <v>11</v>
      </c>
      <c r="AD20">
        <f t="shared" si="5"/>
        <v>35</v>
      </c>
      <c r="AE20">
        <f t="shared" si="5"/>
        <v>13</v>
      </c>
      <c r="AF20">
        <f t="shared" si="5"/>
        <v>24</v>
      </c>
      <c r="AG20">
        <f t="shared" si="5"/>
        <v>27</v>
      </c>
      <c r="AH20">
        <f t="shared" si="5"/>
        <v>8</v>
      </c>
      <c r="AI20">
        <f t="shared" si="5"/>
        <v>29</v>
      </c>
      <c r="AJ20">
        <f t="shared" si="5"/>
        <v>18</v>
      </c>
      <c r="AK20">
        <f t="shared" si="5"/>
        <v>10</v>
      </c>
      <c r="AL20">
        <f t="shared" si="5"/>
        <v>44</v>
      </c>
      <c r="AM20">
        <f t="shared" si="5"/>
        <v>24</v>
      </c>
      <c r="AN20">
        <f t="shared" si="5"/>
        <v>40</v>
      </c>
      <c r="AO20">
        <f t="shared" si="5"/>
        <v>5</v>
      </c>
      <c r="AP20">
        <f t="shared" si="5"/>
        <v>26</v>
      </c>
      <c r="AQ20">
        <f t="shared" si="5"/>
        <v>19</v>
      </c>
      <c r="AR20">
        <f t="shared" si="5"/>
        <v>17</v>
      </c>
      <c r="AS20">
        <f t="shared" si="5"/>
        <v>46</v>
      </c>
      <c r="AT20" t="e">
        <f t="shared" si="5"/>
        <v>#N/A</v>
      </c>
      <c r="AU20">
        <f t="shared" si="5"/>
        <v>15</v>
      </c>
      <c r="AV20">
        <f t="shared" si="5"/>
        <v>48</v>
      </c>
      <c r="AW20">
        <f t="shared" si="5"/>
        <v>15</v>
      </c>
      <c r="AX20">
        <f t="shared" si="5"/>
        <v>31</v>
      </c>
      <c r="AY20">
        <f t="shared" si="5"/>
        <v>22</v>
      </c>
    </row>
    <row r="21" spans="1:51" x14ac:dyDescent="0.25">
      <c r="A21">
        <v>2018</v>
      </c>
      <c r="B21">
        <f>RANK(B7,$B$7:$AY$7,0)</f>
        <v>3</v>
      </c>
      <c r="C21">
        <f t="shared" ref="C21:AY21" si="6">RANK(C7,$B$7:$AY$7,0)</f>
        <v>44</v>
      </c>
      <c r="D21">
        <f t="shared" si="6"/>
        <v>25</v>
      </c>
      <c r="E21">
        <f t="shared" si="6"/>
        <v>15</v>
      </c>
      <c r="F21">
        <f t="shared" si="6"/>
        <v>39</v>
      </c>
      <c r="G21">
        <f t="shared" si="6"/>
        <v>36</v>
      </c>
      <c r="H21">
        <f t="shared" si="6"/>
        <v>39</v>
      </c>
      <c r="I21">
        <f t="shared" si="6"/>
        <v>29</v>
      </c>
      <c r="J21">
        <f t="shared" si="6"/>
        <v>8</v>
      </c>
      <c r="K21">
        <f t="shared" si="6"/>
        <v>4</v>
      </c>
      <c r="L21">
        <f t="shared" si="6"/>
        <v>47</v>
      </c>
      <c r="M21">
        <f t="shared" si="6"/>
        <v>39</v>
      </c>
      <c r="N21">
        <f t="shared" si="6"/>
        <v>18</v>
      </c>
      <c r="O21">
        <f t="shared" si="6"/>
        <v>20</v>
      </c>
      <c r="P21">
        <f t="shared" si="6"/>
        <v>43</v>
      </c>
      <c r="Q21">
        <f t="shared" si="6"/>
        <v>25</v>
      </c>
      <c r="R21">
        <f t="shared" si="6"/>
        <v>21</v>
      </c>
      <c r="S21">
        <f t="shared" si="6"/>
        <v>2</v>
      </c>
      <c r="T21">
        <f t="shared" si="6"/>
        <v>47</v>
      </c>
      <c r="U21">
        <f t="shared" si="6"/>
        <v>6</v>
      </c>
      <c r="V21">
        <f t="shared" si="6"/>
        <v>50</v>
      </c>
      <c r="W21">
        <f t="shared" si="6"/>
        <v>9</v>
      </c>
      <c r="X21">
        <f t="shared" si="6"/>
        <v>37</v>
      </c>
      <c r="Y21">
        <f t="shared" si="6"/>
        <v>1</v>
      </c>
      <c r="Z21">
        <f t="shared" si="6"/>
        <v>32</v>
      </c>
      <c r="AA21">
        <f t="shared" si="6"/>
        <v>34</v>
      </c>
      <c r="AB21">
        <f t="shared" si="6"/>
        <v>27</v>
      </c>
      <c r="AC21">
        <f t="shared" si="6"/>
        <v>13</v>
      </c>
      <c r="AD21">
        <f t="shared" si="6"/>
        <v>37</v>
      </c>
      <c r="AE21">
        <f t="shared" si="6"/>
        <v>18</v>
      </c>
      <c r="AF21">
        <f t="shared" si="6"/>
        <v>23</v>
      </c>
      <c r="AG21">
        <f t="shared" si="6"/>
        <v>27</v>
      </c>
      <c r="AH21">
        <f t="shared" si="6"/>
        <v>9</v>
      </c>
      <c r="AI21">
        <f t="shared" si="6"/>
        <v>31</v>
      </c>
      <c r="AJ21">
        <f t="shared" si="6"/>
        <v>16</v>
      </c>
      <c r="AK21">
        <f t="shared" si="6"/>
        <v>12</v>
      </c>
      <c r="AL21">
        <f t="shared" si="6"/>
        <v>39</v>
      </c>
      <c r="AM21">
        <f t="shared" si="6"/>
        <v>24</v>
      </c>
      <c r="AN21">
        <f t="shared" si="6"/>
        <v>35</v>
      </c>
      <c r="AO21">
        <f t="shared" si="6"/>
        <v>5</v>
      </c>
      <c r="AP21">
        <f t="shared" si="6"/>
        <v>32</v>
      </c>
      <c r="AQ21">
        <f t="shared" si="6"/>
        <v>14</v>
      </c>
      <c r="AR21">
        <f t="shared" si="6"/>
        <v>7</v>
      </c>
      <c r="AS21">
        <f t="shared" si="6"/>
        <v>46</v>
      </c>
      <c r="AT21">
        <f t="shared" si="6"/>
        <v>49</v>
      </c>
      <c r="AU21">
        <f t="shared" si="6"/>
        <v>11</v>
      </c>
      <c r="AV21">
        <f t="shared" si="6"/>
        <v>44</v>
      </c>
      <c r="AW21">
        <f t="shared" si="6"/>
        <v>16</v>
      </c>
      <c r="AX21">
        <f t="shared" si="6"/>
        <v>30</v>
      </c>
      <c r="AY21">
        <f t="shared" si="6"/>
        <v>22</v>
      </c>
    </row>
    <row r="22" spans="1:51" x14ac:dyDescent="0.25">
      <c r="A22">
        <v>2019</v>
      </c>
      <c r="B22">
        <f>RANK(B8,$B$8:$AY$8,0)</f>
        <v>3</v>
      </c>
      <c r="C22">
        <f t="shared" ref="C22:AY22" si="7">RANK(C8,$B$8:$AY$8,0)</f>
        <v>43</v>
      </c>
      <c r="D22">
        <f t="shared" si="7"/>
        <v>30</v>
      </c>
      <c r="E22">
        <f t="shared" si="7"/>
        <v>17</v>
      </c>
      <c r="F22">
        <f t="shared" si="7"/>
        <v>42</v>
      </c>
      <c r="G22">
        <f t="shared" si="7"/>
        <v>34</v>
      </c>
      <c r="H22">
        <f t="shared" si="7"/>
        <v>38</v>
      </c>
      <c r="I22">
        <f t="shared" si="7"/>
        <v>29</v>
      </c>
      <c r="J22">
        <f t="shared" si="7"/>
        <v>9</v>
      </c>
      <c r="K22">
        <f t="shared" si="7"/>
        <v>4</v>
      </c>
      <c r="L22">
        <f t="shared" si="7"/>
        <v>47</v>
      </c>
      <c r="M22">
        <f t="shared" si="7"/>
        <v>43</v>
      </c>
      <c r="N22">
        <f t="shared" si="7"/>
        <v>19</v>
      </c>
      <c r="O22">
        <f t="shared" si="7"/>
        <v>18</v>
      </c>
      <c r="P22">
        <f t="shared" si="7"/>
        <v>34</v>
      </c>
      <c r="Q22">
        <f t="shared" si="7"/>
        <v>26</v>
      </c>
      <c r="R22">
        <f t="shared" si="7"/>
        <v>22</v>
      </c>
      <c r="S22">
        <f t="shared" si="7"/>
        <v>2</v>
      </c>
      <c r="T22">
        <f t="shared" si="7"/>
        <v>39</v>
      </c>
      <c r="U22">
        <f t="shared" si="7"/>
        <v>6</v>
      </c>
      <c r="V22">
        <f t="shared" si="7"/>
        <v>37</v>
      </c>
      <c r="W22">
        <f t="shared" si="7"/>
        <v>10</v>
      </c>
      <c r="X22">
        <f t="shared" si="7"/>
        <v>34</v>
      </c>
      <c r="Y22">
        <f t="shared" si="7"/>
        <v>1</v>
      </c>
      <c r="Z22">
        <f t="shared" si="7"/>
        <v>24</v>
      </c>
      <c r="AA22">
        <f t="shared" si="7"/>
        <v>40</v>
      </c>
      <c r="AB22">
        <f t="shared" si="7"/>
        <v>27</v>
      </c>
      <c r="AC22">
        <f t="shared" si="7"/>
        <v>7</v>
      </c>
      <c r="AD22">
        <f t="shared" si="7"/>
        <v>40</v>
      </c>
      <c r="AE22">
        <f t="shared" si="7"/>
        <v>21</v>
      </c>
      <c r="AF22">
        <f t="shared" si="7"/>
        <v>27</v>
      </c>
      <c r="AG22">
        <f t="shared" si="7"/>
        <v>30</v>
      </c>
      <c r="AH22">
        <f t="shared" si="7"/>
        <v>8</v>
      </c>
      <c r="AI22">
        <f t="shared" si="7"/>
        <v>12</v>
      </c>
      <c r="AJ22">
        <f t="shared" si="7"/>
        <v>19</v>
      </c>
      <c r="AK22">
        <f t="shared" si="7"/>
        <v>13</v>
      </c>
      <c r="AL22">
        <f t="shared" si="7"/>
        <v>47</v>
      </c>
      <c r="AM22">
        <f t="shared" si="7"/>
        <v>23</v>
      </c>
      <c r="AN22">
        <f t="shared" si="7"/>
        <v>43</v>
      </c>
      <c r="AO22">
        <f t="shared" si="7"/>
        <v>5</v>
      </c>
      <c r="AP22">
        <f t="shared" si="7"/>
        <v>33</v>
      </c>
      <c r="AQ22">
        <f t="shared" si="7"/>
        <v>15</v>
      </c>
      <c r="AR22">
        <f t="shared" si="7"/>
        <v>13</v>
      </c>
      <c r="AS22">
        <f t="shared" si="7"/>
        <v>47</v>
      </c>
      <c r="AT22">
        <f t="shared" si="7"/>
        <v>50</v>
      </c>
      <c r="AU22">
        <f t="shared" si="7"/>
        <v>11</v>
      </c>
      <c r="AV22">
        <f t="shared" si="7"/>
        <v>46</v>
      </c>
      <c r="AW22">
        <f t="shared" si="7"/>
        <v>15</v>
      </c>
      <c r="AX22">
        <f t="shared" si="7"/>
        <v>32</v>
      </c>
      <c r="AY22">
        <f t="shared" si="7"/>
        <v>24</v>
      </c>
    </row>
    <row r="23" spans="1:51" x14ac:dyDescent="0.25">
      <c r="A23">
        <v>2020</v>
      </c>
      <c r="B23">
        <f>RANK(B9,$B$9:$AY$9,0)</f>
        <v>3</v>
      </c>
      <c r="C23">
        <f t="shared" ref="C23:AY23" si="8">RANK(C9,$B$9:$AY$9,0)</f>
        <v>43</v>
      </c>
      <c r="D23">
        <f t="shared" si="8"/>
        <v>26</v>
      </c>
      <c r="E23">
        <f t="shared" si="8"/>
        <v>14</v>
      </c>
      <c r="F23">
        <f t="shared" si="8"/>
        <v>43</v>
      </c>
      <c r="G23">
        <f t="shared" si="8"/>
        <v>37</v>
      </c>
      <c r="H23">
        <f t="shared" si="8"/>
        <v>47</v>
      </c>
      <c r="I23">
        <f t="shared" si="8"/>
        <v>23</v>
      </c>
      <c r="J23">
        <f t="shared" si="8"/>
        <v>11</v>
      </c>
      <c r="K23">
        <f t="shared" si="8"/>
        <v>4</v>
      </c>
      <c r="L23">
        <f t="shared" si="8"/>
        <v>49</v>
      </c>
      <c r="M23">
        <f t="shared" si="8"/>
        <v>40</v>
      </c>
      <c r="N23">
        <f t="shared" si="8"/>
        <v>22</v>
      </c>
      <c r="O23">
        <f t="shared" si="8"/>
        <v>20</v>
      </c>
      <c r="P23">
        <f t="shared" si="8"/>
        <v>35</v>
      </c>
      <c r="Q23">
        <f t="shared" si="8"/>
        <v>29</v>
      </c>
      <c r="R23">
        <f t="shared" si="8"/>
        <v>6</v>
      </c>
      <c r="S23">
        <f t="shared" si="8"/>
        <v>2</v>
      </c>
      <c r="T23">
        <f t="shared" si="8"/>
        <v>42</v>
      </c>
      <c r="U23">
        <f t="shared" si="8"/>
        <v>8</v>
      </c>
      <c r="V23">
        <f t="shared" si="8"/>
        <v>38</v>
      </c>
      <c r="W23">
        <f t="shared" si="8"/>
        <v>7</v>
      </c>
      <c r="X23">
        <f t="shared" si="8"/>
        <v>36</v>
      </c>
      <c r="Y23">
        <f t="shared" si="8"/>
        <v>1</v>
      </c>
      <c r="Z23">
        <f t="shared" si="8"/>
        <v>31</v>
      </c>
      <c r="AA23">
        <f t="shared" si="8"/>
        <v>33</v>
      </c>
      <c r="AB23">
        <f t="shared" si="8"/>
        <v>33</v>
      </c>
      <c r="AC23">
        <f t="shared" si="8"/>
        <v>13</v>
      </c>
      <c r="AD23">
        <f t="shared" si="8"/>
        <v>32</v>
      </c>
      <c r="AE23">
        <f t="shared" si="8"/>
        <v>18</v>
      </c>
      <c r="AF23">
        <f t="shared" si="8"/>
        <v>26</v>
      </c>
      <c r="AG23">
        <f t="shared" si="8"/>
        <v>26</v>
      </c>
      <c r="AH23">
        <f t="shared" si="8"/>
        <v>10</v>
      </c>
      <c r="AI23">
        <f t="shared" si="8"/>
        <v>11</v>
      </c>
      <c r="AJ23">
        <f t="shared" si="8"/>
        <v>15</v>
      </c>
      <c r="AK23">
        <f t="shared" si="8"/>
        <v>16</v>
      </c>
      <c r="AL23">
        <f t="shared" si="8"/>
        <v>47</v>
      </c>
      <c r="AM23">
        <f t="shared" si="8"/>
        <v>25</v>
      </c>
      <c r="AN23">
        <f t="shared" si="8"/>
        <v>39</v>
      </c>
      <c r="AO23">
        <f t="shared" si="8"/>
        <v>5</v>
      </c>
      <c r="AP23">
        <f t="shared" si="8"/>
        <v>45</v>
      </c>
      <c r="AQ23">
        <f t="shared" si="8"/>
        <v>20</v>
      </c>
      <c r="AR23">
        <f t="shared" si="8"/>
        <v>9</v>
      </c>
      <c r="AS23">
        <f t="shared" si="8"/>
        <v>45</v>
      </c>
      <c r="AT23">
        <f t="shared" si="8"/>
        <v>50</v>
      </c>
      <c r="AU23">
        <f t="shared" si="8"/>
        <v>16</v>
      </c>
      <c r="AV23">
        <f t="shared" si="8"/>
        <v>40</v>
      </c>
      <c r="AW23">
        <f t="shared" si="8"/>
        <v>18</v>
      </c>
      <c r="AX23">
        <f t="shared" si="8"/>
        <v>29</v>
      </c>
      <c r="AY23">
        <f t="shared" si="8"/>
        <v>23</v>
      </c>
    </row>
    <row r="24" spans="1:51" x14ac:dyDescent="0.25">
      <c r="A24">
        <v>2021</v>
      </c>
      <c r="B24">
        <f>RANK(B10,$B$10:$AY$10,0)</f>
        <v>3</v>
      </c>
      <c r="C24">
        <f t="shared" ref="C24:AY24" si="9">RANK(C10,$B$10:$AY$10,0)</f>
        <v>31</v>
      </c>
      <c r="D24">
        <f t="shared" si="9"/>
        <v>16</v>
      </c>
      <c r="E24">
        <f t="shared" si="9"/>
        <v>16</v>
      </c>
      <c r="F24">
        <f t="shared" si="9"/>
        <v>41</v>
      </c>
      <c r="G24">
        <f t="shared" si="9"/>
        <v>36</v>
      </c>
      <c r="H24">
        <f t="shared" si="9"/>
        <v>41</v>
      </c>
      <c r="I24">
        <f t="shared" si="9"/>
        <v>20</v>
      </c>
      <c r="J24">
        <f t="shared" si="9"/>
        <v>11</v>
      </c>
      <c r="K24">
        <f t="shared" si="9"/>
        <v>4</v>
      </c>
      <c r="L24">
        <f t="shared" si="9"/>
        <v>45</v>
      </c>
      <c r="M24">
        <f t="shared" si="9"/>
        <v>49</v>
      </c>
      <c r="N24">
        <f t="shared" si="9"/>
        <v>26</v>
      </c>
      <c r="O24">
        <f t="shared" si="9"/>
        <v>19</v>
      </c>
      <c r="P24">
        <f t="shared" si="9"/>
        <v>50</v>
      </c>
      <c r="Q24">
        <f t="shared" si="9"/>
        <v>20</v>
      </c>
      <c r="R24">
        <f t="shared" si="9"/>
        <v>23</v>
      </c>
      <c r="S24">
        <f t="shared" si="9"/>
        <v>2</v>
      </c>
      <c r="T24">
        <f t="shared" si="9"/>
        <v>44</v>
      </c>
      <c r="U24">
        <f t="shared" si="9"/>
        <v>6</v>
      </c>
      <c r="V24">
        <f t="shared" si="9"/>
        <v>36</v>
      </c>
      <c r="W24">
        <f t="shared" si="9"/>
        <v>8</v>
      </c>
      <c r="X24">
        <f t="shared" si="9"/>
        <v>33</v>
      </c>
      <c r="Y24">
        <f t="shared" si="9"/>
        <v>1</v>
      </c>
      <c r="Z24">
        <f t="shared" si="9"/>
        <v>32</v>
      </c>
      <c r="AA24">
        <f t="shared" si="9"/>
        <v>25</v>
      </c>
      <c r="AB24">
        <f t="shared" si="9"/>
        <v>33</v>
      </c>
      <c r="AC24">
        <f t="shared" si="9"/>
        <v>11</v>
      </c>
      <c r="AD24">
        <f t="shared" si="9"/>
        <v>41</v>
      </c>
      <c r="AE24">
        <f t="shared" si="9"/>
        <v>23</v>
      </c>
      <c r="AF24">
        <f t="shared" si="9"/>
        <v>27</v>
      </c>
      <c r="AG24">
        <f t="shared" si="9"/>
        <v>30</v>
      </c>
      <c r="AH24">
        <f t="shared" si="9"/>
        <v>10</v>
      </c>
      <c r="AI24">
        <f t="shared" si="9"/>
        <v>13</v>
      </c>
      <c r="AJ24">
        <f t="shared" si="9"/>
        <v>18</v>
      </c>
      <c r="AK24">
        <f t="shared" si="9"/>
        <v>15</v>
      </c>
      <c r="AL24">
        <f t="shared" si="9"/>
        <v>45</v>
      </c>
      <c r="AM24">
        <f t="shared" si="9"/>
        <v>27</v>
      </c>
      <c r="AN24">
        <f t="shared" si="9"/>
        <v>39</v>
      </c>
      <c r="AO24">
        <f t="shared" si="9"/>
        <v>5</v>
      </c>
      <c r="AP24">
        <f t="shared" si="9"/>
        <v>39</v>
      </c>
      <c r="AQ24">
        <f t="shared" si="9"/>
        <v>20</v>
      </c>
      <c r="AR24">
        <f t="shared" si="9"/>
        <v>8</v>
      </c>
      <c r="AS24">
        <f t="shared" si="9"/>
        <v>45</v>
      </c>
      <c r="AT24">
        <f t="shared" si="9"/>
        <v>35</v>
      </c>
      <c r="AU24">
        <f t="shared" si="9"/>
        <v>14</v>
      </c>
      <c r="AV24">
        <f t="shared" si="9"/>
        <v>45</v>
      </c>
      <c r="AW24">
        <f t="shared" si="9"/>
        <v>7</v>
      </c>
      <c r="AX24">
        <f t="shared" si="9"/>
        <v>36</v>
      </c>
      <c r="AY24">
        <f t="shared" si="9"/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3654-FB56-4823-9DE2-10814FDCFFB7}">
  <dimension ref="A1:AY16"/>
  <sheetViews>
    <sheetView workbookViewId="0">
      <selection activeCell="B17" sqref="B17"/>
    </sheetView>
  </sheetViews>
  <sheetFormatPr defaultColWidth="8.85546875" defaultRowHeight="15" x14ac:dyDescent="0.25"/>
  <sheetData>
    <row r="1" spans="1:5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48</v>
      </c>
    </row>
    <row r="2" spans="1:51" x14ac:dyDescent="0.25">
      <c r="A2">
        <v>2013</v>
      </c>
      <c r="B2">
        <v>72</v>
      </c>
      <c r="C2">
        <v>57</v>
      </c>
      <c r="D2">
        <v>57</v>
      </c>
      <c r="E2">
        <v>54</v>
      </c>
      <c r="F2">
        <v>41</v>
      </c>
      <c r="G2">
        <v>58</v>
      </c>
      <c r="H2">
        <v>50</v>
      </c>
      <c r="I2">
        <v>54</v>
      </c>
      <c r="J2">
        <v>51</v>
      </c>
      <c r="K2">
        <v>72</v>
      </c>
      <c r="L2">
        <v>59</v>
      </c>
      <c r="M2">
        <v>51</v>
      </c>
      <c r="N2">
        <v>63</v>
      </c>
      <c r="O2">
        <v>70</v>
      </c>
      <c r="P2">
        <v>71</v>
      </c>
      <c r="Q2">
        <v>74</v>
      </c>
      <c r="R2">
        <v>78</v>
      </c>
      <c r="S2">
        <v>70</v>
      </c>
      <c r="T2">
        <v>63</v>
      </c>
      <c r="U2">
        <v>55</v>
      </c>
      <c r="V2">
        <v>54</v>
      </c>
      <c r="W2">
        <v>66</v>
      </c>
      <c r="X2">
        <v>61</v>
      </c>
      <c r="Y2">
        <v>100</v>
      </c>
      <c r="Z2">
        <v>74</v>
      </c>
      <c r="AA2">
        <v>53</v>
      </c>
      <c r="AB2">
        <v>68</v>
      </c>
      <c r="AC2">
        <v>54</v>
      </c>
      <c r="AD2">
        <v>47</v>
      </c>
      <c r="AE2">
        <v>53</v>
      </c>
      <c r="AF2">
        <v>42</v>
      </c>
      <c r="AG2">
        <v>49</v>
      </c>
      <c r="AH2">
        <v>63</v>
      </c>
      <c r="AI2">
        <v>94</v>
      </c>
      <c r="AJ2">
        <v>66</v>
      </c>
      <c r="AK2">
        <v>71</v>
      </c>
      <c r="AL2">
        <v>32</v>
      </c>
      <c r="AM2">
        <v>64</v>
      </c>
      <c r="AN2">
        <v>48</v>
      </c>
      <c r="AO2">
        <v>72</v>
      </c>
      <c r="AP2">
        <v>86</v>
      </c>
      <c r="AQ2">
        <v>78</v>
      </c>
      <c r="AR2">
        <v>52</v>
      </c>
      <c r="AS2">
        <v>51</v>
      </c>
      <c r="AT2">
        <v>50</v>
      </c>
      <c r="AU2">
        <v>62</v>
      </c>
      <c r="AV2">
        <v>57</v>
      </c>
      <c r="AW2">
        <v>85</v>
      </c>
      <c r="AX2">
        <v>60</v>
      </c>
      <c r="AY2">
        <v>52</v>
      </c>
    </row>
    <row r="3" spans="1:51" x14ac:dyDescent="0.25">
      <c r="A3">
        <v>2014</v>
      </c>
      <c r="B3">
        <v>74</v>
      </c>
      <c r="C3">
        <v>57</v>
      </c>
      <c r="D3">
        <v>53</v>
      </c>
      <c r="E3">
        <v>60</v>
      </c>
      <c r="F3">
        <v>40</v>
      </c>
      <c r="G3">
        <v>57</v>
      </c>
      <c r="H3">
        <v>47</v>
      </c>
      <c r="I3">
        <v>48</v>
      </c>
      <c r="J3">
        <v>52</v>
      </c>
      <c r="K3">
        <v>76</v>
      </c>
      <c r="L3">
        <v>52</v>
      </c>
      <c r="M3">
        <v>56</v>
      </c>
      <c r="N3">
        <v>68</v>
      </c>
      <c r="O3">
        <v>67</v>
      </c>
      <c r="P3">
        <v>66</v>
      </c>
      <c r="Q3">
        <v>72</v>
      </c>
      <c r="R3">
        <v>81</v>
      </c>
      <c r="S3">
        <v>73</v>
      </c>
      <c r="T3">
        <v>53</v>
      </c>
      <c r="U3">
        <v>48</v>
      </c>
      <c r="V3">
        <v>56</v>
      </c>
      <c r="W3">
        <v>65</v>
      </c>
      <c r="X3">
        <v>63</v>
      </c>
      <c r="Y3">
        <v>100</v>
      </c>
      <c r="Z3">
        <v>73</v>
      </c>
      <c r="AA3">
        <v>66</v>
      </c>
      <c r="AB3">
        <v>73</v>
      </c>
      <c r="AC3">
        <v>61</v>
      </c>
      <c r="AD3">
        <v>55</v>
      </c>
      <c r="AE3">
        <v>49</v>
      </c>
      <c r="AF3">
        <v>62</v>
      </c>
      <c r="AG3">
        <v>51</v>
      </c>
      <c r="AH3">
        <v>65</v>
      </c>
      <c r="AI3">
        <v>89</v>
      </c>
      <c r="AJ3">
        <v>64</v>
      </c>
      <c r="AK3">
        <v>69</v>
      </c>
      <c r="AL3">
        <v>30</v>
      </c>
      <c r="AM3">
        <v>65</v>
      </c>
      <c r="AN3">
        <v>69</v>
      </c>
      <c r="AO3">
        <v>75</v>
      </c>
      <c r="AP3">
        <v>79</v>
      </c>
      <c r="AQ3">
        <v>77</v>
      </c>
      <c r="AR3">
        <v>54</v>
      </c>
      <c r="AS3">
        <v>64</v>
      </c>
      <c r="AT3">
        <v>56</v>
      </c>
      <c r="AU3">
        <v>55</v>
      </c>
      <c r="AV3">
        <v>50</v>
      </c>
      <c r="AW3">
        <v>94</v>
      </c>
      <c r="AX3">
        <v>59</v>
      </c>
      <c r="AY3">
        <v>92</v>
      </c>
    </row>
    <row r="4" spans="1:51" x14ac:dyDescent="0.25">
      <c r="A4">
        <v>2015</v>
      </c>
      <c r="B4">
        <v>66</v>
      </c>
      <c r="C4">
        <v>54</v>
      </c>
      <c r="D4">
        <v>49</v>
      </c>
      <c r="E4">
        <v>72</v>
      </c>
      <c r="F4">
        <v>42</v>
      </c>
      <c r="G4">
        <v>51</v>
      </c>
      <c r="H4">
        <v>53</v>
      </c>
      <c r="I4">
        <v>54</v>
      </c>
      <c r="J4">
        <v>53</v>
      </c>
      <c r="K4">
        <v>73</v>
      </c>
      <c r="L4">
        <v>71</v>
      </c>
      <c r="M4">
        <v>65</v>
      </c>
      <c r="N4">
        <v>61</v>
      </c>
      <c r="O4">
        <v>72</v>
      </c>
      <c r="P4">
        <v>55</v>
      </c>
      <c r="Q4">
        <v>54</v>
      </c>
      <c r="R4">
        <v>86</v>
      </c>
      <c r="S4">
        <v>75</v>
      </c>
      <c r="T4">
        <v>77</v>
      </c>
      <c r="U4">
        <v>55</v>
      </c>
      <c r="V4">
        <v>53</v>
      </c>
      <c r="W4">
        <v>74</v>
      </c>
      <c r="X4">
        <v>65</v>
      </c>
      <c r="Y4">
        <v>92</v>
      </c>
      <c r="Z4">
        <v>75</v>
      </c>
      <c r="AA4">
        <v>76</v>
      </c>
      <c r="AB4">
        <v>68</v>
      </c>
      <c r="AC4">
        <v>63</v>
      </c>
      <c r="AD4">
        <v>53</v>
      </c>
      <c r="AE4">
        <v>48</v>
      </c>
      <c r="AF4">
        <v>59</v>
      </c>
      <c r="AG4">
        <v>53</v>
      </c>
      <c r="AH4">
        <v>67</v>
      </c>
      <c r="AI4">
        <v>100</v>
      </c>
      <c r="AJ4">
        <v>69</v>
      </c>
      <c r="AK4">
        <v>72</v>
      </c>
      <c r="AL4">
        <v>38</v>
      </c>
      <c r="AM4">
        <v>61</v>
      </c>
      <c r="AN4">
        <v>54</v>
      </c>
      <c r="AO4">
        <v>94</v>
      </c>
      <c r="AP4">
        <v>89</v>
      </c>
      <c r="AQ4">
        <v>71</v>
      </c>
      <c r="AR4">
        <v>56</v>
      </c>
      <c r="AS4">
        <v>61</v>
      </c>
      <c r="AT4">
        <v>65</v>
      </c>
      <c r="AU4">
        <v>42</v>
      </c>
      <c r="AV4">
        <v>52</v>
      </c>
      <c r="AW4">
        <v>98</v>
      </c>
      <c r="AX4">
        <v>67</v>
      </c>
      <c r="AY4">
        <v>92</v>
      </c>
    </row>
    <row r="5" spans="1:51" x14ac:dyDescent="0.25">
      <c r="A5">
        <v>2016</v>
      </c>
      <c r="B5">
        <v>81</v>
      </c>
      <c r="C5">
        <v>51</v>
      </c>
      <c r="D5">
        <v>48</v>
      </c>
      <c r="E5">
        <v>87</v>
      </c>
      <c r="F5">
        <v>39</v>
      </c>
      <c r="G5">
        <v>52</v>
      </c>
      <c r="H5">
        <v>50</v>
      </c>
      <c r="I5">
        <v>62</v>
      </c>
      <c r="J5">
        <v>49</v>
      </c>
      <c r="K5">
        <v>66</v>
      </c>
      <c r="L5">
        <v>64</v>
      </c>
      <c r="M5">
        <v>77</v>
      </c>
      <c r="N5">
        <v>55</v>
      </c>
      <c r="O5">
        <v>75</v>
      </c>
      <c r="P5">
        <v>69</v>
      </c>
      <c r="Q5">
        <v>67</v>
      </c>
      <c r="R5">
        <v>87</v>
      </c>
      <c r="S5">
        <v>80</v>
      </c>
      <c r="T5">
        <v>64</v>
      </c>
      <c r="U5">
        <v>56</v>
      </c>
      <c r="V5">
        <v>49</v>
      </c>
      <c r="W5">
        <v>69</v>
      </c>
      <c r="X5">
        <v>54</v>
      </c>
      <c r="Y5">
        <v>72</v>
      </c>
      <c r="Z5">
        <v>70</v>
      </c>
      <c r="AA5">
        <v>42</v>
      </c>
      <c r="AB5">
        <v>73</v>
      </c>
      <c r="AC5">
        <v>53</v>
      </c>
      <c r="AD5">
        <v>46</v>
      </c>
      <c r="AE5">
        <v>47</v>
      </c>
      <c r="AF5">
        <v>54</v>
      </c>
      <c r="AG5">
        <v>52</v>
      </c>
      <c r="AH5">
        <v>63</v>
      </c>
      <c r="AI5">
        <v>54</v>
      </c>
      <c r="AJ5">
        <v>70</v>
      </c>
      <c r="AK5">
        <v>72</v>
      </c>
      <c r="AL5">
        <v>46</v>
      </c>
      <c r="AM5">
        <v>63</v>
      </c>
      <c r="AN5">
        <v>45</v>
      </c>
      <c r="AO5">
        <v>79</v>
      </c>
      <c r="AP5">
        <v>86</v>
      </c>
      <c r="AQ5">
        <v>73</v>
      </c>
      <c r="AR5">
        <v>52</v>
      </c>
      <c r="AS5">
        <v>63</v>
      </c>
      <c r="AT5">
        <v>63</v>
      </c>
      <c r="AU5">
        <v>48</v>
      </c>
      <c r="AV5">
        <v>49</v>
      </c>
      <c r="AW5">
        <v>100</v>
      </c>
      <c r="AX5">
        <v>70</v>
      </c>
      <c r="AY5">
        <v>76</v>
      </c>
    </row>
    <row r="6" spans="1:51" x14ac:dyDescent="0.25">
      <c r="A6">
        <v>2017</v>
      </c>
      <c r="B6">
        <v>71</v>
      </c>
      <c r="C6">
        <v>49</v>
      </c>
      <c r="D6">
        <v>57</v>
      </c>
      <c r="E6">
        <v>77</v>
      </c>
      <c r="F6">
        <v>41</v>
      </c>
      <c r="G6">
        <v>47</v>
      </c>
      <c r="H6">
        <v>45</v>
      </c>
      <c r="I6">
        <v>66</v>
      </c>
      <c r="J6">
        <v>47</v>
      </c>
      <c r="K6">
        <v>63</v>
      </c>
      <c r="L6">
        <v>64</v>
      </c>
      <c r="M6">
        <v>62</v>
      </c>
      <c r="N6">
        <v>53</v>
      </c>
      <c r="O6">
        <v>73</v>
      </c>
      <c r="P6">
        <v>72</v>
      </c>
      <c r="Q6">
        <v>67</v>
      </c>
      <c r="R6">
        <v>84</v>
      </c>
      <c r="S6">
        <v>85</v>
      </c>
      <c r="T6">
        <v>56</v>
      </c>
      <c r="U6">
        <v>50</v>
      </c>
      <c r="V6">
        <v>45</v>
      </c>
      <c r="W6">
        <v>66</v>
      </c>
      <c r="X6">
        <v>60</v>
      </c>
      <c r="Y6">
        <v>81</v>
      </c>
      <c r="Z6">
        <v>67</v>
      </c>
      <c r="AA6">
        <v>56</v>
      </c>
      <c r="AB6">
        <v>72</v>
      </c>
      <c r="AC6">
        <v>59</v>
      </c>
      <c r="AD6">
        <v>61</v>
      </c>
      <c r="AE6">
        <v>46</v>
      </c>
      <c r="AF6">
        <v>54</v>
      </c>
      <c r="AG6">
        <v>48</v>
      </c>
      <c r="AH6">
        <v>66</v>
      </c>
      <c r="AI6">
        <v>70</v>
      </c>
      <c r="AJ6">
        <v>69</v>
      </c>
      <c r="AK6">
        <v>70</v>
      </c>
      <c r="AL6">
        <v>41</v>
      </c>
      <c r="AM6">
        <v>65</v>
      </c>
      <c r="AN6">
        <v>56</v>
      </c>
      <c r="AO6">
        <v>70</v>
      </c>
      <c r="AP6">
        <v>78</v>
      </c>
      <c r="AQ6">
        <v>76</v>
      </c>
      <c r="AR6">
        <v>53</v>
      </c>
      <c r="AS6">
        <v>70</v>
      </c>
      <c r="AT6">
        <v>43</v>
      </c>
      <c r="AU6">
        <v>50</v>
      </c>
      <c r="AV6">
        <v>45</v>
      </c>
      <c r="AW6">
        <v>100</v>
      </c>
      <c r="AX6">
        <v>59</v>
      </c>
      <c r="AY6">
        <v>65</v>
      </c>
    </row>
    <row r="7" spans="1:51" x14ac:dyDescent="0.25">
      <c r="A7">
        <v>2018</v>
      </c>
      <c r="B7">
        <v>85</v>
      </c>
      <c r="C7">
        <v>56</v>
      </c>
      <c r="D7">
        <v>59</v>
      </c>
      <c r="E7">
        <v>97</v>
      </c>
      <c r="F7">
        <v>45</v>
      </c>
      <c r="G7">
        <v>58</v>
      </c>
      <c r="H7">
        <v>55</v>
      </c>
      <c r="I7">
        <v>74</v>
      </c>
      <c r="J7">
        <v>54</v>
      </c>
      <c r="K7">
        <v>77</v>
      </c>
      <c r="L7">
        <v>51</v>
      </c>
      <c r="M7">
        <v>74</v>
      </c>
      <c r="N7">
        <v>64</v>
      </c>
      <c r="O7">
        <v>86</v>
      </c>
      <c r="P7">
        <v>75</v>
      </c>
      <c r="Q7">
        <v>81</v>
      </c>
      <c r="R7">
        <v>92</v>
      </c>
      <c r="S7">
        <v>87</v>
      </c>
      <c r="T7">
        <v>56</v>
      </c>
      <c r="U7">
        <v>64</v>
      </c>
      <c r="V7">
        <v>52</v>
      </c>
      <c r="W7">
        <v>78</v>
      </c>
      <c r="X7">
        <v>65</v>
      </c>
      <c r="Y7">
        <v>100</v>
      </c>
      <c r="Z7">
        <v>81</v>
      </c>
      <c r="AA7">
        <v>68</v>
      </c>
      <c r="AB7">
        <v>82</v>
      </c>
      <c r="AC7">
        <v>63</v>
      </c>
      <c r="AD7">
        <v>61</v>
      </c>
      <c r="AE7">
        <v>49</v>
      </c>
      <c r="AF7">
        <v>70</v>
      </c>
      <c r="AG7">
        <v>53</v>
      </c>
      <c r="AH7">
        <v>77</v>
      </c>
      <c r="AI7">
        <v>96</v>
      </c>
      <c r="AJ7">
        <v>77</v>
      </c>
      <c r="AK7">
        <v>81</v>
      </c>
      <c r="AL7">
        <v>48</v>
      </c>
      <c r="AM7">
        <v>70</v>
      </c>
      <c r="AN7">
        <v>45</v>
      </c>
      <c r="AO7">
        <v>80</v>
      </c>
      <c r="AP7">
        <v>90</v>
      </c>
      <c r="AQ7">
        <v>72</v>
      </c>
      <c r="AR7">
        <v>60</v>
      </c>
      <c r="AS7">
        <v>83</v>
      </c>
      <c r="AT7">
        <v>38</v>
      </c>
      <c r="AU7">
        <v>61</v>
      </c>
      <c r="AV7">
        <v>53</v>
      </c>
      <c r="AW7">
        <v>96</v>
      </c>
      <c r="AX7">
        <v>69</v>
      </c>
      <c r="AY7">
        <v>64</v>
      </c>
    </row>
    <row r="8" spans="1:51" x14ac:dyDescent="0.25">
      <c r="A8">
        <v>2019</v>
      </c>
      <c r="B8">
        <v>75</v>
      </c>
      <c r="C8">
        <v>37</v>
      </c>
      <c r="D8">
        <v>47</v>
      </c>
      <c r="E8">
        <v>90</v>
      </c>
      <c r="F8">
        <v>40</v>
      </c>
      <c r="G8">
        <v>47</v>
      </c>
      <c r="H8">
        <v>47</v>
      </c>
      <c r="I8">
        <v>53</v>
      </c>
      <c r="J8">
        <v>43</v>
      </c>
      <c r="K8">
        <v>65</v>
      </c>
      <c r="L8">
        <v>60</v>
      </c>
      <c r="M8">
        <v>57</v>
      </c>
      <c r="N8">
        <v>52</v>
      </c>
      <c r="O8">
        <v>74</v>
      </c>
      <c r="P8">
        <v>58</v>
      </c>
      <c r="Q8">
        <v>68</v>
      </c>
      <c r="R8">
        <v>81</v>
      </c>
      <c r="S8">
        <v>65</v>
      </c>
      <c r="T8">
        <v>62</v>
      </c>
      <c r="U8">
        <v>67</v>
      </c>
      <c r="V8">
        <v>43</v>
      </c>
      <c r="W8">
        <v>60</v>
      </c>
      <c r="X8">
        <v>56</v>
      </c>
      <c r="Y8">
        <v>88</v>
      </c>
      <c r="Z8">
        <v>69</v>
      </c>
      <c r="AA8">
        <v>60</v>
      </c>
      <c r="AB8">
        <v>57</v>
      </c>
      <c r="AC8">
        <v>54</v>
      </c>
      <c r="AD8">
        <v>33</v>
      </c>
      <c r="AE8">
        <v>44</v>
      </c>
      <c r="AF8">
        <v>64</v>
      </c>
      <c r="AG8">
        <v>43</v>
      </c>
      <c r="AH8">
        <v>64</v>
      </c>
      <c r="AI8">
        <v>52</v>
      </c>
      <c r="AJ8">
        <v>72</v>
      </c>
      <c r="AK8">
        <v>69</v>
      </c>
      <c r="AL8">
        <v>49</v>
      </c>
      <c r="AM8">
        <v>68</v>
      </c>
      <c r="AN8">
        <v>53</v>
      </c>
      <c r="AO8">
        <v>66</v>
      </c>
      <c r="AP8">
        <v>87</v>
      </c>
      <c r="AQ8">
        <v>71</v>
      </c>
      <c r="AR8">
        <v>55</v>
      </c>
      <c r="AS8">
        <v>75</v>
      </c>
      <c r="AT8">
        <v>58</v>
      </c>
      <c r="AU8">
        <v>55</v>
      </c>
      <c r="AV8">
        <v>48</v>
      </c>
      <c r="AW8">
        <v>100</v>
      </c>
      <c r="AX8">
        <v>59</v>
      </c>
      <c r="AY8">
        <v>50</v>
      </c>
    </row>
    <row r="9" spans="1:51" x14ac:dyDescent="0.25">
      <c r="A9">
        <v>2020</v>
      </c>
      <c r="B9">
        <v>83</v>
      </c>
      <c r="C9">
        <v>54</v>
      </c>
      <c r="D9">
        <v>64</v>
      </c>
      <c r="E9">
        <v>88</v>
      </c>
      <c r="F9">
        <v>44</v>
      </c>
      <c r="G9">
        <v>55</v>
      </c>
      <c r="H9">
        <v>54</v>
      </c>
      <c r="I9">
        <v>74</v>
      </c>
      <c r="J9">
        <v>51</v>
      </c>
      <c r="K9">
        <v>71</v>
      </c>
      <c r="L9">
        <v>59</v>
      </c>
      <c r="M9">
        <v>76</v>
      </c>
      <c r="N9">
        <v>62</v>
      </c>
      <c r="O9">
        <v>79</v>
      </c>
      <c r="P9">
        <v>74</v>
      </c>
      <c r="Q9">
        <v>81</v>
      </c>
      <c r="R9">
        <v>82</v>
      </c>
      <c r="S9">
        <v>82</v>
      </c>
      <c r="T9">
        <v>43</v>
      </c>
      <c r="U9">
        <v>63</v>
      </c>
      <c r="V9">
        <v>50</v>
      </c>
      <c r="W9">
        <v>69</v>
      </c>
      <c r="X9">
        <v>57</v>
      </c>
      <c r="Y9">
        <v>95</v>
      </c>
      <c r="Z9">
        <v>79</v>
      </c>
      <c r="AA9">
        <v>85</v>
      </c>
      <c r="AB9">
        <v>78</v>
      </c>
      <c r="AC9">
        <v>63</v>
      </c>
      <c r="AD9">
        <v>59</v>
      </c>
      <c r="AE9">
        <v>47</v>
      </c>
      <c r="AF9">
        <v>60</v>
      </c>
      <c r="AG9">
        <v>47</v>
      </c>
      <c r="AH9">
        <v>69</v>
      </c>
      <c r="AI9">
        <v>83</v>
      </c>
      <c r="AJ9">
        <v>77</v>
      </c>
      <c r="AK9">
        <v>83</v>
      </c>
      <c r="AL9">
        <v>51</v>
      </c>
      <c r="AM9">
        <v>69</v>
      </c>
      <c r="AN9">
        <v>72</v>
      </c>
      <c r="AO9">
        <v>72</v>
      </c>
      <c r="AP9">
        <v>77</v>
      </c>
      <c r="AQ9">
        <v>74</v>
      </c>
      <c r="AR9">
        <v>52</v>
      </c>
      <c r="AS9">
        <v>83</v>
      </c>
      <c r="AT9">
        <v>43</v>
      </c>
      <c r="AU9">
        <v>66</v>
      </c>
      <c r="AV9">
        <v>52</v>
      </c>
      <c r="AW9">
        <v>100</v>
      </c>
      <c r="AX9">
        <v>64</v>
      </c>
      <c r="AY9">
        <v>100</v>
      </c>
    </row>
    <row r="10" spans="1:51" x14ac:dyDescent="0.25">
      <c r="A10">
        <v>2021</v>
      </c>
      <c r="B10">
        <v>85</v>
      </c>
      <c r="C10">
        <v>48</v>
      </c>
      <c r="D10">
        <v>55</v>
      </c>
      <c r="E10">
        <v>88</v>
      </c>
      <c r="F10">
        <v>41</v>
      </c>
      <c r="G10">
        <v>48</v>
      </c>
      <c r="H10">
        <v>45</v>
      </c>
      <c r="I10">
        <v>65</v>
      </c>
      <c r="J10">
        <v>43</v>
      </c>
      <c r="K10">
        <v>57</v>
      </c>
      <c r="L10">
        <v>58</v>
      </c>
      <c r="M10">
        <v>52</v>
      </c>
      <c r="N10">
        <v>54</v>
      </c>
      <c r="O10">
        <v>70</v>
      </c>
      <c r="P10">
        <v>73</v>
      </c>
      <c r="Q10">
        <v>68</v>
      </c>
      <c r="R10">
        <v>79</v>
      </c>
      <c r="S10">
        <v>70</v>
      </c>
      <c r="T10">
        <v>44</v>
      </c>
      <c r="U10">
        <v>46</v>
      </c>
      <c r="V10">
        <v>46</v>
      </c>
      <c r="W10">
        <v>69</v>
      </c>
      <c r="X10">
        <v>50</v>
      </c>
      <c r="Y10">
        <v>100</v>
      </c>
      <c r="Z10">
        <v>77</v>
      </c>
      <c r="AA10">
        <v>44</v>
      </c>
      <c r="AB10">
        <v>84</v>
      </c>
      <c r="AC10">
        <v>49</v>
      </c>
      <c r="AD10">
        <v>56</v>
      </c>
      <c r="AE10">
        <v>45</v>
      </c>
      <c r="AF10">
        <v>46</v>
      </c>
      <c r="AG10">
        <v>40</v>
      </c>
      <c r="AH10">
        <v>56</v>
      </c>
      <c r="AI10">
        <v>58</v>
      </c>
      <c r="AJ10">
        <v>82</v>
      </c>
      <c r="AK10">
        <v>68</v>
      </c>
      <c r="AL10">
        <v>46</v>
      </c>
      <c r="AM10">
        <v>64</v>
      </c>
      <c r="AN10">
        <v>40</v>
      </c>
      <c r="AO10">
        <v>63</v>
      </c>
      <c r="AP10">
        <v>82</v>
      </c>
      <c r="AQ10">
        <v>65</v>
      </c>
      <c r="AR10">
        <v>50</v>
      </c>
      <c r="AS10">
        <v>73</v>
      </c>
      <c r="AT10">
        <v>14</v>
      </c>
      <c r="AU10">
        <v>50</v>
      </c>
      <c r="AV10">
        <v>48</v>
      </c>
      <c r="AW10">
        <v>85</v>
      </c>
      <c r="AX10">
        <v>70</v>
      </c>
      <c r="AY10">
        <v>50</v>
      </c>
    </row>
    <row r="11" spans="1:51" x14ac:dyDescent="0.25">
      <c r="B11" s="2">
        <f>AVERAGE(B2:B10)</f>
        <v>76.888888888888886</v>
      </c>
      <c r="C11" s="2">
        <f t="shared" ref="C11:AY11" si="0">AVERAGE(C2:C10)</f>
        <v>51.444444444444443</v>
      </c>
      <c r="D11" s="2">
        <f t="shared" si="0"/>
        <v>54.333333333333336</v>
      </c>
      <c r="E11" s="2">
        <f t="shared" si="0"/>
        <v>79.222222222222229</v>
      </c>
      <c r="F11" s="2">
        <f t="shared" si="0"/>
        <v>41.444444444444443</v>
      </c>
      <c r="G11" s="2">
        <f t="shared" si="0"/>
        <v>52.555555555555557</v>
      </c>
      <c r="H11" s="2">
        <f t="shared" si="0"/>
        <v>49.555555555555557</v>
      </c>
      <c r="I11" s="2">
        <f t="shared" si="0"/>
        <v>61.111111111111114</v>
      </c>
      <c r="J11" s="2">
        <f t="shared" si="0"/>
        <v>49.222222222222221</v>
      </c>
      <c r="K11" s="2">
        <f t="shared" si="0"/>
        <v>68.888888888888886</v>
      </c>
      <c r="L11" s="2">
        <f t="shared" si="0"/>
        <v>59.777777777777779</v>
      </c>
      <c r="M11" s="2">
        <f t="shared" si="0"/>
        <v>63.333333333333336</v>
      </c>
      <c r="N11" s="2">
        <f t="shared" si="0"/>
        <v>59.111111111111114</v>
      </c>
      <c r="O11" s="2">
        <f t="shared" si="0"/>
        <v>74</v>
      </c>
      <c r="P11" s="2">
        <f t="shared" si="0"/>
        <v>68.111111111111114</v>
      </c>
      <c r="Q11" s="2">
        <f t="shared" si="0"/>
        <v>70.222222222222229</v>
      </c>
      <c r="R11" s="2">
        <f t="shared" si="0"/>
        <v>83.333333333333329</v>
      </c>
      <c r="S11" s="2">
        <f t="shared" si="0"/>
        <v>76.333333333333329</v>
      </c>
      <c r="T11" s="2">
        <f t="shared" si="0"/>
        <v>57.555555555555557</v>
      </c>
      <c r="U11" s="2">
        <f t="shared" si="0"/>
        <v>56</v>
      </c>
      <c r="V11" s="2">
        <f t="shared" si="0"/>
        <v>49.777777777777779</v>
      </c>
      <c r="W11" s="2">
        <f t="shared" si="0"/>
        <v>68.444444444444443</v>
      </c>
      <c r="X11" s="2">
        <f t="shared" si="0"/>
        <v>59</v>
      </c>
      <c r="Y11" s="2">
        <f t="shared" si="0"/>
        <v>92</v>
      </c>
      <c r="Z11" s="2">
        <f t="shared" si="0"/>
        <v>73.888888888888886</v>
      </c>
      <c r="AA11" s="2">
        <f t="shared" si="0"/>
        <v>61.111111111111114</v>
      </c>
      <c r="AB11" s="2">
        <f t="shared" si="0"/>
        <v>72.777777777777771</v>
      </c>
      <c r="AC11" s="2">
        <f t="shared" si="0"/>
        <v>57.666666666666664</v>
      </c>
      <c r="AD11" s="2">
        <f t="shared" si="0"/>
        <v>52.333333333333336</v>
      </c>
      <c r="AE11" s="2">
        <f t="shared" si="0"/>
        <v>47.555555555555557</v>
      </c>
      <c r="AF11" s="2">
        <f t="shared" si="0"/>
        <v>56.777777777777779</v>
      </c>
      <c r="AG11" s="2">
        <f t="shared" si="0"/>
        <v>48.444444444444443</v>
      </c>
      <c r="AH11" s="2">
        <f t="shared" si="0"/>
        <v>65.555555555555557</v>
      </c>
      <c r="AI11" s="2">
        <f t="shared" si="0"/>
        <v>77.333333333333329</v>
      </c>
      <c r="AJ11" s="2">
        <f t="shared" si="0"/>
        <v>71.777777777777771</v>
      </c>
      <c r="AK11" s="2">
        <f t="shared" si="0"/>
        <v>72.777777777777771</v>
      </c>
      <c r="AL11" s="2">
        <f t="shared" si="0"/>
        <v>42.333333333333336</v>
      </c>
      <c r="AM11" s="2">
        <f t="shared" si="0"/>
        <v>65.444444444444443</v>
      </c>
      <c r="AN11" s="2">
        <f t="shared" si="0"/>
        <v>53.555555555555557</v>
      </c>
      <c r="AO11" s="2">
        <f t="shared" si="0"/>
        <v>74.555555555555557</v>
      </c>
      <c r="AP11" s="2">
        <f t="shared" si="0"/>
        <v>83.777777777777771</v>
      </c>
      <c r="AQ11" s="2">
        <f t="shared" si="0"/>
        <v>73</v>
      </c>
      <c r="AR11" s="2">
        <f t="shared" si="0"/>
        <v>53.777777777777779</v>
      </c>
      <c r="AS11" s="2">
        <f t="shared" si="0"/>
        <v>69.222222222222229</v>
      </c>
      <c r="AT11" s="2">
        <f t="shared" si="0"/>
        <v>47.777777777777779</v>
      </c>
      <c r="AU11" s="2">
        <f t="shared" si="0"/>
        <v>54.333333333333336</v>
      </c>
      <c r="AV11" s="2">
        <f t="shared" si="0"/>
        <v>50.444444444444443</v>
      </c>
      <c r="AW11" s="2">
        <f t="shared" si="0"/>
        <v>95.333333333333329</v>
      </c>
      <c r="AX11" s="2">
        <f t="shared" si="0"/>
        <v>64.111111111111114</v>
      </c>
      <c r="AY11" s="2">
        <f t="shared" si="0"/>
        <v>71.222222222222229</v>
      </c>
    </row>
    <row r="16" spans="1:51" x14ac:dyDescent="0.25">
      <c r="B16">
        <v>63.57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DDA0-9835-409A-8A0F-94C5C5C90839}">
  <dimension ref="A1:AY15"/>
  <sheetViews>
    <sheetView tabSelected="1" workbookViewId="0">
      <selection activeCell="B16" sqref="B16"/>
    </sheetView>
  </sheetViews>
  <sheetFormatPr defaultRowHeight="15" x14ac:dyDescent="0.25"/>
  <cols>
    <col min="1" max="1" width="5" bestFit="1" customWidth="1"/>
    <col min="2" max="2" width="9" bestFit="1" customWidth="1"/>
    <col min="3" max="4" width="8.5703125" bestFit="1" customWidth="1"/>
    <col min="5" max="5" width="9.140625" bestFit="1" customWidth="1"/>
    <col min="6" max="6" width="9.85546875" bestFit="1" customWidth="1"/>
    <col min="7" max="7" width="9.28515625" bestFit="1" customWidth="1"/>
    <col min="8" max="8" width="11.85546875" bestFit="1" customWidth="1"/>
    <col min="9" max="9" width="9.7109375" bestFit="1" customWidth="1"/>
    <col min="10" max="17" width="8.5703125" bestFit="1" customWidth="1"/>
    <col min="18" max="18" width="9.42578125" bestFit="1" customWidth="1"/>
    <col min="19" max="19" width="9.5703125" bestFit="1" customWidth="1"/>
    <col min="20" max="20" width="8.5703125" bestFit="1" customWidth="1"/>
    <col min="21" max="21" width="9.7109375" bestFit="1" customWidth="1"/>
    <col min="22" max="22" width="14.42578125" bestFit="1" customWidth="1"/>
    <col min="23" max="23" width="9.42578125" bestFit="1" customWidth="1"/>
    <col min="24" max="24" width="10.85546875" bestFit="1" customWidth="1"/>
    <col min="25" max="25" width="11.140625" bestFit="1" customWidth="1"/>
    <col min="26" max="26" width="9" bestFit="1" customWidth="1"/>
    <col min="27" max="27" width="9.28515625" bestFit="1" customWidth="1"/>
    <col min="28" max="28" width="9.5703125" bestFit="1" customWidth="1"/>
    <col min="29" max="29" width="8.5703125" bestFit="1" customWidth="1"/>
    <col min="30" max="30" width="15.5703125" bestFit="1" customWidth="1"/>
    <col min="31" max="31" width="11.42578125" bestFit="1" customWidth="1"/>
    <col min="32" max="32" width="12.42578125" bestFit="1" customWidth="1"/>
    <col min="33" max="33" width="9.85546875" bestFit="1" customWidth="1"/>
    <col min="34" max="34" width="14.28515625" bestFit="1" customWidth="1"/>
    <col min="35" max="35" width="13" bestFit="1" customWidth="1"/>
    <col min="36" max="36" width="8.5703125" bestFit="1" customWidth="1"/>
    <col min="37" max="37" width="10.28515625" bestFit="1" customWidth="1"/>
    <col min="38" max="38" width="8.5703125" bestFit="1" customWidth="1"/>
    <col min="39" max="39" width="13" bestFit="1" customWidth="1"/>
    <col min="40" max="40" width="12.7109375" bestFit="1" customWidth="1"/>
    <col min="41" max="41" width="14.28515625" bestFit="1" customWidth="1"/>
    <col min="42" max="42" width="13" bestFit="1" customWidth="1"/>
    <col min="43" max="43" width="10.85546875" bestFit="1" customWidth="1"/>
    <col min="44" max="45" width="8.5703125" bestFit="1" customWidth="1"/>
    <col min="46" max="46" width="9.140625" bestFit="1" customWidth="1"/>
    <col min="47" max="47" width="8.5703125" bestFit="1" customWidth="1"/>
    <col min="48" max="48" width="12" bestFit="1" customWidth="1"/>
    <col min="49" max="49" width="13.42578125" bestFit="1" customWidth="1"/>
    <col min="50" max="51" width="9.42578125" bestFit="1" customWidth="1"/>
  </cols>
  <sheetData>
    <row r="1" spans="1:5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48</v>
      </c>
    </row>
    <row r="2" spans="1:51" x14ac:dyDescent="0.25">
      <c r="A2">
        <v>2013</v>
      </c>
      <c r="B2">
        <v>69</v>
      </c>
      <c r="C2">
        <v>47</v>
      </c>
      <c r="D2">
        <v>52</v>
      </c>
      <c r="E2">
        <v>72</v>
      </c>
      <c r="F2">
        <v>47</v>
      </c>
      <c r="G2">
        <v>46</v>
      </c>
      <c r="H2">
        <v>56</v>
      </c>
      <c r="I2">
        <v>56</v>
      </c>
      <c r="J2">
        <v>51</v>
      </c>
      <c r="K2">
        <v>67</v>
      </c>
      <c r="L2">
        <v>58</v>
      </c>
      <c r="M2">
        <v>51</v>
      </c>
      <c r="N2">
        <v>60</v>
      </c>
      <c r="O2">
        <v>61</v>
      </c>
      <c r="P2">
        <v>49</v>
      </c>
      <c r="Q2">
        <v>64</v>
      </c>
      <c r="R2">
        <v>73</v>
      </c>
      <c r="S2">
        <v>73</v>
      </c>
      <c r="T2">
        <v>51</v>
      </c>
      <c r="U2">
        <v>58</v>
      </c>
      <c r="V2">
        <v>50</v>
      </c>
      <c r="W2">
        <v>60</v>
      </c>
      <c r="X2">
        <v>56</v>
      </c>
      <c r="Y2">
        <v>100</v>
      </c>
      <c r="Z2">
        <v>62</v>
      </c>
      <c r="AA2">
        <v>48</v>
      </c>
      <c r="AB2">
        <v>54</v>
      </c>
      <c r="AC2">
        <v>59</v>
      </c>
      <c r="AD2">
        <v>46</v>
      </c>
      <c r="AE2">
        <v>55</v>
      </c>
      <c r="AF2">
        <v>53</v>
      </c>
      <c r="AG2">
        <v>48</v>
      </c>
      <c r="AH2">
        <v>58</v>
      </c>
      <c r="AI2">
        <v>77</v>
      </c>
      <c r="AJ2">
        <v>56</v>
      </c>
      <c r="AK2">
        <v>64</v>
      </c>
      <c r="AL2">
        <v>29</v>
      </c>
      <c r="AM2">
        <v>63</v>
      </c>
      <c r="AN2">
        <v>58</v>
      </c>
      <c r="AO2">
        <v>62</v>
      </c>
      <c r="AP2">
        <v>60</v>
      </c>
      <c r="AQ2">
        <v>63</v>
      </c>
      <c r="AR2">
        <v>56</v>
      </c>
      <c r="AS2">
        <v>54</v>
      </c>
      <c r="AT2">
        <v>35</v>
      </c>
      <c r="AU2">
        <v>58</v>
      </c>
      <c r="AV2">
        <v>47</v>
      </c>
      <c r="AW2">
        <v>80</v>
      </c>
      <c r="AX2">
        <v>57</v>
      </c>
      <c r="AY2">
        <v>44</v>
      </c>
    </row>
    <row r="3" spans="1:51" x14ac:dyDescent="0.25">
      <c r="A3">
        <v>2014</v>
      </c>
      <c r="B3">
        <v>77</v>
      </c>
      <c r="C3">
        <v>41</v>
      </c>
      <c r="D3">
        <v>57</v>
      </c>
      <c r="E3">
        <v>63</v>
      </c>
      <c r="F3">
        <v>43</v>
      </c>
      <c r="G3">
        <v>61</v>
      </c>
      <c r="H3">
        <v>46</v>
      </c>
      <c r="I3">
        <v>67</v>
      </c>
      <c r="J3">
        <v>53</v>
      </c>
      <c r="K3">
        <v>81</v>
      </c>
      <c r="L3">
        <v>61</v>
      </c>
      <c r="M3">
        <v>57</v>
      </c>
      <c r="N3">
        <v>65</v>
      </c>
      <c r="O3">
        <v>61</v>
      </c>
      <c r="P3">
        <v>58</v>
      </c>
      <c r="Q3">
        <v>71</v>
      </c>
      <c r="R3">
        <v>84</v>
      </c>
      <c r="S3">
        <v>96</v>
      </c>
      <c r="T3">
        <v>57</v>
      </c>
      <c r="U3">
        <v>59</v>
      </c>
      <c r="V3">
        <v>54</v>
      </c>
      <c r="W3">
        <v>63</v>
      </c>
      <c r="X3">
        <v>55</v>
      </c>
      <c r="Y3">
        <v>100</v>
      </c>
      <c r="Z3">
        <v>69</v>
      </c>
      <c r="AA3">
        <v>61</v>
      </c>
      <c r="AB3">
        <v>56</v>
      </c>
      <c r="AC3">
        <v>60</v>
      </c>
      <c r="AD3">
        <v>50</v>
      </c>
      <c r="AE3">
        <v>53</v>
      </c>
      <c r="AF3">
        <v>47</v>
      </c>
      <c r="AG3">
        <v>52</v>
      </c>
      <c r="AH3">
        <v>63</v>
      </c>
      <c r="AI3">
        <v>77</v>
      </c>
      <c r="AJ3">
        <v>63</v>
      </c>
      <c r="AK3">
        <v>70</v>
      </c>
      <c r="AL3">
        <v>25</v>
      </c>
      <c r="AM3">
        <v>65</v>
      </c>
      <c r="AN3">
        <v>41</v>
      </c>
      <c r="AO3">
        <v>71</v>
      </c>
      <c r="AP3">
        <v>63</v>
      </c>
      <c r="AQ3">
        <v>71</v>
      </c>
      <c r="AR3">
        <v>57</v>
      </c>
      <c r="AS3">
        <v>51</v>
      </c>
      <c r="AT3">
        <v>38</v>
      </c>
      <c r="AU3">
        <v>54</v>
      </c>
      <c r="AV3">
        <v>51</v>
      </c>
      <c r="AW3">
        <v>91</v>
      </c>
      <c r="AX3">
        <v>59</v>
      </c>
      <c r="AY3">
        <v>57</v>
      </c>
    </row>
    <row r="4" spans="1:51" x14ac:dyDescent="0.25">
      <c r="A4">
        <v>2015</v>
      </c>
      <c r="B4">
        <v>84</v>
      </c>
      <c r="C4">
        <v>53</v>
      </c>
      <c r="D4">
        <v>60</v>
      </c>
      <c r="E4">
        <v>92</v>
      </c>
      <c r="F4">
        <v>52</v>
      </c>
      <c r="G4">
        <v>51</v>
      </c>
      <c r="H4">
        <v>53</v>
      </c>
      <c r="I4">
        <v>68</v>
      </c>
      <c r="J4">
        <v>63</v>
      </c>
      <c r="K4">
        <v>79</v>
      </c>
      <c r="L4">
        <v>66</v>
      </c>
      <c r="M4">
        <v>69</v>
      </c>
      <c r="N4">
        <v>72</v>
      </c>
      <c r="O4">
        <v>74</v>
      </c>
      <c r="P4">
        <v>62</v>
      </c>
      <c r="Q4">
        <v>54</v>
      </c>
      <c r="R4">
        <v>84</v>
      </c>
      <c r="S4">
        <v>84</v>
      </c>
      <c r="T4">
        <v>52</v>
      </c>
      <c r="U4">
        <v>57</v>
      </c>
      <c r="V4">
        <v>58</v>
      </c>
      <c r="W4">
        <v>73</v>
      </c>
      <c r="X4">
        <v>64</v>
      </c>
      <c r="Y4">
        <v>90</v>
      </c>
      <c r="Z4">
        <v>70</v>
      </c>
      <c r="AA4">
        <v>60</v>
      </c>
      <c r="AB4">
        <v>78</v>
      </c>
      <c r="AC4">
        <v>72</v>
      </c>
      <c r="AD4">
        <v>60</v>
      </c>
      <c r="AE4">
        <v>57</v>
      </c>
      <c r="AF4">
        <v>69</v>
      </c>
      <c r="AG4">
        <v>60</v>
      </c>
      <c r="AH4">
        <v>71</v>
      </c>
      <c r="AI4">
        <v>83</v>
      </c>
      <c r="AJ4">
        <v>67</v>
      </c>
      <c r="AK4">
        <v>83</v>
      </c>
      <c r="AL4">
        <v>39</v>
      </c>
      <c r="AM4">
        <v>64</v>
      </c>
      <c r="AN4">
        <v>75</v>
      </c>
      <c r="AO4">
        <v>87</v>
      </c>
      <c r="AP4">
        <v>81</v>
      </c>
      <c r="AQ4">
        <v>75</v>
      </c>
      <c r="AR4">
        <v>62</v>
      </c>
      <c r="AS4">
        <v>55</v>
      </c>
      <c r="AT4">
        <v>62</v>
      </c>
      <c r="AU4">
        <v>50</v>
      </c>
      <c r="AV4">
        <v>56</v>
      </c>
      <c r="AW4">
        <v>100</v>
      </c>
      <c r="AX4">
        <v>70</v>
      </c>
      <c r="AY4">
        <v>49</v>
      </c>
    </row>
    <row r="5" spans="1:51" x14ac:dyDescent="0.25">
      <c r="A5">
        <v>2016</v>
      </c>
      <c r="B5">
        <v>78</v>
      </c>
      <c r="C5">
        <v>44</v>
      </c>
      <c r="D5">
        <v>60</v>
      </c>
      <c r="E5">
        <v>91</v>
      </c>
      <c r="F5">
        <v>52</v>
      </c>
      <c r="G5">
        <v>52</v>
      </c>
      <c r="H5">
        <v>55</v>
      </c>
      <c r="I5">
        <v>70</v>
      </c>
      <c r="J5">
        <v>58</v>
      </c>
      <c r="K5">
        <v>77</v>
      </c>
      <c r="L5">
        <v>70</v>
      </c>
      <c r="M5">
        <v>81</v>
      </c>
      <c r="N5">
        <v>63</v>
      </c>
      <c r="O5">
        <v>69</v>
      </c>
      <c r="P5">
        <v>62</v>
      </c>
      <c r="Q5">
        <v>68</v>
      </c>
      <c r="R5">
        <v>82</v>
      </c>
      <c r="S5">
        <v>91</v>
      </c>
      <c r="T5">
        <v>55</v>
      </c>
      <c r="U5">
        <v>64</v>
      </c>
      <c r="V5">
        <v>54</v>
      </c>
      <c r="W5">
        <v>75</v>
      </c>
      <c r="X5">
        <v>57</v>
      </c>
      <c r="Y5">
        <v>100</v>
      </c>
      <c r="Z5">
        <v>74</v>
      </c>
      <c r="AA5">
        <v>46</v>
      </c>
      <c r="AB5">
        <v>75</v>
      </c>
      <c r="AC5">
        <v>63</v>
      </c>
      <c r="AD5">
        <v>60</v>
      </c>
      <c r="AE5">
        <v>60</v>
      </c>
      <c r="AF5">
        <v>62</v>
      </c>
      <c r="AG5">
        <v>54</v>
      </c>
      <c r="AH5">
        <v>73</v>
      </c>
      <c r="AI5">
        <v>72</v>
      </c>
      <c r="AJ5">
        <v>71</v>
      </c>
      <c r="AK5">
        <v>72</v>
      </c>
      <c r="AL5">
        <v>47</v>
      </c>
      <c r="AM5">
        <v>73</v>
      </c>
      <c r="AN5">
        <v>53</v>
      </c>
      <c r="AO5">
        <v>76</v>
      </c>
      <c r="AP5">
        <v>76</v>
      </c>
      <c r="AQ5">
        <v>79</v>
      </c>
      <c r="AR5">
        <v>62</v>
      </c>
      <c r="AS5">
        <v>57</v>
      </c>
      <c r="AT5">
        <v>45</v>
      </c>
      <c r="AU5">
        <v>59</v>
      </c>
      <c r="AV5">
        <v>47</v>
      </c>
      <c r="AW5">
        <v>91</v>
      </c>
      <c r="AX5">
        <v>65</v>
      </c>
      <c r="AY5">
        <v>61</v>
      </c>
    </row>
    <row r="6" spans="1:51" x14ac:dyDescent="0.25">
      <c r="A6">
        <v>2017</v>
      </c>
      <c r="B6">
        <v>79</v>
      </c>
      <c r="C6">
        <v>54</v>
      </c>
      <c r="D6">
        <v>51</v>
      </c>
      <c r="E6">
        <v>78</v>
      </c>
      <c r="F6">
        <v>47</v>
      </c>
      <c r="G6">
        <v>46</v>
      </c>
      <c r="H6">
        <v>50</v>
      </c>
      <c r="I6">
        <v>65</v>
      </c>
      <c r="J6">
        <v>52</v>
      </c>
      <c r="K6">
        <v>72</v>
      </c>
      <c r="L6">
        <v>57</v>
      </c>
      <c r="M6">
        <v>46</v>
      </c>
      <c r="N6">
        <v>57</v>
      </c>
      <c r="O6">
        <v>65</v>
      </c>
      <c r="P6">
        <v>64</v>
      </c>
      <c r="Q6">
        <v>61</v>
      </c>
      <c r="R6">
        <v>80</v>
      </c>
      <c r="S6">
        <v>78</v>
      </c>
      <c r="T6">
        <v>47</v>
      </c>
      <c r="U6">
        <v>55</v>
      </c>
      <c r="V6">
        <v>49</v>
      </c>
      <c r="W6">
        <v>64</v>
      </c>
      <c r="X6">
        <v>53</v>
      </c>
      <c r="Y6">
        <v>100</v>
      </c>
      <c r="Z6">
        <v>65</v>
      </c>
      <c r="AA6">
        <v>60</v>
      </c>
      <c r="AB6">
        <v>57</v>
      </c>
      <c r="AC6">
        <v>57</v>
      </c>
      <c r="AD6">
        <v>49</v>
      </c>
      <c r="AE6">
        <v>55</v>
      </c>
      <c r="AF6">
        <v>55</v>
      </c>
      <c r="AG6">
        <v>49</v>
      </c>
      <c r="AH6">
        <v>66</v>
      </c>
      <c r="AI6">
        <v>62</v>
      </c>
      <c r="AJ6">
        <v>65</v>
      </c>
      <c r="AK6">
        <v>76</v>
      </c>
      <c r="AL6">
        <v>38</v>
      </c>
      <c r="AM6">
        <v>66</v>
      </c>
      <c r="AN6">
        <v>63</v>
      </c>
      <c r="AO6">
        <v>72</v>
      </c>
      <c r="AP6">
        <v>64</v>
      </c>
      <c r="AQ6">
        <v>74</v>
      </c>
      <c r="AR6">
        <v>53</v>
      </c>
      <c r="AS6">
        <v>57</v>
      </c>
      <c r="AT6">
        <v>41</v>
      </c>
      <c r="AU6">
        <v>57</v>
      </c>
      <c r="AV6">
        <v>46</v>
      </c>
      <c r="AW6">
        <v>90</v>
      </c>
      <c r="AX6">
        <v>58</v>
      </c>
      <c r="AY6">
        <v>39</v>
      </c>
    </row>
    <row r="7" spans="1:51" x14ac:dyDescent="0.25">
      <c r="A7">
        <v>2018</v>
      </c>
      <c r="B7">
        <v>79</v>
      </c>
      <c r="C7">
        <v>59</v>
      </c>
      <c r="D7">
        <v>54</v>
      </c>
      <c r="E7">
        <v>81</v>
      </c>
      <c r="F7">
        <v>48</v>
      </c>
      <c r="G7">
        <v>45</v>
      </c>
      <c r="H7">
        <v>51</v>
      </c>
      <c r="I7">
        <v>67</v>
      </c>
      <c r="J7">
        <v>47</v>
      </c>
      <c r="K7">
        <v>66</v>
      </c>
      <c r="L7">
        <v>48</v>
      </c>
      <c r="M7">
        <v>56</v>
      </c>
      <c r="N7">
        <v>54</v>
      </c>
      <c r="O7">
        <v>67</v>
      </c>
      <c r="P7">
        <v>59</v>
      </c>
      <c r="Q7">
        <v>56</v>
      </c>
      <c r="R7">
        <v>74</v>
      </c>
      <c r="S7">
        <v>82</v>
      </c>
      <c r="T7">
        <v>47</v>
      </c>
      <c r="U7">
        <v>57</v>
      </c>
      <c r="V7">
        <v>49</v>
      </c>
      <c r="W7">
        <v>64</v>
      </c>
      <c r="X7">
        <v>49</v>
      </c>
      <c r="Y7">
        <v>100</v>
      </c>
      <c r="Z7">
        <v>65</v>
      </c>
      <c r="AA7">
        <v>54</v>
      </c>
      <c r="AB7">
        <v>58</v>
      </c>
      <c r="AC7">
        <v>56</v>
      </c>
      <c r="AD7">
        <v>60</v>
      </c>
      <c r="AE7">
        <v>53</v>
      </c>
      <c r="AF7">
        <v>58</v>
      </c>
      <c r="AG7">
        <v>45</v>
      </c>
      <c r="AH7">
        <v>66</v>
      </c>
      <c r="AI7">
        <v>58</v>
      </c>
      <c r="AJ7">
        <v>62</v>
      </c>
      <c r="AK7">
        <v>72</v>
      </c>
      <c r="AL7">
        <v>43</v>
      </c>
      <c r="AM7">
        <v>60</v>
      </c>
      <c r="AN7">
        <v>58</v>
      </c>
      <c r="AO7">
        <v>71</v>
      </c>
      <c r="AP7">
        <v>60</v>
      </c>
      <c r="AQ7">
        <v>69</v>
      </c>
      <c r="AR7">
        <v>63</v>
      </c>
      <c r="AS7">
        <v>45</v>
      </c>
      <c r="AT7">
        <v>40</v>
      </c>
      <c r="AU7">
        <v>55</v>
      </c>
      <c r="AV7">
        <v>42</v>
      </c>
      <c r="AW7">
        <v>83</v>
      </c>
      <c r="AX7">
        <v>55</v>
      </c>
      <c r="AY7">
        <v>75</v>
      </c>
    </row>
    <row r="8" spans="1:51" x14ac:dyDescent="0.25">
      <c r="A8">
        <v>2019</v>
      </c>
      <c r="B8">
        <v>85</v>
      </c>
      <c r="C8">
        <v>53</v>
      </c>
      <c r="D8">
        <v>64</v>
      </c>
      <c r="E8">
        <v>95</v>
      </c>
      <c r="F8">
        <v>58</v>
      </c>
      <c r="G8">
        <v>56</v>
      </c>
      <c r="H8">
        <v>55</v>
      </c>
      <c r="I8">
        <v>83</v>
      </c>
      <c r="J8">
        <v>56</v>
      </c>
      <c r="K8">
        <v>83</v>
      </c>
      <c r="L8">
        <v>54</v>
      </c>
      <c r="M8">
        <v>65</v>
      </c>
      <c r="N8">
        <v>62</v>
      </c>
      <c r="O8">
        <v>79</v>
      </c>
      <c r="P8">
        <v>64</v>
      </c>
      <c r="Q8">
        <v>69</v>
      </c>
      <c r="R8">
        <v>83</v>
      </c>
      <c r="S8">
        <v>89</v>
      </c>
      <c r="T8">
        <v>62</v>
      </c>
      <c r="U8">
        <v>71</v>
      </c>
      <c r="V8">
        <v>57</v>
      </c>
      <c r="W8">
        <v>70</v>
      </c>
      <c r="X8">
        <v>60</v>
      </c>
      <c r="Y8">
        <v>100</v>
      </c>
      <c r="Z8">
        <v>80</v>
      </c>
      <c r="AA8">
        <v>48</v>
      </c>
      <c r="AB8">
        <v>63</v>
      </c>
      <c r="AC8">
        <v>75</v>
      </c>
      <c r="AD8">
        <v>65</v>
      </c>
      <c r="AE8">
        <v>64</v>
      </c>
      <c r="AF8">
        <v>69</v>
      </c>
      <c r="AG8">
        <v>54</v>
      </c>
      <c r="AH8">
        <v>78</v>
      </c>
      <c r="AI8">
        <v>70</v>
      </c>
      <c r="AJ8">
        <v>78</v>
      </c>
      <c r="AK8">
        <v>83</v>
      </c>
      <c r="AL8">
        <v>52</v>
      </c>
      <c r="AM8">
        <v>69</v>
      </c>
      <c r="AN8">
        <v>51</v>
      </c>
      <c r="AO8">
        <v>80</v>
      </c>
      <c r="AP8">
        <v>57</v>
      </c>
      <c r="AQ8">
        <v>86</v>
      </c>
      <c r="AR8">
        <v>69</v>
      </c>
      <c r="AS8">
        <v>66</v>
      </c>
      <c r="AT8">
        <v>51</v>
      </c>
      <c r="AU8">
        <v>61</v>
      </c>
      <c r="AV8">
        <v>54</v>
      </c>
      <c r="AW8">
        <v>97</v>
      </c>
      <c r="AX8">
        <v>59</v>
      </c>
      <c r="AY8">
        <v>70</v>
      </c>
    </row>
    <row r="9" spans="1:51" x14ac:dyDescent="0.25">
      <c r="A9">
        <v>2020</v>
      </c>
      <c r="B9">
        <v>89</v>
      </c>
      <c r="C9">
        <v>74</v>
      </c>
      <c r="D9">
        <v>65</v>
      </c>
      <c r="E9">
        <v>90</v>
      </c>
      <c r="F9">
        <v>61</v>
      </c>
      <c r="G9">
        <v>53</v>
      </c>
      <c r="H9">
        <v>65</v>
      </c>
      <c r="I9">
        <v>75</v>
      </c>
      <c r="J9">
        <v>54</v>
      </c>
      <c r="K9">
        <v>79</v>
      </c>
      <c r="L9">
        <v>70</v>
      </c>
      <c r="M9">
        <v>60</v>
      </c>
      <c r="N9">
        <v>64</v>
      </c>
      <c r="O9">
        <v>79</v>
      </c>
      <c r="P9">
        <v>69</v>
      </c>
      <c r="Q9">
        <v>76</v>
      </c>
      <c r="R9">
        <v>91</v>
      </c>
      <c r="S9">
        <v>94</v>
      </c>
      <c r="T9">
        <v>61</v>
      </c>
      <c r="U9">
        <v>68</v>
      </c>
      <c r="V9">
        <v>56</v>
      </c>
      <c r="W9">
        <v>74</v>
      </c>
      <c r="X9">
        <v>62</v>
      </c>
      <c r="Y9">
        <v>100</v>
      </c>
      <c r="Z9">
        <v>78</v>
      </c>
      <c r="AA9">
        <v>56</v>
      </c>
      <c r="AB9">
        <v>71</v>
      </c>
      <c r="AC9">
        <v>64</v>
      </c>
      <c r="AD9">
        <v>66</v>
      </c>
      <c r="AE9">
        <v>64</v>
      </c>
      <c r="AF9">
        <v>62</v>
      </c>
      <c r="AG9">
        <v>54</v>
      </c>
      <c r="AH9">
        <v>77</v>
      </c>
      <c r="AI9">
        <v>72</v>
      </c>
      <c r="AJ9">
        <v>74</v>
      </c>
      <c r="AK9">
        <v>83</v>
      </c>
      <c r="AL9">
        <v>48</v>
      </c>
      <c r="AM9">
        <v>70</v>
      </c>
      <c r="AN9">
        <v>61</v>
      </c>
      <c r="AO9">
        <v>73</v>
      </c>
      <c r="AP9">
        <v>54</v>
      </c>
      <c r="AQ9">
        <v>75</v>
      </c>
      <c r="AR9">
        <v>69</v>
      </c>
      <c r="AS9">
        <v>59</v>
      </c>
      <c r="AT9">
        <v>51</v>
      </c>
      <c r="AU9">
        <v>65</v>
      </c>
      <c r="AV9">
        <v>57</v>
      </c>
      <c r="AW9">
        <v>84</v>
      </c>
      <c r="AX9">
        <v>71</v>
      </c>
      <c r="AY9">
        <v>71</v>
      </c>
    </row>
    <row r="10" spans="1:51" x14ac:dyDescent="0.25">
      <c r="A10">
        <v>2021</v>
      </c>
      <c r="B10">
        <v>85</v>
      </c>
      <c r="C10">
        <v>7</v>
      </c>
      <c r="D10">
        <v>59</v>
      </c>
      <c r="E10">
        <v>94</v>
      </c>
      <c r="F10">
        <v>53</v>
      </c>
      <c r="G10">
        <v>55</v>
      </c>
      <c r="H10">
        <v>60</v>
      </c>
      <c r="I10">
        <v>91</v>
      </c>
      <c r="J10">
        <v>50</v>
      </c>
      <c r="K10">
        <v>72</v>
      </c>
      <c r="L10">
        <v>74</v>
      </c>
      <c r="M10">
        <v>71</v>
      </c>
      <c r="N10">
        <v>63</v>
      </c>
      <c r="O10">
        <v>76</v>
      </c>
      <c r="P10">
        <v>69</v>
      </c>
      <c r="Q10">
        <v>70</v>
      </c>
      <c r="R10">
        <v>84</v>
      </c>
      <c r="S10">
        <v>85</v>
      </c>
      <c r="T10">
        <v>68</v>
      </c>
      <c r="U10">
        <v>62</v>
      </c>
      <c r="V10">
        <v>53</v>
      </c>
      <c r="W10">
        <v>70</v>
      </c>
      <c r="X10">
        <v>57</v>
      </c>
      <c r="Y10">
        <v>100</v>
      </c>
      <c r="Z10">
        <v>71</v>
      </c>
      <c r="AA10">
        <v>69</v>
      </c>
      <c r="AB10">
        <v>76</v>
      </c>
      <c r="AC10">
        <v>64</v>
      </c>
      <c r="AD10">
        <v>61</v>
      </c>
      <c r="AE10">
        <v>59</v>
      </c>
      <c r="AF10">
        <v>63</v>
      </c>
      <c r="AG10">
        <v>49</v>
      </c>
      <c r="AH10">
        <v>71</v>
      </c>
      <c r="AI10">
        <v>75</v>
      </c>
      <c r="AJ10">
        <v>72</v>
      </c>
      <c r="AK10">
        <v>70</v>
      </c>
      <c r="AL10">
        <v>46</v>
      </c>
      <c r="AM10">
        <v>68</v>
      </c>
      <c r="AN10">
        <v>66</v>
      </c>
      <c r="AO10">
        <v>74</v>
      </c>
      <c r="AP10">
        <v>74</v>
      </c>
      <c r="AQ10">
        <v>75</v>
      </c>
      <c r="AR10">
        <v>57</v>
      </c>
      <c r="AS10">
        <v>62</v>
      </c>
      <c r="AT10">
        <v>64</v>
      </c>
      <c r="AU10">
        <v>60</v>
      </c>
      <c r="AV10">
        <v>50</v>
      </c>
      <c r="AW10">
        <v>76</v>
      </c>
      <c r="AX10">
        <v>62</v>
      </c>
      <c r="AY10">
        <v>58</v>
      </c>
    </row>
    <row r="11" spans="1:51" x14ac:dyDescent="0.25">
      <c r="B11" s="2">
        <f>AVERAGE(B2:B10)</f>
        <v>80.555555555555557</v>
      </c>
      <c r="C11" s="2">
        <f t="shared" ref="C11:AY11" si="0">AVERAGE(C2:C10)</f>
        <v>48</v>
      </c>
      <c r="D11" s="2">
        <f t="shared" si="0"/>
        <v>58</v>
      </c>
      <c r="E11" s="2">
        <f t="shared" si="0"/>
        <v>84</v>
      </c>
      <c r="F11" s="2">
        <f t="shared" si="0"/>
        <v>51.222222222222221</v>
      </c>
      <c r="G11" s="2">
        <f t="shared" si="0"/>
        <v>51.666666666666664</v>
      </c>
      <c r="H11" s="2">
        <f t="shared" si="0"/>
        <v>54.555555555555557</v>
      </c>
      <c r="I11" s="2">
        <f t="shared" si="0"/>
        <v>71.333333333333329</v>
      </c>
      <c r="J11" s="2">
        <f t="shared" si="0"/>
        <v>53.777777777777779</v>
      </c>
      <c r="K11" s="2">
        <f t="shared" si="0"/>
        <v>75.111111111111114</v>
      </c>
      <c r="L11" s="2">
        <f t="shared" si="0"/>
        <v>62</v>
      </c>
      <c r="M11" s="2">
        <f t="shared" si="0"/>
        <v>61.777777777777779</v>
      </c>
      <c r="N11" s="2">
        <f t="shared" si="0"/>
        <v>62.222222222222221</v>
      </c>
      <c r="O11" s="2">
        <f t="shared" si="0"/>
        <v>70.111111111111114</v>
      </c>
      <c r="P11" s="2">
        <f t="shared" si="0"/>
        <v>61.777777777777779</v>
      </c>
      <c r="Q11" s="2">
        <f t="shared" si="0"/>
        <v>65.444444444444443</v>
      </c>
      <c r="R11" s="2">
        <f t="shared" si="0"/>
        <v>81.666666666666671</v>
      </c>
      <c r="S11" s="2">
        <f t="shared" si="0"/>
        <v>85.777777777777771</v>
      </c>
      <c r="T11" s="2">
        <f t="shared" si="0"/>
        <v>55.555555555555557</v>
      </c>
      <c r="U11" s="2">
        <f t="shared" si="0"/>
        <v>61.222222222222221</v>
      </c>
      <c r="V11" s="2">
        <f t="shared" si="0"/>
        <v>53.333333333333336</v>
      </c>
      <c r="W11" s="2">
        <f t="shared" si="0"/>
        <v>68.111111111111114</v>
      </c>
      <c r="X11" s="2">
        <f t="shared" si="0"/>
        <v>57</v>
      </c>
      <c r="Y11" s="2">
        <f t="shared" si="0"/>
        <v>98.888888888888886</v>
      </c>
      <c r="Z11" s="2">
        <f t="shared" si="0"/>
        <v>70.444444444444443</v>
      </c>
      <c r="AA11" s="2">
        <f t="shared" si="0"/>
        <v>55.777777777777779</v>
      </c>
      <c r="AB11" s="2">
        <f t="shared" si="0"/>
        <v>65.333333333333329</v>
      </c>
      <c r="AC11" s="2">
        <f t="shared" si="0"/>
        <v>63.333333333333336</v>
      </c>
      <c r="AD11" s="2">
        <f t="shared" si="0"/>
        <v>57.444444444444443</v>
      </c>
      <c r="AE11" s="2">
        <f t="shared" si="0"/>
        <v>57.777777777777779</v>
      </c>
      <c r="AF11" s="2">
        <f t="shared" si="0"/>
        <v>59.777777777777779</v>
      </c>
      <c r="AG11" s="2">
        <f t="shared" si="0"/>
        <v>51.666666666666664</v>
      </c>
      <c r="AH11" s="2">
        <f t="shared" si="0"/>
        <v>69.222222222222229</v>
      </c>
      <c r="AI11" s="2">
        <f t="shared" si="0"/>
        <v>71.777777777777771</v>
      </c>
      <c r="AJ11" s="2">
        <f t="shared" si="0"/>
        <v>67.555555555555557</v>
      </c>
      <c r="AK11" s="2">
        <f t="shared" si="0"/>
        <v>74.777777777777771</v>
      </c>
      <c r="AL11" s="2">
        <f t="shared" si="0"/>
        <v>40.777777777777779</v>
      </c>
      <c r="AM11" s="2">
        <f t="shared" si="0"/>
        <v>66.444444444444443</v>
      </c>
      <c r="AN11" s="2">
        <f t="shared" si="0"/>
        <v>58.444444444444443</v>
      </c>
      <c r="AO11" s="2">
        <f t="shared" si="0"/>
        <v>74</v>
      </c>
      <c r="AP11" s="2">
        <f t="shared" si="0"/>
        <v>65.444444444444443</v>
      </c>
      <c r="AQ11" s="2">
        <f t="shared" si="0"/>
        <v>74.111111111111114</v>
      </c>
      <c r="AR11" s="2">
        <f t="shared" si="0"/>
        <v>60.888888888888886</v>
      </c>
      <c r="AS11" s="2">
        <f t="shared" si="0"/>
        <v>56.222222222222221</v>
      </c>
      <c r="AT11" s="2">
        <f t="shared" si="0"/>
        <v>47.444444444444443</v>
      </c>
      <c r="AU11" s="2">
        <f t="shared" si="0"/>
        <v>57.666666666666664</v>
      </c>
      <c r="AV11" s="2">
        <f t="shared" si="0"/>
        <v>50</v>
      </c>
      <c r="AW11" s="2">
        <f t="shared" si="0"/>
        <v>88</v>
      </c>
      <c r="AX11" s="2">
        <f t="shared" si="0"/>
        <v>61.777777777777779</v>
      </c>
      <c r="AY11" s="2">
        <f t="shared" si="0"/>
        <v>58.222222222222221</v>
      </c>
    </row>
    <row r="15" spans="1:51" x14ac:dyDescent="0.25">
      <c r="B15">
        <v>63.95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Number of Births</vt:lpstr>
      <vt:lpstr>Number of Abortions</vt:lpstr>
      <vt:lpstr>Teen Birthrates</vt:lpstr>
      <vt:lpstr>Teen Abortions</vt:lpstr>
      <vt:lpstr>GT Abortion Clinic</vt:lpstr>
      <vt:lpstr>GT ESoP</vt:lpstr>
      <vt:lpstr>GT Missed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Scott</dc:creator>
  <cp:lastModifiedBy>Brad Scott</cp:lastModifiedBy>
  <dcterms:created xsi:type="dcterms:W3CDTF">2022-12-19T20:30:37Z</dcterms:created>
  <dcterms:modified xsi:type="dcterms:W3CDTF">2022-12-30T00:06:14Z</dcterms:modified>
</cp:coreProperties>
</file>