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8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0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1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2.xml" ContentType="application/vnd.openxmlformats-officedocument.drawing+xml"/>
  <Override PartName="/xl/charts/chart33.xml" ContentType="application/vnd.openxmlformats-officedocument.drawingml.chart+xml"/>
  <Override PartName="/xl/drawings/drawing13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4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15.xml" ContentType="application/vnd.openxmlformats-officedocument.drawing+xml"/>
  <Override PartName="/xl/charts/chart47.xml" ContentType="application/vnd.openxmlformats-officedocument.drawingml.chart+xml"/>
  <Override PartName="/xl/drawings/drawing16.xml" ContentType="application/vnd.openxmlformats-officedocument.drawing+xml"/>
  <Override PartName="/xl/charts/chart48.xml" ContentType="application/vnd.openxmlformats-officedocument.drawingml.chart+xml"/>
  <Override PartName="/xl/drawings/drawing17.xml" ContentType="application/vnd.openxmlformats-officedocument.drawing+xml"/>
  <Override PartName="/xl/charts/chart4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" yWindow="15" windowWidth="17925" windowHeight="12150" firstSheet="4" activeTab="5"/>
    <workbookView xWindow="17880" yWindow="-60" windowWidth="18915" windowHeight="10410" firstSheet="4" activeTab="6"/>
  </bookViews>
  <sheets>
    <sheet name="Abstenções" sheetId="14" r:id="rId1"/>
    <sheet name="G 1o turno" sheetId="15" r:id="rId2"/>
    <sheet name="Ajuste Pesquisa Datafolha (2)" sheetId="18" r:id="rId3"/>
    <sheet name="Ajuste Pesquisa Datafolha" sheetId="17" r:id="rId4"/>
    <sheet name="Ajuste Pesquisa IBOPE" sheetId="16" r:id="rId5"/>
    <sheet name="Ajuste Pesquisa IBOPE Regiao" sheetId="21" r:id="rId6"/>
    <sheet name="1o turno efetivo (2)" sheetId="20" r:id="rId7"/>
    <sheet name="1o turno efetivo" sheetId="13" r:id="rId8"/>
    <sheet name="Base" sheetId="4" r:id="rId9"/>
    <sheet name="1 turno" sheetId="12" r:id="rId10"/>
    <sheet name="2010" sheetId="11" r:id="rId11"/>
    <sheet name="Transferencia Campos" sheetId="10" r:id="rId12"/>
    <sheet name="Municipio" sheetId="9" r:id="rId13"/>
    <sheet name="Sudeste Composto" sheetId="8" r:id="rId14"/>
    <sheet name="Sudeste" sheetId="5" r:id="rId15"/>
    <sheet name="Aecio - Desconhecimento" sheetId="6" r:id="rId16"/>
    <sheet name="Sheet1" sheetId="1" r:id="rId17"/>
    <sheet name="Sheet2" sheetId="2" r:id="rId18"/>
    <sheet name="Bolsa Família" sheetId="3" r:id="rId19"/>
    <sheet name="Decidir voto" sheetId="7" r:id="rId20"/>
  </sheets>
  <calcPr calcId="145621" calcMode="manual"/>
</workbook>
</file>

<file path=xl/calcChain.xml><?xml version="1.0" encoding="utf-8"?>
<calcChain xmlns="http://schemas.openxmlformats.org/spreadsheetml/2006/main">
  <c r="F106" i="21" l="1"/>
  <c r="F80" i="21"/>
  <c r="F56" i="21"/>
  <c r="F31" i="21"/>
  <c r="E118" i="21"/>
  <c r="E92" i="21"/>
  <c r="G41" i="20"/>
  <c r="G108" i="21"/>
  <c r="F104" i="21"/>
  <c r="F108" i="21" s="1"/>
  <c r="E104" i="21"/>
  <c r="E108" i="21" s="1"/>
  <c r="D104" i="21"/>
  <c r="D108" i="21" s="1"/>
  <c r="C104" i="21"/>
  <c r="C108" i="21" s="1"/>
  <c r="F103" i="21"/>
  <c r="G82" i="21"/>
  <c r="F78" i="21"/>
  <c r="F82" i="21" s="1"/>
  <c r="E78" i="21"/>
  <c r="E82" i="21" s="1"/>
  <c r="D78" i="21"/>
  <c r="D82" i="21" s="1"/>
  <c r="C78" i="21"/>
  <c r="C82" i="21" s="1"/>
  <c r="F77" i="21"/>
  <c r="E68" i="21"/>
  <c r="E43" i="21"/>
  <c r="F53" i="21"/>
  <c r="F28" i="21"/>
  <c r="F54" i="21"/>
  <c r="G58" i="21"/>
  <c r="E54" i="21"/>
  <c r="E58" i="21" s="1"/>
  <c r="D54" i="21"/>
  <c r="D58" i="21" s="1"/>
  <c r="C54" i="21"/>
  <c r="C58" i="21" s="1"/>
  <c r="G33" i="21"/>
  <c r="G8" i="21"/>
  <c r="E119" i="21" l="1"/>
  <c r="E121" i="21" s="1"/>
  <c r="D119" i="21"/>
  <c r="D121" i="21" s="1"/>
  <c r="C119" i="21"/>
  <c r="F58" i="21"/>
  <c r="E69" i="21" s="1"/>
  <c r="E71" i="21" s="1"/>
  <c r="C93" i="21"/>
  <c r="E93" i="21"/>
  <c r="E95" i="21" s="1"/>
  <c r="D93" i="21"/>
  <c r="D95" i="21" s="1"/>
  <c r="D69" i="21" l="1"/>
  <c r="D71" i="21" s="1"/>
  <c r="C69" i="21"/>
  <c r="C71" i="21" s="1"/>
  <c r="C121" i="21"/>
  <c r="G119" i="21"/>
  <c r="H119" i="21" s="1"/>
  <c r="G93" i="21"/>
  <c r="H93" i="21" s="1"/>
  <c r="C95" i="21"/>
  <c r="G69" i="21" l="1"/>
  <c r="H69" i="21" s="1"/>
  <c r="G71" i="21"/>
  <c r="G121" i="21"/>
  <c r="G95" i="21"/>
  <c r="F29" i="21"/>
  <c r="F33" i="21" s="1"/>
  <c r="E29" i="21"/>
  <c r="E33" i="21" s="1"/>
  <c r="H3" i="21"/>
  <c r="F3" i="21"/>
  <c r="D19" i="16"/>
  <c r="E19" i="16"/>
  <c r="C19" i="16"/>
  <c r="N19" i="16"/>
  <c r="Q45" i="13"/>
  <c r="P45" i="13"/>
  <c r="O45" i="13"/>
  <c r="E6" i="13"/>
  <c r="E5" i="13"/>
  <c r="E52" i="13"/>
  <c r="E60" i="13"/>
  <c r="E59" i="13"/>
  <c r="E58" i="13"/>
  <c r="E57" i="13"/>
  <c r="E56" i="13"/>
  <c r="E55" i="13"/>
  <c r="E54" i="13"/>
  <c r="E47" i="13"/>
  <c r="E46" i="13"/>
  <c r="E45" i="13"/>
  <c r="E44" i="13"/>
  <c r="E27" i="13"/>
  <c r="E37" i="13"/>
  <c r="E36" i="13"/>
  <c r="E35" i="13"/>
  <c r="E34" i="13"/>
  <c r="E33" i="13"/>
  <c r="E32" i="13"/>
  <c r="E31" i="13"/>
  <c r="E30" i="13"/>
  <c r="E29" i="13"/>
  <c r="E8" i="13"/>
  <c r="E18" i="13"/>
  <c r="E22" i="13"/>
  <c r="E21" i="13"/>
  <c r="E20" i="13"/>
  <c r="E13" i="13"/>
  <c r="E12" i="13"/>
  <c r="E11" i="13"/>
  <c r="E10" i="13"/>
  <c r="D29" i="21" l="1"/>
  <c r="D33" i="21" s="1"/>
  <c r="C4" i="21"/>
  <c r="C8" i="21" s="1"/>
  <c r="D4" i="21"/>
  <c r="D8" i="21" s="1"/>
  <c r="E4" i="21"/>
  <c r="E8" i="21" s="1"/>
  <c r="F4" i="21"/>
  <c r="F8" i="21" s="1"/>
  <c r="C29" i="21"/>
  <c r="C33" i="21" s="1"/>
  <c r="K89" i="13"/>
  <c r="E73" i="13"/>
  <c r="D73" i="13"/>
  <c r="C73" i="13"/>
  <c r="B73" i="13"/>
  <c r="E72" i="13"/>
  <c r="D72" i="13"/>
  <c r="C72" i="13"/>
  <c r="B72" i="13"/>
  <c r="E71" i="13"/>
  <c r="D71" i="13"/>
  <c r="C71" i="13"/>
  <c r="B71" i="13"/>
  <c r="E70" i="13"/>
  <c r="D70" i="13"/>
  <c r="C70" i="13"/>
  <c r="B70" i="13"/>
  <c r="E43" i="16"/>
  <c r="D43" i="16"/>
  <c r="C43" i="16"/>
  <c r="B43" i="16"/>
  <c r="D44" i="21" l="1"/>
  <c r="E44" i="21"/>
  <c r="C44" i="21"/>
  <c r="Q77" i="20"/>
  <c r="P77" i="20"/>
  <c r="O77" i="20"/>
  <c r="Q76" i="20"/>
  <c r="P76" i="20"/>
  <c r="O76" i="20"/>
  <c r="K82" i="20"/>
  <c r="L82" i="20"/>
  <c r="M82" i="20"/>
  <c r="L76" i="20"/>
  <c r="O70" i="20"/>
  <c r="O71" i="20"/>
  <c r="O72" i="20"/>
  <c r="O73" i="20"/>
  <c r="M76" i="20"/>
  <c r="G79" i="20"/>
  <c r="H79" i="20" s="1"/>
  <c r="K76" i="20" s="1"/>
  <c r="G78" i="20"/>
  <c r="H78" i="20" s="1"/>
  <c r="G77" i="20"/>
  <c r="H77" i="20" s="1"/>
  <c r="H76" i="20"/>
  <c r="G76" i="20"/>
  <c r="H73" i="20"/>
  <c r="H70" i="20"/>
  <c r="H67" i="20"/>
  <c r="H64" i="20"/>
  <c r="G73" i="20"/>
  <c r="G70" i="20"/>
  <c r="G67" i="20"/>
  <c r="G64" i="20"/>
  <c r="J64" i="20"/>
  <c r="E73" i="20"/>
  <c r="K100" i="20"/>
  <c r="K99" i="20"/>
  <c r="K98" i="20"/>
  <c r="K97" i="20"/>
  <c r="N93" i="20"/>
  <c r="M93" i="20"/>
  <c r="N92" i="20"/>
  <c r="M92" i="20"/>
  <c r="N91" i="20"/>
  <c r="M91" i="20"/>
  <c r="N90" i="20"/>
  <c r="M90" i="20"/>
  <c r="G60" i="20"/>
  <c r="G59" i="20"/>
  <c r="G58" i="20"/>
  <c r="G57" i="20"/>
  <c r="G56" i="20"/>
  <c r="G55" i="20"/>
  <c r="G54" i="20"/>
  <c r="N51" i="20"/>
  <c r="O51" i="20" s="1"/>
  <c r="C50" i="20"/>
  <c r="G47" i="20"/>
  <c r="H47" i="20" s="1"/>
  <c r="G46" i="20"/>
  <c r="H46" i="20" s="1"/>
  <c r="G45" i="20"/>
  <c r="H45" i="20" s="1"/>
  <c r="G44" i="20"/>
  <c r="G42" i="20" s="1"/>
  <c r="N42" i="20"/>
  <c r="N40" i="20"/>
  <c r="D40" i="20"/>
  <c r="C40" i="20"/>
  <c r="G37" i="20"/>
  <c r="H37" i="20" s="1"/>
  <c r="G36" i="20"/>
  <c r="G35" i="20"/>
  <c r="G34" i="20"/>
  <c r="G33" i="20"/>
  <c r="G32" i="20"/>
  <c r="G31" i="20"/>
  <c r="G30" i="20"/>
  <c r="G27" i="20" s="1"/>
  <c r="T29" i="20"/>
  <c r="G29" i="20"/>
  <c r="T28" i="20"/>
  <c r="P28" i="20"/>
  <c r="P31" i="20" s="1"/>
  <c r="O28" i="20"/>
  <c r="M31" i="20" s="1"/>
  <c r="O31" i="20" s="1"/>
  <c r="N28" i="20"/>
  <c r="M28" i="20"/>
  <c r="T27" i="20"/>
  <c r="T25" i="20"/>
  <c r="C25" i="20"/>
  <c r="T24" i="20"/>
  <c r="M24" i="20"/>
  <c r="P24" i="20" s="1"/>
  <c r="T23" i="20"/>
  <c r="G22" i="20"/>
  <c r="G21" i="20"/>
  <c r="G20" i="20"/>
  <c r="G18" i="20" s="1"/>
  <c r="P19" i="20"/>
  <c r="M19" i="20"/>
  <c r="M18" i="20"/>
  <c r="P16" i="20"/>
  <c r="O16" i="20"/>
  <c r="D50" i="20" s="1"/>
  <c r="N16" i="20"/>
  <c r="M16" i="20"/>
  <c r="B50" i="20" s="1"/>
  <c r="C16" i="20"/>
  <c r="B16" i="20"/>
  <c r="Q15" i="20"/>
  <c r="P15" i="20"/>
  <c r="O15" i="20"/>
  <c r="N15" i="20"/>
  <c r="M15" i="20"/>
  <c r="G13" i="20"/>
  <c r="G12" i="20"/>
  <c r="G11" i="20"/>
  <c r="G10" i="20"/>
  <c r="C6" i="20"/>
  <c r="B6" i="20"/>
  <c r="F4" i="20"/>
  <c r="N41" i="20" s="1"/>
  <c r="D4" i="20"/>
  <c r="C4" i="20"/>
  <c r="N35" i="20" s="1"/>
  <c r="B4" i="20"/>
  <c r="O35" i="20" s="1"/>
  <c r="G3" i="20"/>
  <c r="E3" i="20"/>
  <c r="G44" i="21" l="1"/>
  <c r="H44" i="21" s="1"/>
  <c r="H40" i="21" s="1"/>
  <c r="H21" i="21" s="1"/>
  <c r="E46" i="21"/>
  <c r="D46" i="21"/>
  <c r="C46" i="21"/>
  <c r="D19" i="21"/>
  <c r="D21" i="21" s="1"/>
  <c r="C19" i="21"/>
  <c r="C21" i="21" s="1"/>
  <c r="E19" i="21"/>
  <c r="E21" i="21" s="1"/>
  <c r="H34" i="20"/>
  <c r="H27" i="20"/>
  <c r="H35" i="20"/>
  <c r="H32" i="20"/>
  <c r="H13" i="20"/>
  <c r="H57" i="20"/>
  <c r="H29" i="20"/>
  <c r="H36" i="20"/>
  <c r="H11" i="20"/>
  <c r="H12" i="20"/>
  <c r="H21" i="20"/>
  <c r="H18" i="20"/>
  <c r="H22" i="20"/>
  <c r="H31" i="20"/>
  <c r="H33" i="20"/>
  <c r="H44" i="20"/>
  <c r="H42" i="20"/>
  <c r="H30" i="20"/>
  <c r="N39" i="20"/>
  <c r="B40" i="20"/>
  <c r="R35" i="20"/>
  <c r="H20" i="20"/>
  <c r="E4" i="20"/>
  <c r="D6" i="20"/>
  <c r="G8" i="20"/>
  <c r="H8" i="20" s="1"/>
  <c r="D16" i="20"/>
  <c r="B25" i="20"/>
  <c r="G52" i="20"/>
  <c r="H52" i="20" s="1"/>
  <c r="D25" i="20"/>
  <c r="D96" i="21" l="1"/>
  <c r="D122" i="21"/>
  <c r="C122" i="21"/>
  <c r="C96" i="21"/>
  <c r="C72" i="21"/>
  <c r="D72" i="21"/>
  <c r="C22" i="21"/>
  <c r="D22" i="21"/>
  <c r="G21" i="21"/>
  <c r="C47" i="21"/>
  <c r="G46" i="21"/>
  <c r="D47" i="21"/>
  <c r="C42" i="20"/>
  <c r="B42" i="20"/>
  <c r="J42" i="20"/>
  <c r="D42" i="20"/>
  <c r="J27" i="20"/>
  <c r="D27" i="20"/>
  <c r="B27" i="20"/>
  <c r="I29" i="20"/>
  <c r="I28" i="20" s="1"/>
  <c r="C27" i="20"/>
  <c r="J18" i="20"/>
  <c r="C18" i="20"/>
  <c r="B18" i="20"/>
  <c r="D18" i="20"/>
  <c r="H55" i="20"/>
  <c r="H10" i="20"/>
  <c r="H54" i="20"/>
  <c r="O44" i="20"/>
  <c r="N48" i="20" s="1"/>
  <c r="Q44" i="20"/>
  <c r="P48" i="20" s="1"/>
  <c r="P44" i="20"/>
  <c r="O48" i="20" s="1"/>
  <c r="H59" i="20"/>
  <c r="H56" i="20"/>
  <c r="H60" i="20"/>
  <c r="H58" i="20"/>
  <c r="G72" i="21" l="1"/>
  <c r="G96" i="21"/>
  <c r="G122" i="21"/>
  <c r="G22" i="21"/>
  <c r="G47" i="21"/>
  <c r="M4" i="20"/>
  <c r="Q4" i="20"/>
  <c r="R4" i="20"/>
  <c r="N4" i="20"/>
  <c r="J8" i="20"/>
  <c r="D8" i="20"/>
  <c r="C8" i="20"/>
  <c r="B8" i="20"/>
  <c r="M5" i="20"/>
  <c r="Q5" i="20"/>
  <c r="O5" i="20"/>
  <c r="S5" i="20"/>
  <c r="S4" i="20"/>
  <c r="O4" i="20"/>
  <c r="U59" i="20"/>
  <c r="U55" i="20"/>
  <c r="X55" i="20" s="1"/>
  <c r="U62" i="20"/>
  <c r="U60" i="20"/>
  <c r="U56" i="20"/>
  <c r="O49" i="20"/>
  <c r="U63" i="20"/>
  <c r="X63" i="20" s="1"/>
  <c r="U61" i="20"/>
  <c r="X61" i="20" s="1"/>
  <c r="U58" i="20"/>
  <c r="U54" i="20"/>
  <c r="X54" i="20" s="1"/>
  <c r="O53" i="20"/>
  <c r="U57" i="20"/>
  <c r="U53" i="20"/>
  <c r="X53" i="20" s="1"/>
  <c r="S6" i="20"/>
  <c r="O6" i="20"/>
  <c r="T59" i="20"/>
  <c r="W59" i="20" s="1"/>
  <c r="T55" i="20"/>
  <c r="T57" i="20"/>
  <c r="W57" i="20" s="1"/>
  <c r="T62" i="20"/>
  <c r="W62" i="20" s="1"/>
  <c r="T60" i="20"/>
  <c r="W60" i="20" s="1"/>
  <c r="T56" i="20"/>
  <c r="W56" i="20" s="1"/>
  <c r="T63" i="20"/>
  <c r="T61" i="20"/>
  <c r="T58" i="20"/>
  <c r="W58" i="20" s="1"/>
  <c r="T54" i="20"/>
  <c r="N53" i="20"/>
  <c r="N49" i="20"/>
  <c r="T53" i="20"/>
  <c r="M6" i="20"/>
  <c r="Q6" i="20"/>
  <c r="J52" i="20"/>
  <c r="C52" i="20"/>
  <c r="B52" i="20"/>
  <c r="D52" i="20"/>
  <c r="N5" i="20"/>
  <c r="R5" i="20"/>
  <c r="N6" i="20"/>
  <c r="R6" i="20"/>
  <c r="N7" i="20" l="1"/>
  <c r="R7" i="20"/>
  <c r="O7" i="20"/>
  <c r="S7" i="20"/>
  <c r="Q3" i="20"/>
  <c r="Q9" i="20" s="1"/>
  <c r="M3" i="20"/>
  <c r="M9" i="20" s="1"/>
  <c r="Q7" i="20"/>
  <c r="M7" i="20"/>
  <c r="W54" i="20"/>
  <c r="W55" i="20"/>
  <c r="X58" i="20"/>
  <c r="X59" i="20"/>
  <c r="N3" i="20"/>
  <c r="N9" i="20" s="1"/>
  <c r="R3" i="20"/>
  <c r="R9" i="20" s="1"/>
  <c r="O3" i="20"/>
  <c r="S3" i="20"/>
  <c r="W61" i="20"/>
  <c r="W63" i="20"/>
  <c r="X56" i="20"/>
  <c r="W53" i="20"/>
  <c r="X57" i="20"/>
  <c r="X60" i="20"/>
  <c r="X62" i="20"/>
  <c r="N93" i="13"/>
  <c r="M93" i="13"/>
  <c r="N92" i="13"/>
  <c r="M92" i="13"/>
  <c r="N91" i="13"/>
  <c r="M91" i="13"/>
  <c r="N90" i="13"/>
  <c r="M90" i="13"/>
  <c r="K100" i="13"/>
  <c r="K99" i="13"/>
  <c r="K98" i="13"/>
  <c r="K97" i="13"/>
  <c r="G21" i="18"/>
  <c r="G21" i="17"/>
  <c r="Q25" i="18"/>
  <c r="O25" i="18"/>
  <c r="M25" i="18"/>
  <c r="L25" i="18"/>
  <c r="K25" i="18"/>
  <c r="N24" i="18"/>
  <c r="N25" i="18" s="1"/>
  <c r="M20" i="18"/>
  <c r="L19" i="18"/>
  <c r="M19" i="18" s="1"/>
  <c r="M18" i="18"/>
  <c r="M17" i="18"/>
  <c r="M16" i="18"/>
  <c r="M15" i="18"/>
  <c r="E15" i="18"/>
  <c r="D15" i="18"/>
  <c r="C15" i="18"/>
  <c r="G4" i="18"/>
  <c r="O27" i="18" s="1"/>
  <c r="H3" i="18"/>
  <c r="F3" i="18"/>
  <c r="P37" i="16"/>
  <c r="R8" i="16"/>
  <c r="Q8" i="16"/>
  <c r="P8" i="16"/>
  <c r="R4" i="16"/>
  <c r="R26" i="16" s="1"/>
  <c r="Q4" i="16"/>
  <c r="Q26" i="16" s="1"/>
  <c r="P4" i="16"/>
  <c r="P26" i="16" s="1"/>
  <c r="O4" i="16"/>
  <c r="O8" i="16" s="1"/>
  <c r="N4" i="16"/>
  <c r="N8" i="16" s="1"/>
  <c r="S3" i="16"/>
  <c r="Q3" i="16"/>
  <c r="S9" i="20" l="1"/>
  <c r="O9" i="20"/>
  <c r="O19" i="16"/>
  <c r="O21" i="16" s="1"/>
  <c r="N21" i="16"/>
  <c r="P19" i="16"/>
  <c r="P21" i="16" s="1"/>
  <c r="C4" i="18"/>
  <c r="D4" i="18"/>
  <c r="G8" i="18"/>
  <c r="E4" i="18"/>
  <c r="F4" i="18"/>
  <c r="N26" i="16"/>
  <c r="O26" i="16"/>
  <c r="R21" i="16" l="1"/>
  <c r="O22" i="16"/>
  <c r="N22" i="16"/>
  <c r="N27" i="18"/>
  <c r="F8" i="18"/>
  <c r="M27" i="18"/>
  <c r="E8" i="18"/>
  <c r="L27" i="18"/>
  <c r="D8" i="18"/>
  <c r="C8" i="18"/>
  <c r="K27" i="18"/>
  <c r="N35" i="16"/>
  <c r="N37" i="16" s="1"/>
  <c r="N38" i="16" s="1"/>
  <c r="O35" i="16"/>
  <c r="O37" i="16" s="1"/>
  <c r="O38" i="16" s="1"/>
  <c r="R22" i="16" l="1"/>
  <c r="E19" i="18"/>
  <c r="E21" i="18" s="1"/>
  <c r="D19" i="18"/>
  <c r="D21" i="18" s="1"/>
  <c r="C19" i="18"/>
  <c r="C21" i="18" s="1"/>
  <c r="C22" i="18" l="1"/>
  <c r="D22" i="18"/>
  <c r="E19" i="17" l="1"/>
  <c r="D19" i="17"/>
  <c r="C19" i="17"/>
  <c r="E15" i="17"/>
  <c r="D15" i="17"/>
  <c r="C15" i="17"/>
  <c r="N24" i="17"/>
  <c r="Q25" i="17"/>
  <c r="O25" i="17"/>
  <c r="M25" i="17"/>
  <c r="L25" i="17"/>
  <c r="K25" i="17"/>
  <c r="M20" i="17"/>
  <c r="M18" i="17"/>
  <c r="M17" i="17"/>
  <c r="M16" i="17"/>
  <c r="M15" i="17"/>
  <c r="L19" i="17"/>
  <c r="M19" i="17" s="1"/>
  <c r="G4" i="17"/>
  <c r="G8" i="17" s="1"/>
  <c r="F4" i="17"/>
  <c r="F8" i="17" s="1"/>
  <c r="H3" i="17"/>
  <c r="F3" i="17"/>
  <c r="D38" i="16"/>
  <c r="C38" i="16"/>
  <c r="G26" i="16"/>
  <c r="F26" i="16"/>
  <c r="E26" i="16"/>
  <c r="D26" i="16"/>
  <c r="C26" i="16"/>
  <c r="G8" i="16"/>
  <c r="F8" i="16"/>
  <c r="E8" i="16"/>
  <c r="D8" i="16"/>
  <c r="C8" i="16"/>
  <c r="D21" i="16"/>
  <c r="E37" i="16"/>
  <c r="D35" i="16"/>
  <c r="D37" i="16" s="1"/>
  <c r="E21" i="16"/>
  <c r="C21" i="16"/>
  <c r="G21" i="16" s="1"/>
  <c r="H3" i="16"/>
  <c r="G4" i="16"/>
  <c r="D4" i="16" s="1"/>
  <c r="F4" i="16"/>
  <c r="E4" i="16"/>
  <c r="C4" i="16"/>
  <c r="F3" i="16"/>
  <c r="C22" i="16" l="1"/>
  <c r="D22" i="16"/>
  <c r="G22" i="16" s="1"/>
  <c r="O27" i="17"/>
  <c r="E4" i="17"/>
  <c r="E8" i="17" s="1"/>
  <c r="C4" i="17"/>
  <c r="K27" i="17" s="1"/>
  <c r="D4" i="17"/>
  <c r="L27" i="17" s="1"/>
  <c r="C35" i="16"/>
  <c r="C37" i="16" s="1"/>
  <c r="M27" i="17" l="1"/>
  <c r="D8" i="17"/>
  <c r="C8" i="17"/>
  <c r="E21" i="17" l="1"/>
  <c r="D21" i="17"/>
  <c r="C21" i="17"/>
  <c r="P28" i="13"/>
  <c r="O28" i="13"/>
  <c r="N51" i="13"/>
  <c r="E3" i="13"/>
  <c r="T24" i="13"/>
  <c r="T25" i="13"/>
  <c r="T23" i="13"/>
  <c r="T29" i="13"/>
  <c r="T28" i="13"/>
  <c r="T27" i="13"/>
  <c r="P16" i="13"/>
  <c r="O16" i="13"/>
  <c r="N16" i="13"/>
  <c r="M16" i="13"/>
  <c r="Q15" i="13"/>
  <c r="P15" i="13"/>
  <c r="O15" i="13"/>
  <c r="N15" i="13"/>
  <c r="M15" i="13"/>
  <c r="F4" i="13"/>
  <c r="N40" i="13" s="1"/>
  <c r="N41" i="13" l="1"/>
  <c r="C4" i="13"/>
  <c r="D4" i="13"/>
  <c r="M24" i="13" s="1"/>
  <c r="P24" i="13" s="1"/>
  <c r="M31" i="13" s="1"/>
  <c r="R35" i="13" s="1"/>
  <c r="N39" i="13"/>
  <c r="P44" i="13" s="1"/>
  <c r="E4" i="13"/>
  <c r="N42" i="13"/>
  <c r="B4" i="13"/>
  <c r="D22" i="17"/>
  <c r="C22" i="17"/>
  <c r="O51" i="13"/>
  <c r="N28" i="13"/>
  <c r="M28" i="13"/>
  <c r="D25" i="13"/>
  <c r="C50" i="13"/>
  <c r="D40" i="13"/>
  <c r="B6" i="13"/>
  <c r="B25" i="13"/>
  <c r="B50" i="13"/>
  <c r="B40" i="13"/>
  <c r="C25" i="13"/>
  <c r="D16" i="13"/>
  <c r="B16" i="13"/>
  <c r="P19" i="13"/>
  <c r="M19" i="13"/>
  <c r="M18" i="13"/>
  <c r="G60" i="13"/>
  <c r="G59" i="13"/>
  <c r="G58" i="13"/>
  <c r="G57" i="13"/>
  <c r="G56" i="13"/>
  <c r="G55" i="13"/>
  <c r="G54" i="13"/>
  <c r="G47" i="13"/>
  <c r="G46" i="13"/>
  <c r="G45" i="13"/>
  <c r="G44" i="13"/>
  <c r="G37" i="13"/>
  <c r="G36" i="13"/>
  <c r="G35" i="13"/>
  <c r="G34" i="13"/>
  <c r="G33" i="13"/>
  <c r="G32" i="13"/>
  <c r="G30" i="13"/>
  <c r="G29" i="13"/>
  <c r="G31" i="13"/>
  <c r="C6" i="13"/>
  <c r="G21" i="13"/>
  <c r="G20" i="13"/>
  <c r="G22" i="13"/>
  <c r="G3" i="13"/>
  <c r="G13" i="13"/>
  <c r="G12" i="13"/>
  <c r="G11" i="13"/>
  <c r="G10" i="13"/>
  <c r="O44" i="13" l="1"/>
  <c r="Q44" i="13"/>
  <c r="J5" i="13"/>
  <c r="P48" i="13"/>
  <c r="O31" i="13"/>
  <c r="N35" i="13" s="1"/>
  <c r="N48" i="13" s="1"/>
  <c r="D6" i="13"/>
  <c r="D50" i="13"/>
  <c r="C40" i="13"/>
  <c r="C16" i="13"/>
  <c r="P31" i="13"/>
  <c r="G18" i="13"/>
  <c r="G42" i="13"/>
  <c r="H47" i="13" s="1"/>
  <c r="G52" i="13"/>
  <c r="G27" i="13"/>
  <c r="G8" i="13"/>
  <c r="J53" i="8"/>
  <c r="P56" i="8"/>
  <c r="O56" i="8"/>
  <c r="P55" i="8"/>
  <c r="O55" i="8"/>
  <c r="M55" i="8"/>
  <c r="L55" i="8"/>
  <c r="E55" i="8"/>
  <c r="J55" i="8" s="1"/>
  <c r="M54" i="8"/>
  <c r="E54" i="8"/>
  <c r="J54" i="8" s="1"/>
  <c r="M53" i="8"/>
  <c r="L53" i="8"/>
  <c r="E53" i="8"/>
  <c r="M52" i="8"/>
  <c r="E52" i="8"/>
  <c r="J52" i="8" s="1"/>
  <c r="H45" i="13" l="1"/>
  <c r="H60" i="13"/>
  <c r="K64" i="13"/>
  <c r="H20" i="13"/>
  <c r="K67" i="13"/>
  <c r="H8" i="13"/>
  <c r="K66" i="13"/>
  <c r="H35" i="13"/>
  <c r="K65" i="13"/>
  <c r="I5" i="13"/>
  <c r="J6" i="13"/>
  <c r="N53" i="13"/>
  <c r="T63" i="13"/>
  <c r="T62" i="13"/>
  <c r="T58" i="13"/>
  <c r="T54" i="13"/>
  <c r="T61" i="13"/>
  <c r="T57" i="13"/>
  <c r="T53" i="13"/>
  <c r="T60" i="13"/>
  <c r="T56" i="13"/>
  <c r="T59" i="13"/>
  <c r="T55" i="13"/>
  <c r="O35" i="13"/>
  <c r="O48" i="13" s="1"/>
  <c r="O49" i="13" s="1"/>
  <c r="H54" i="13"/>
  <c r="H32" i="13"/>
  <c r="H42" i="13"/>
  <c r="H46" i="13"/>
  <c r="H59" i="13"/>
  <c r="H18" i="13"/>
  <c r="H52" i="13"/>
  <c r="H21" i="13"/>
  <c r="C18" i="13" s="1"/>
  <c r="H57" i="13"/>
  <c r="H22" i="13"/>
  <c r="H56" i="13"/>
  <c r="H33" i="13"/>
  <c r="H58" i="13"/>
  <c r="H55" i="13"/>
  <c r="H44" i="13"/>
  <c r="H31" i="13"/>
  <c r="H37" i="13"/>
  <c r="H29" i="13"/>
  <c r="H30" i="13"/>
  <c r="H34" i="13"/>
  <c r="H27" i="13"/>
  <c r="H36" i="13"/>
  <c r="H13" i="13"/>
  <c r="H11" i="13"/>
  <c r="H10" i="13"/>
  <c r="H12" i="13"/>
  <c r="L56" i="8"/>
  <c r="M56" i="8"/>
  <c r="J56" i="8"/>
  <c r="I53" i="8"/>
  <c r="I55" i="8"/>
  <c r="I52" i="8"/>
  <c r="I54" i="8"/>
  <c r="O45" i="8"/>
  <c r="P45" i="8"/>
  <c r="P44" i="8"/>
  <c r="O44" i="8"/>
  <c r="M41" i="8"/>
  <c r="M43" i="8"/>
  <c r="I63" i="8"/>
  <c r="I65" i="8" s="1"/>
  <c r="H63" i="8"/>
  <c r="H65" i="8" s="1"/>
  <c r="G63" i="8"/>
  <c r="F63" i="8"/>
  <c r="M67" i="13" l="1"/>
  <c r="L67" i="13"/>
  <c r="M64" i="13"/>
  <c r="L64" i="13"/>
  <c r="M66" i="13"/>
  <c r="L66" i="13"/>
  <c r="M59" i="13" s="1"/>
  <c r="D18" i="13"/>
  <c r="J73" i="13" s="1"/>
  <c r="D79" i="13" s="1"/>
  <c r="D85" i="13" s="1"/>
  <c r="M65" i="13"/>
  <c r="L65" i="13"/>
  <c r="J18" i="13"/>
  <c r="H67" i="13" s="1"/>
  <c r="J67" i="13" s="1"/>
  <c r="D27" i="13"/>
  <c r="J71" i="13" s="1"/>
  <c r="D77" i="13" s="1"/>
  <c r="D83" i="13" s="1"/>
  <c r="B18" i="13"/>
  <c r="H73" i="13" s="1"/>
  <c r="I6" i="13"/>
  <c r="K6" i="13"/>
  <c r="N49" i="13"/>
  <c r="I29" i="13"/>
  <c r="I28" i="13" s="1"/>
  <c r="N4" i="13"/>
  <c r="I73" i="13"/>
  <c r="C79" i="13" s="1"/>
  <c r="C85" i="13" s="1"/>
  <c r="U58" i="13"/>
  <c r="X58" i="13" s="1"/>
  <c r="U61" i="13"/>
  <c r="X61" i="13" s="1"/>
  <c r="U57" i="13"/>
  <c r="X57" i="13" s="1"/>
  <c r="U53" i="13"/>
  <c r="X53" i="13" s="1"/>
  <c r="U60" i="13"/>
  <c r="X60" i="13" s="1"/>
  <c r="U56" i="13"/>
  <c r="X56" i="13" s="1"/>
  <c r="U63" i="13"/>
  <c r="X63" i="13" s="1"/>
  <c r="U59" i="13"/>
  <c r="X59" i="13" s="1"/>
  <c r="U55" i="13"/>
  <c r="X55" i="13" s="1"/>
  <c r="U62" i="13"/>
  <c r="X62" i="13" s="1"/>
  <c r="U54" i="13"/>
  <c r="X54" i="13" s="1"/>
  <c r="O53" i="13"/>
  <c r="W63" i="13"/>
  <c r="O5" i="13"/>
  <c r="C27" i="13"/>
  <c r="I71" i="13" s="1"/>
  <c r="C77" i="13" s="1"/>
  <c r="C83" i="13" s="1"/>
  <c r="J27" i="13"/>
  <c r="H65" i="13" s="1"/>
  <c r="J65" i="13" s="1"/>
  <c r="J52" i="13"/>
  <c r="D42" i="13"/>
  <c r="J70" i="13" s="1"/>
  <c r="D76" i="13" s="1"/>
  <c r="D82" i="13" s="1"/>
  <c r="J42" i="13"/>
  <c r="C52" i="13"/>
  <c r="R4" i="13"/>
  <c r="J8" i="13"/>
  <c r="H66" i="13" s="1"/>
  <c r="J66" i="13" s="1"/>
  <c r="C42" i="13"/>
  <c r="D52" i="13"/>
  <c r="B42" i="13"/>
  <c r="B27" i="13"/>
  <c r="H71" i="13" s="1"/>
  <c r="B52" i="13"/>
  <c r="D8" i="13"/>
  <c r="J72" i="13" s="1"/>
  <c r="D78" i="13" s="1"/>
  <c r="D84" i="13" s="1"/>
  <c r="B8" i="13"/>
  <c r="H72" i="13" s="1"/>
  <c r="C8" i="13"/>
  <c r="I72" i="13" s="1"/>
  <c r="C78" i="13" s="1"/>
  <c r="C84" i="13" s="1"/>
  <c r="I56" i="8"/>
  <c r="F9" i="12"/>
  <c r="M44" i="8"/>
  <c r="L44" i="8"/>
  <c r="M42" i="8"/>
  <c r="L42" i="8"/>
  <c r="L45" i="8" s="1"/>
  <c r="E9" i="12"/>
  <c r="K8" i="12"/>
  <c r="C8" i="12"/>
  <c r="B8" i="12"/>
  <c r="O7" i="12"/>
  <c r="S7" i="12" s="1"/>
  <c r="N7" i="12"/>
  <c r="R7" i="12" s="1"/>
  <c r="M7" i="12"/>
  <c r="Q7" i="12" s="1"/>
  <c r="K7" i="12"/>
  <c r="O6" i="12"/>
  <c r="S6" i="12" s="1"/>
  <c r="N6" i="12"/>
  <c r="R6" i="12" s="1"/>
  <c r="M6" i="12"/>
  <c r="Q6" i="12" s="1"/>
  <c r="K6" i="12"/>
  <c r="O5" i="12"/>
  <c r="S5" i="12" s="1"/>
  <c r="N5" i="12"/>
  <c r="R5" i="12" s="1"/>
  <c r="M5" i="12"/>
  <c r="Q5" i="12" s="1"/>
  <c r="K5" i="12"/>
  <c r="O4" i="12"/>
  <c r="S4" i="12" s="1"/>
  <c r="N4" i="12"/>
  <c r="R4" i="12" s="1"/>
  <c r="M4" i="12"/>
  <c r="Q4" i="12" s="1"/>
  <c r="K4" i="12"/>
  <c r="E18" i="12"/>
  <c r="J44" i="8"/>
  <c r="J42" i="8"/>
  <c r="E44" i="8"/>
  <c r="I44" i="8" s="1"/>
  <c r="E43" i="8"/>
  <c r="E42" i="8"/>
  <c r="I42" i="8" s="1"/>
  <c r="E41" i="8"/>
  <c r="D87" i="13" l="1"/>
  <c r="N66" i="13"/>
  <c r="S5" i="13"/>
  <c r="N65" i="13"/>
  <c r="S4" i="13"/>
  <c r="I70" i="13"/>
  <c r="C76" i="13" s="1"/>
  <c r="C82" i="13" s="1"/>
  <c r="C87" i="13" s="1"/>
  <c r="M57" i="13"/>
  <c r="O4" i="13"/>
  <c r="N67" i="13"/>
  <c r="M60" i="13"/>
  <c r="M58" i="13"/>
  <c r="H64" i="13"/>
  <c r="J64" i="13" s="1"/>
  <c r="N64" i="13" s="1"/>
  <c r="H70" i="13"/>
  <c r="B76" i="13" s="1"/>
  <c r="B82" i="13" s="1"/>
  <c r="W62" i="13"/>
  <c r="B78" i="13"/>
  <c r="B84" i="13" s="1"/>
  <c r="K72" i="13"/>
  <c r="E78" i="13" s="1"/>
  <c r="E84" i="13" s="1"/>
  <c r="W59" i="13"/>
  <c r="B77" i="13"/>
  <c r="B83" i="13" s="1"/>
  <c r="K71" i="13"/>
  <c r="E77" i="13" s="1"/>
  <c r="E83" i="13" s="1"/>
  <c r="Q4" i="13"/>
  <c r="W54" i="13"/>
  <c r="W53" i="13"/>
  <c r="K73" i="13"/>
  <c r="E79" i="13" s="1"/>
  <c r="E85" i="13" s="1"/>
  <c r="B79" i="13"/>
  <c r="B85" i="13" s="1"/>
  <c r="M4" i="13"/>
  <c r="W61" i="13"/>
  <c r="W58" i="13"/>
  <c r="W57" i="13"/>
  <c r="W55" i="13"/>
  <c r="W60" i="13"/>
  <c r="W56" i="13"/>
  <c r="N6" i="13"/>
  <c r="R6" i="13"/>
  <c r="N5" i="13"/>
  <c r="R5" i="13"/>
  <c r="N3" i="13"/>
  <c r="R3" i="13"/>
  <c r="M3" i="13"/>
  <c r="Q3" i="13"/>
  <c r="O7" i="13"/>
  <c r="S7" i="13"/>
  <c r="O3" i="13"/>
  <c r="S3" i="13"/>
  <c r="M7" i="13"/>
  <c r="Q7" i="13"/>
  <c r="M5" i="13"/>
  <c r="Q5" i="13"/>
  <c r="O6" i="13"/>
  <c r="S6" i="13"/>
  <c r="N7" i="13"/>
  <c r="R7" i="13"/>
  <c r="M6" i="13"/>
  <c r="Q6" i="13"/>
  <c r="I41" i="8"/>
  <c r="J41" i="8"/>
  <c r="I43" i="8"/>
  <c r="J43" i="8"/>
  <c r="M45" i="8"/>
  <c r="K17" i="12"/>
  <c r="K16" i="12"/>
  <c r="K15" i="12"/>
  <c r="K14" i="12"/>
  <c r="K13" i="12"/>
  <c r="H82" i="12"/>
  <c r="G82" i="12"/>
  <c r="F82" i="12"/>
  <c r="E82" i="12"/>
  <c r="C82" i="12"/>
  <c r="B82" i="12"/>
  <c r="H81" i="12"/>
  <c r="G81" i="12"/>
  <c r="F81" i="12"/>
  <c r="E81" i="12"/>
  <c r="H80" i="12"/>
  <c r="G80" i="12"/>
  <c r="F80" i="12"/>
  <c r="E80" i="12"/>
  <c r="H79" i="12"/>
  <c r="G79" i="12"/>
  <c r="F79" i="12"/>
  <c r="E79" i="12"/>
  <c r="H78" i="12"/>
  <c r="G78" i="12"/>
  <c r="F78" i="12"/>
  <c r="E78" i="12"/>
  <c r="H74" i="12"/>
  <c r="G74" i="12"/>
  <c r="F74" i="12"/>
  <c r="E74" i="12"/>
  <c r="C74" i="12"/>
  <c r="B74" i="12"/>
  <c r="H73" i="12"/>
  <c r="G73" i="12"/>
  <c r="F73" i="12"/>
  <c r="E73" i="12"/>
  <c r="H72" i="12"/>
  <c r="G72" i="12"/>
  <c r="F72" i="12"/>
  <c r="E72" i="12"/>
  <c r="H71" i="12"/>
  <c r="G71" i="12"/>
  <c r="F71" i="12"/>
  <c r="E71" i="12"/>
  <c r="H70" i="12"/>
  <c r="G70" i="12"/>
  <c r="F70" i="12"/>
  <c r="E70" i="12"/>
  <c r="C66" i="12"/>
  <c r="B66" i="12"/>
  <c r="H62" i="12"/>
  <c r="G62" i="12"/>
  <c r="F62" i="12"/>
  <c r="E62" i="12"/>
  <c r="H58" i="12"/>
  <c r="G58" i="12"/>
  <c r="F58" i="12"/>
  <c r="E58" i="12"/>
  <c r="H57" i="12"/>
  <c r="G57" i="12"/>
  <c r="F57" i="12"/>
  <c r="E57" i="12"/>
  <c r="H56" i="12"/>
  <c r="G56" i="12"/>
  <c r="F56" i="12"/>
  <c r="E56" i="12"/>
  <c r="H55" i="12"/>
  <c r="G55" i="12"/>
  <c r="F55" i="12"/>
  <c r="E55" i="12"/>
  <c r="H54" i="12"/>
  <c r="G54" i="12"/>
  <c r="F54" i="12"/>
  <c r="E54" i="12"/>
  <c r="H50" i="12"/>
  <c r="G50" i="12"/>
  <c r="F50" i="12"/>
  <c r="E50" i="12"/>
  <c r="H49" i="12"/>
  <c r="G49" i="12"/>
  <c r="F49" i="12"/>
  <c r="E49" i="12"/>
  <c r="H48" i="12"/>
  <c r="G48" i="12"/>
  <c r="F48" i="12"/>
  <c r="E48" i="12"/>
  <c r="H47" i="12"/>
  <c r="G47" i="12"/>
  <c r="F47" i="12"/>
  <c r="E47" i="12"/>
  <c r="H46" i="12"/>
  <c r="G46" i="12"/>
  <c r="F46" i="12"/>
  <c r="E46" i="12"/>
  <c r="H42" i="12"/>
  <c r="G42" i="12"/>
  <c r="F42" i="12"/>
  <c r="E42" i="12"/>
  <c r="H41" i="12"/>
  <c r="G41" i="12"/>
  <c r="G66" i="12" s="1"/>
  <c r="F41" i="12"/>
  <c r="F66" i="12" s="1"/>
  <c r="E41" i="12"/>
  <c r="E66" i="12" s="1"/>
  <c r="H40" i="12"/>
  <c r="G40" i="12"/>
  <c r="F40" i="12"/>
  <c r="E40" i="12"/>
  <c r="H39" i="12"/>
  <c r="G39" i="12"/>
  <c r="F39" i="12"/>
  <c r="E39" i="12"/>
  <c r="H38" i="12"/>
  <c r="G38" i="12"/>
  <c r="F38" i="12"/>
  <c r="E38" i="12"/>
  <c r="C58" i="12"/>
  <c r="B58" i="12"/>
  <c r="C50" i="12"/>
  <c r="B50" i="12"/>
  <c r="C42" i="12"/>
  <c r="B42" i="12"/>
  <c r="S32" i="12"/>
  <c r="R32" i="12"/>
  <c r="Q32" i="12"/>
  <c r="S31" i="12"/>
  <c r="R31" i="12"/>
  <c r="Q31" i="12"/>
  <c r="S30" i="12"/>
  <c r="R30" i="12"/>
  <c r="Q30" i="12"/>
  <c r="S29" i="12"/>
  <c r="R29" i="12"/>
  <c r="Q29" i="12"/>
  <c r="S24" i="12"/>
  <c r="R24" i="12"/>
  <c r="Q24" i="12"/>
  <c r="S23" i="12"/>
  <c r="R23" i="12"/>
  <c r="Q23" i="12"/>
  <c r="S22" i="12"/>
  <c r="R22" i="12"/>
  <c r="Q22" i="12"/>
  <c r="S21" i="12"/>
  <c r="R21" i="12"/>
  <c r="Q21" i="12"/>
  <c r="S16" i="12"/>
  <c r="R16" i="12"/>
  <c r="S15" i="12"/>
  <c r="R15" i="12"/>
  <c r="S14" i="12"/>
  <c r="R14" i="12"/>
  <c r="S13" i="12"/>
  <c r="R13" i="12"/>
  <c r="O32" i="12"/>
  <c r="N32" i="12"/>
  <c r="M32" i="12"/>
  <c r="O31" i="12"/>
  <c r="N31" i="12"/>
  <c r="M31" i="12"/>
  <c r="O30" i="12"/>
  <c r="N30" i="12"/>
  <c r="M30" i="12"/>
  <c r="O29" i="12"/>
  <c r="N29" i="12"/>
  <c r="M29" i="12"/>
  <c r="O24" i="12"/>
  <c r="N24" i="12"/>
  <c r="M24" i="12"/>
  <c r="O23" i="12"/>
  <c r="N23" i="12"/>
  <c r="M23" i="12"/>
  <c r="O22" i="12"/>
  <c r="N22" i="12"/>
  <c r="M22" i="12"/>
  <c r="O21" i="12"/>
  <c r="N21" i="12"/>
  <c r="M21" i="12"/>
  <c r="C33" i="12"/>
  <c r="B33" i="12"/>
  <c r="O16" i="12"/>
  <c r="N16" i="12"/>
  <c r="O15" i="12"/>
  <c r="N15" i="12"/>
  <c r="O14" i="12"/>
  <c r="N14" i="12"/>
  <c r="O13" i="12"/>
  <c r="N13" i="12"/>
  <c r="M14" i="12"/>
  <c r="M15" i="12"/>
  <c r="M16" i="12"/>
  <c r="M13" i="12"/>
  <c r="C25" i="12"/>
  <c r="B25" i="12"/>
  <c r="C17" i="12"/>
  <c r="B17" i="12"/>
  <c r="O9" i="13" l="1"/>
  <c r="B87" i="13"/>
  <c r="K70" i="13"/>
  <c r="E76" i="13" s="1"/>
  <c r="E82" i="13" s="1"/>
  <c r="E87" i="13" s="1"/>
  <c r="M9" i="13"/>
  <c r="N69" i="13"/>
  <c r="O64" i="13" s="1"/>
  <c r="N57" i="13" s="1"/>
  <c r="R9" i="13"/>
  <c r="Q9" i="13"/>
  <c r="S9" i="13"/>
  <c r="N9" i="13"/>
  <c r="J45" i="8"/>
  <c r="I45" i="8"/>
  <c r="E64" i="12"/>
  <c r="H66" i="12"/>
  <c r="G64" i="12"/>
  <c r="H64" i="12"/>
  <c r="F64" i="12"/>
  <c r="E65" i="12"/>
  <c r="H65" i="12"/>
  <c r="F65" i="12"/>
  <c r="G65" i="12"/>
  <c r="Q14" i="12"/>
  <c r="F63" i="12"/>
  <c r="Q15" i="12"/>
  <c r="H63" i="12"/>
  <c r="E63" i="12"/>
  <c r="G63" i="12"/>
  <c r="Q16" i="12"/>
  <c r="Q13" i="12"/>
  <c r="B79" i="10" a="1"/>
  <c r="B79" i="10" s="1"/>
  <c r="I56" i="11"/>
  <c r="H56" i="11"/>
  <c r="G56" i="11"/>
  <c r="F56" i="11"/>
  <c r="E56" i="11"/>
  <c r="D56" i="11"/>
  <c r="I52" i="11"/>
  <c r="H52" i="11"/>
  <c r="G52" i="11"/>
  <c r="F52" i="11"/>
  <c r="E52" i="11"/>
  <c r="D52" i="11"/>
  <c r="I50" i="11"/>
  <c r="H50" i="11"/>
  <c r="G50" i="11"/>
  <c r="F50" i="11"/>
  <c r="E50" i="11"/>
  <c r="D50" i="11"/>
  <c r="I46" i="11"/>
  <c r="H46" i="11"/>
  <c r="G46" i="11"/>
  <c r="F46" i="11"/>
  <c r="E46" i="11"/>
  <c r="D46" i="11"/>
  <c r="L22" i="11"/>
  <c r="M22" i="11"/>
  <c r="N22" i="11"/>
  <c r="O22" i="11"/>
  <c r="P22" i="11"/>
  <c r="L26" i="11"/>
  <c r="M26" i="11"/>
  <c r="N26" i="11"/>
  <c r="O26" i="11"/>
  <c r="P26" i="11"/>
  <c r="L34" i="11"/>
  <c r="M34" i="11"/>
  <c r="N34" i="11"/>
  <c r="O34" i="11"/>
  <c r="P34" i="11"/>
  <c r="L38" i="11"/>
  <c r="M38" i="11"/>
  <c r="N38" i="11"/>
  <c r="O38" i="11"/>
  <c r="P38" i="11"/>
  <c r="K38" i="11"/>
  <c r="K34" i="11"/>
  <c r="K26" i="11"/>
  <c r="K22" i="11"/>
  <c r="I44" i="11"/>
  <c r="H44" i="11"/>
  <c r="G44" i="11"/>
  <c r="F44" i="11"/>
  <c r="E44" i="11"/>
  <c r="D44" i="11"/>
  <c r="C44" i="11"/>
  <c r="B44" i="11"/>
  <c r="I40" i="11"/>
  <c r="H40" i="11"/>
  <c r="G40" i="11"/>
  <c r="F40" i="11"/>
  <c r="E40" i="11"/>
  <c r="D40" i="11"/>
  <c r="I38" i="11"/>
  <c r="H38" i="11"/>
  <c r="G38" i="11"/>
  <c r="F38" i="11"/>
  <c r="E38" i="11"/>
  <c r="D38" i="11"/>
  <c r="C38" i="11"/>
  <c r="B38" i="11"/>
  <c r="I32" i="11"/>
  <c r="H32" i="11"/>
  <c r="G32" i="11"/>
  <c r="F32" i="11"/>
  <c r="E32" i="11"/>
  <c r="D32" i="11"/>
  <c r="C32" i="11"/>
  <c r="B32" i="11"/>
  <c r="I26" i="11"/>
  <c r="H26" i="11"/>
  <c r="G26" i="11"/>
  <c r="F26" i="11"/>
  <c r="E26" i="11"/>
  <c r="D26" i="11"/>
  <c r="C26" i="11"/>
  <c r="B26" i="11"/>
  <c r="I34" i="11"/>
  <c r="H34" i="11"/>
  <c r="G34" i="11"/>
  <c r="F34" i="11"/>
  <c r="E34" i="11"/>
  <c r="D34" i="11"/>
  <c r="I28" i="11"/>
  <c r="H28" i="11"/>
  <c r="G28" i="11"/>
  <c r="F28" i="11"/>
  <c r="E28" i="11"/>
  <c r="D28" i="11"/>
  <c r="I22" i="11"/>
  <c r="H22" i="11"/>
  <c r="G22" i="11"/>
  <c r="F22" i="11"/>
  <c r="E22" i="11"/>
  <c r="D22" i="11"/>
  <c r="K14" i="11"/>
  <c r="J14" i="11"/>
  <c r="I14" i="11"/>
  <c r="E14" i="11"/>
  <c r="D14" i="11"/>
  <c r="C14" i="11"/>
  <c r="O67" i="13" l="1"/>
  <c r="N60" i="13" s="1"/>
  <c r="O65" i="13"/>
  <c r="N58" i="13" s="1"/>
  <c r="O66" i="13"/>
  <c r="N59" i="13" s="1"/>
  <c r="I28" i="10"/>
  <c r="I34" i="10"/>
  <c r="I32" i="10"/>
  <c r="I30" i="10"/>
  <c r="M26" i="10"/>
  <c r="M24" i="10"/>
  <c r="J26" i="10"/>
  <c r="I26" i="10"/>
  <c r="P8" i="9" l="1"/>
  <c r="O8" i="9"/>
  <c r="P9" i="9"/>
  <c r="O9" i="9"/>
  <c r="N29" i="9" l="1"/>
  <c r="N28" i="9"/>
  <c r="N27" i="9"/>
  <c r="L29" i="9"/>
  <c r="K29" i="9"/>
  <c r="J29" i="9"/>
  <c r="L28" i="9"/>
  <c r="K28" i="9"/>
  <c r="J28" i="9"/>
  <c r="L27" i="9"/>
  <c r="K27" i="9"/>
  <c r="J27" i="9"/>
  <c r="J24" i="9"/>
  <c r="J23" i="9"/>
  <c r="J22" i="9"/>
  <c r="M20" i="9"/>
  <c r="L20" i="9"/>
  <c r="J20" i="9"/>
  <c r="M19" i="9"/>
  <c r="L19" i="9"/>
  <c r="J19" i="9"/>
  <c r="M18" i="9"/>
  <c r="L18" i="9"/>
  <c r="J18" i="9"/>
  <c r="D24" i="9"/>
  <c r="D23" i="9"/>
  <c r="D22" i="9"/>
  <c r="G20" i="9"/>
  <c r="F20" i="9"/>
  <c r="D20" i="9"/>
  <c r="G19" i="9"/>
  <c r="F19" i="9"/>
  <c r="D19" i="9"/>
  <c r="G18" i="9"/>
  <c r="F18" i="9"/>
  <c r="D18" i="9"/>
  <c r="D10" i="9"/>
  <c r="D9" i="9"/>
  <c r="D8" i="9"/>
  <c r="M10" i="9"/>
  <c r="L10" i="9"/>
  <c r="K10" i="9"/>
  <c r="J10" i="9"/>
  <c r="G10" i="9"/>
  <c r="F10" i="9"/>
  <c r="E10" i="9"/>
  <c r="G9" i="9"/>
  <c r="F9" i="9"/>
  <c r="E9" i="9"/>
  <c r="R6" i="9"/>
  <c r="R5" i="9"/>
  <c r="R4" i="9"/>
  <c r="M8" i="9"/>
  <c r="L8" i="9"/>
  <c r="K8" i="9"/>
  <c r="J8" i="9"/>
  <c r="M9" i="9"/>
  <c r="L9" i="9"/>
  <c r="K9" i="9"/>
  <c r="J9" i="9"/>
  <c r="G8" i="9"/>
  <c r="F8" i="9"/>
  <c r="E8" i="9"/>
  <c r="L34" i="8" l="1"/>
  <c r="L33" i="8"/>
  <c r="Q28" i="4"/>
  <c r="U42" i="4"/>
  <c r="T33" i="4"/>
  <c r="T31" i="4"/>
  <c r="T44" i="4"/>
  <c r="T42" i="4"/>
  <c r="R43" i="4"/>
  <c r="R42" i="4" s="1"/>
  <c r="S42" i="4" s="1"/>
  <c r="S33" i="4"/>
  <c r="R33" i="4"/>
  <c r="S31" i="4"/>
  <c r="R31" i="4"/>
  <c r="R32" i="4"/>
  <c r="V42" i="4"/>
  <c r="V31" i="4"/>
  <c r="U31" i="4"/>
  <c r="Q40" i="4"/>
  <c r="Q39" i="4"/>
  <c r="Q38" i="4"/>
  <c r="Q37" i="4"/>
  <c r="Q29" i="4"/>
  <c r="S29" i="4" s="1"/>
  <c r="Q27" i="4"/>
  <c r="S27" i="4" s="1"/>
  <c r="Q26" i="4"/>
  <c r="S26" i="4" s="1"/>
  <c r="Q51" i="4"/>
  <c r="Q50" i="4"/>
  <c r="Q49" i="4"/>
  <c r="Q48" i="4"/>
  <c r="D32" i="4"/>
  <c r="E32" i="4" s="1"/>
  <c r="E31" i="4"/>
  <c r="E30" i="4"/>
  <c r="O29" i="4"/>
  <c r="E29" i="4"/>
  <c r="D29" i="4"/>
  <c r="R28" i="4"/>
  <c r="O28" i="4"/>
  <c r="P28" i="4" s="1"/>
  <c r="E28" i="4"/>
  <c r="O27" i="4"/>
  <c r="P27" i="4" s="1"/>
  <c r="E27" i="4"/>
  <c r="O26" i="4"/>
  <c r="P26" i="4" s="1"/>
  <c r="E26" i="4"/>
  <c r="R44" i="4" l="1"/>
  <c r="S44" i="4" s="1"/>
  <c r="O32" i="4"/>
  <c r="P32" i="4" s="1"/>
  <c r="G29" i="4"/>
  <c r="H29" i="4"/>
  <c r="U27" i="4"/>
  <c r="V27" i="4" s="1"/>
  <c r="R26" i="4"/>
  <c r="U25" i="4" s="1"/>
  <c r="V25" i="4" s="1"/>
  <c r="R27" i="4"/>
  <c r="U26" i="4" s="1"/>
  <c r="V26" i="4" s="1"/>
  <c r="S28" i="4"/>
  <c r="P29" i="4"/>
  <c r="R29" i="4"/>
  <c r="U28" i="4" s="1"/>
  <c r="V28" i="4" l="1"/>
  <c r="O27" i="8"/>
  <c r="N27" i="8"/>
  <c r="M27" i="8"/>
  <c r="L27" i="8"/>
  <c r="R6" i="8" s="1"/>
  <c r="B27" i="8"/>
  <c r="M13" i="8"/>
  <c r="M14" i="8"/>
  <c r="M15" i="8"/>
  <c r="M16" i="8"/>
  <c r="L16" i="8"/>
  <c r="L15" i="8"/>
  <c r="L14" i="8"/>
  <c r="M30" i="8"/>
  <c r="L30" i="8"/>
  <c r="B30" i="8"/>
  <c r="D43" i="4"/>
  <c r="S40" i="4"/>
  <c r="O40" i="4"/>
  <c r="P40" i="4" s="1"/>
  <c r="D40" i="4"/>
  <c r="O39" i="4"/>
  <c r="P39" i="4" s="1"/>
  <c r="S38" i="4"/>
  <c r="O38" i="4"/>
  <c r="P38" i="4" s="1"/>
  <c r="O37" i="4"/>
  <c r="P37" i="4" s="1"/>
  <c r="L13" i="8"/>
  <c r="M24" i="8"/>
  <c r="L24" i="8"/>
  <c r="R15" i="8" s="1"/>
  <c r="O21" i="8"/>
  <c r="N21" i="8"/>
  <c r="M21" i="8"/>
  <c r="L21" i="8"/>
  <c r="C16" i="8"/>
  <c r="C15" i="8"/>
  <c r="C14" i="8"/>
  <c r="C13" i="8"/>
  <c r="I17" i="8" s="1"/>
  <c r="C5" i="8"/>
  <c r="C6" i="8"/>
  <c r="C7" i="8"/>
  <c r="C8" i="8"/>
  <c r="W31" i="4" l="1"/>
  <c r="F9" i="8"/>
  <c r="G9" i="8"/>
  <c r="H9" i="8"/>
  <c r="J17" i="8"/>
  <c r="E9" i="8"/>
  <c r="M9" i="8" s="1"/>
  <c r="I9" i="8"/>
  <c r="J9" i="8"/>
  <c r="R24" i="8"/>
  <c r="E17" i="8"/>
  <c r="F17" i="8"/>
  <c r="S39" i="4"/>
  <c r="R39" i="4"/>
  <c r="S37" i="4"/>
  <c r="R37" i="4"/>
  <c r="R40" i="4"/>
  <c r="U39" i="4" s="1"/>
  <c r="R38" i="4"/>
  <c r="U37" i="4" s="1"/>
  <c r="V37" i="4" s="1"/>
  <c r="H14" i="3"/>
  <c r="D14" i="3"/>
  <c r="E14" i="3"/>
  <c r="F14" i="3"/>
  <c r="G14" i="3"/>
  <c r="C14" i="3"/>
  <c r="D13" i="3"/>
  <c r="E13" i="3"/>
  <c r="F13" i="3"/>
  <c r="G13" i="3"/>
  <c r="C13" i="3"/>
  <c r="D11" i="3"/>
  <c r="E11" i="3"/>
  <c r="F11" i="3"/>
  <c r="G11" i="3"/>
  <c r="D8" i="3"/>
  <c r="E8" i="3"/>
  <c r="F8" i="3"/>
  <c r="G8" i="3"/>
  <c r="C8" i="3"/>
  <c r="C11" i="3"/>
  <c r="D10" i="3"/>
  <c r="E10" i="3"/>
  <c r="F10" i="3"/>
  <c r="G10" i="3"/>
  <c r="C10" i="3"/>
  <c r="G7" i="3"/>
  <c r="F7" i="3"/>
  <c r="E7" i="3"/>
  <c r="D7" i="3"/>
  <c r="C7" i="3"/>
  <c r="L9" i="8" l="1"/>
  <c r="S6" i="8" s="1"/>
  <c r="O9" i="8"/>
  <c r="M17" i="8"/>
  <c r="L17" i="8"/>
  <c r="N9" i="8"/>
  <c r="U38" i="4"/>
  <c r="V38" i="4" s="1"/>
  <c r="U36" i="4"/>
  <c r="V36" i="4" s="1"/>
  <c r="V39" i="4"/>
  <c r="P153" i="4"/>
  <c r="O153" i="4"/>
  <c r="P152" i="4"/>
  <c r="O152" i="4"/>
  <c r="P150" i="4"/>
  <c r="O150" i="4"/>
  <c r="P149" i="4"/>
  <c r="O149" i="4"/>
  <c r="P148" i="4"/>
  <c r="O148" i="4"/>
  <c r="P163" i="4"/>
  <c r="O163" i="4"/>
  <c r="P162" i="4"/>
  <c r="O162" i="4"/>
  <c r="P161" i="4"/>
  <c r="O161" i="4"/>
  <c r="P160" i="4"/>
  <c r="O160" i="4"/>
  <c r="D166" i="4"/>
  <c r="D163" i="4"/>
  <c r="D154" i="4"/>
  <c r="Q4" i="4"/>
  <c r="S4" i="4" s="1"/>
  <c r="Q5" i="4"/>
  <c r="S5" i="4" s="1"/>
  <c r="Q3" i="4"/>
  <c r="S3" i="4" s="1"/>
  <c r="P75" i="4"/>
  <c r="O75" i="4"/>
  <c r="O70" i="4"/>
  <c r="P70" i="4"/>
  <c r="O71" i="4"/>
  <c r="P71" i="4"/>
  <c r="O72" i="4"/>
  <c r="P72" i="4"/>
  <c r="P69" i="4"/>
  <c r="O69" i="4"/>
  <c r="D72" i="4"/>
  <c r="D75" i="4"/>
  <c r="O4" i="4"/>
  <c r="P4" i="4" s="1"/>
  <c r="D21" i="4"/>
  <c r="O20" i="4"/>
  <c r="P20" i="4" s="1"/>
  <c r="O19" i="4"/>
  <c r="P19" i="4" s="1"/>
  <c r="Q17" i="4"/>
  <c r="R17" i="4" s="1"/>
  <c r="O17" i="4"/>
  <c r="P17" i="4" s="1"/>
  <c r="Q16" i="4"/>
  <c r="S16" i="4" s="1"/>
  <c r="O16" i="4"/>
  <c r="P16" i="4" s="1"/>
  <c r="Q15" i="4"/>
  <c r="R15" i="4" s="1"/>
  <c r="O15" i="4"/>
  <c r="P15" i="4" s="1"/>
  <c r="O7" i="4"/>
  <c r="P7" i="4" s="1"/>
  <c r="O6" i="4"/>
  <c r="P6" i="4" s="1"/>
  <c r="D8" i="4"/>
  <c r="O5" i="4"/>
  <c r="P5" i="4" s="1"/>
  <c r="O3" i="4"/>
  <c r="P3" i="4" s="1"/>
  <c r="R12" i="8" l="1"/>
  <c r="S15" i="8"/>
  <c r="R10" i="8"/>
  <c r="S10" i="8"/>
  <c r="S12" i="8"/>
  <c r="R19" i="8"/>
  <c r="R21" i="8" s="1"/>
  <c r="S19" i="8"/>
  <c r="S21" i="8" s="1"/>
  <c r="S17" i="4"/>
  <c r="U17" i="4" s="1"/>
  <c r="V17" i="4" s="1"/>
  <c r="R16" i="4"/>
  <c r="U16" i="4" s="1"/>
  <c r="V16" i="4" s="1"/>
  <c r="S15" i="4"/>
  <c r="U15" i="4" s="1"/>
  <c r="V15" i="4" s="1"/>
  <c r="R3" i="4"/>
  <c r="U3" i="4" s="1"/>
  <c r="V3" i="4" s="1"/>
  <c r="R4" i="4"/>
  <c r="R5" i="4"/>
  <c r="U5" i="4" s="1"/>
  <c r="G30" i="6"/>
  <c r="K28" i="6"/>
  <c r="J28" i="6"/>
  <c r="I28" i="6"/>
  <c r="H28" i="6"/>
  <c r="G28" i="6"/>
  <c r="F28" i="6"/>
  <c r="K11" i="6"/>
  <c r="J11" i="6"/>
  <c r="I11" i="6"/>
  <c r="H11" i="6"/>
  <c r="G11" i="6"/>
  <c r="F11" i="6"/>
  <c r="K27" i="6"/>
  <c r="J27" i="6"/>
  <c r="I27" i="6"/>
  <c r="H27" i="6"/>
  <c r="G27" i="6"/>
  <c r="F27" i="6"/>
  <c r="K25" i="6"/>
  <c r="J25" i="6"/>
  <c r="I25" i="6"/>
  <c r="H25" i="6"/>
  <c r="G25" i="6"/>
  <c r="F25" i="6"/>
  <c r="K24" i="6"/>
  <c r="J24" i="6"/>
  <c r="I24" i="6"/>
  <c r="H24" i="6"/>
  <c r="G24" i="6"/>
  <c r="F24" i="6"/>
  <c r="G21" i="6"/>
  <c r="H21" i="6"/>
  <c r="I21" i="6"/>
  <c r="J21" i="6"/>
  <c r="K21" i="6"/>
  <c r="G22" i="6"/>
  <c r="H22" i="6"/>
  <c r="I22" i="6"/>
  <c r="J22" i="6"/>
  <c r="K22" i="6"/>
  <c r="F22" i="6"/>
  <c r="F21" i="6"/>
  <c r="H10" i="6"/>
  <c r="I10" i="6"/>
  <c r="J10" i="6"/>
  <c r="K10" i="6"/>
  <c r="G10" i="6"/>
  <c r="S24" i="8" l="1"/>
  <c r="U4" i="4"/>
  <c r="V4" i="4" s="1"/>
  <c r="V5" i="4"/>
  <c r="S51" i="4"/>
  <c r="S49" i="4"/>
  <c r="M50" i="4"/>
  <c r="D54" i="4"/>
  <c r="O51" i="4"/>
  <c r="P51" i="4" s="1"/>
  <c r="D51" i="4"/>
  <c r="O50" i="4"/>
  <c r="P50" i="4" s="1"/>
  <c r="O49" i="4"/>
  <c r="P49" i="4" s="1"/>
  <c r="O48" i="4"/>
  <c r="P48" i="4" s="1"/>
  <c r="N7" i="5" s="1"/>
  <c r="M48" i="4"/>
  <c r="M7" i="5" l="1"/>
  <c r="S50" i="4"/>
  <c r="S48" i="4"/>
  <c r="R48" i="4"/>
  <c r="R49" i="4"/>
  <c r="U48" i="4" s="1"/>
  <c r="V48" i="4" s="1"/>
  <c r="R50" i="4"/>
  <c r="R51" i="4"/>
  <c r="U50" i="4" s="1"/>
  <c r="H21" i="5"/>
  <c r="I21" i="5" s="1"/>
  <c r="H22" i="5"/>
  <c r="I22" i="5" s="1"/>
  <c r="H23" i="5"/>
  <c r="I23" i="5" s="1"/>
  <c r="H20" i="5"/>
  <c r="I20" i="5" s="1"/>
  <c r="G23" i="5"/>
  <c r="G22" i="5"/>
  <c r="G21" i="5"/>
  <c r="G20" i="5"/>
  <c r="G13" i="5"/>
  <c r="G14" i="5"/>
  <c r="G15" i="5"/>
  <c r="G12" i="5"/>
  <c r="K7" i="5"/>
  <c r="O7" i="5" s="1"/>
  <c r="U49" i="4" l="1"/>
  <c r="V49" i="4" s="1"/>
  <c r="L12" i="5"/>
  <c r="U47" i="4"/>
  <c r="V50" i="4"/>
  <c r="Q7" i="5"/>
  <c r="P7" i="5"/>
  <c r="K12" i="5"/>
  <c r="L23" i="5"/>
  <c r="M23" i="5"/>
  <c r="M59" i="4"/>
  <c r="Q59" i="4" s="1"/>
  <c r="Q60" i="4"/>
  <c r="Q61" i="4"/>
  <c r="Q62" i="4"/>
  <c r="O59" i="4"/>
  <c r="V47" i="4" l="1"/>
  <c r="M20" i="5" s="1"/>
  <c r="L20" i="5"/>
  <c r="S7" i="5"/>
  <c r="T7" i="5" s="1"/>
  <c r="P23" i="5"/>
  <c r="O23" i="5"/>
  <c r="S62" i="4"/>
  <c r="S61" i="4"/>
  <c r="S60" i="4"/>
  <c r="S59" i="4"/>
  <c r="R62" i="4"/>
  <c r="R61" i="4"/>
  <c r="R60" i="4"/>
  <c r="R59" i="4"/>
  <c r="O62" i="4"/>
  <c r="P62" i="4" s="1"/>
  <c r="O61" i="4"/>
  <c r="P61" i="4" s="1"/>
  <c r="O60" i="4"/>
  <c r="P60" i="4" s="1"/>
  <c r="P59" i="4"/>
  <c r="U58" i="4" l="1"/>
  <c r="V58" i="4" s="1"/>
  <c r="U59" i="4"/>
  <c r="V59" i="4" s="1"/>
  <c r="U60" i="4"/>
  <c r="V60" i="4" s="1"/>
  <c r="U61" i="4"/>
  <c r="V61" i="4" s="1"/>
  <c r="D65" i="4"/>
  <c r="D62" i="4"/>
  <c r="C98" i="4"/>
  <c r="D98" i="4"/>
  <c r="D95" i="4"/>
  <c r="O93" i="4"/>
  <c r="P93" i="4"/>
  <c r="O94" i="4"/>
  <c r="P94" i="4"/>
  <c r="O95" i="4"/>
  <c r="P95" i="4"/>
  <c r="P92" i="4"/>
  <c r="O92" i="4"/>
  <c r="D83" i="4"/>
  <c r="D86" i="4"/>
  <c r="E38" i="4" l="1"/>
  <c r="E37" i="4"/>
  <c r="E42" i="4"/>
  <c r="E41" i="4"/>
  <c r="E39" i="4"/>
  <c r="E43" i="4"/>
  <c r="E162" i="4"/>
  <c r="E161" i="4"/>
  <c r="E160" i="4"/>
  <c r="E150" i="4"/>
  <c r="E149" i="4"/>
  <c r="E165" i="4"/>
  <c r="E153" i="4"/>
  <c r="E148" i="4"/>
  <c r="E164" i="4"/>
  <c r="E152" i="4"/>
  <c r="E166" i="4"/>
  <c r="E154" i="4"/>
  <c r="E74" i="4"/>
  <c r="E73" i="4"/>
  <c r="E70" i="4"/>
  <c r="E69" i="4"/>
  <c r="E71" i="4"/>
  <c r="E75" i="4"/>
  <c r="E20" i="4"/>
  <c r="E19" i="4"/>
  <c r="E17" i="4"/>
  <c r="E16" i="4"/>
  <c r="E15" i="4"/>
  <c r="E21" i="4"/>
  <c r="E61" i="4"/>
  <c r="E5" i="4"/>
  <c r="E4" i="4"/>
  <c r="E3" i="4"/>
  <c r="E7" i="4"/>
  <c r="E6" i="4"/>
  <c r="E8" i="4"/>
  <c r="E64" i="4"/>
  <c r="E59" i="4"/>
  <c r="E60" i="4"/>
  <c r="E82" i="4"/>
  <c r="E65" i="4"/>
  <c r="E86" i="4"/>
  <c r="E50" i="4"/>
  <c r="E49" i="4"/>
  <c r="E52" i="4"/>
  <c r="E48" i="4"/>
  <c r="E53" i="4"/>
  <c r="E54" i="4"/>
  <c r="E63" i="4"/>
  <c r="E98" i="4"/>
  <c r="E92" i="4"/>
  <c r="E94" i="4"/>
  <c r="E96" i="4"/>
  <c r="E97" i="4"/>
  <c r="E81" i="4"/>
  <c r="E85" i="4"/>
  <c r="E84" i="4"/>
  <c r="E93" i="4"/>
  <c r="E80" i="4"/>
  <c r="N21" i="1"/>
  <c r="N20" i="1"/>
  <c r="N19" i="1"/>
  <c r="N18" i="1"/>
  <c r="N17" i="1"/>
  <c r="M21" i="1"/>
  <c r="L21" i="1"/>
  <c r="M20" i="1"/>
  <c r="L20" i="1"/>
  <c r="M19" i="1"/>
  <c r="L19" i="1"/>
  <c r="M18" i="1"/>
  <c r="L18" i="1"/>
  <c r="M17" i="1"/>
  <c r="L17" i="1"/>
  <c r="M29" i="1"/>
  <c r="M26" i="1"/>
  <c r="M27" i="1"/>
  <c r="M28" i="1"/>
  <c r="L29" i="1"/>
  <c r="N29" i="1" s="1"/>
  <c r="L28" i="1"/>
  <c r="N28" i="1" s="1"/>
  <c r="L27" i="1"/>
  <c r="N27" i="1" s="1"/>
  <c r="L26" i="1"/>
  <c r="M25" i="1"/>
  <c r="N25" i="1" s="1"/>
  <c r="L25" i="1"/>
  <c r="J25" i="1"/>
  <c r="I29" i="1"/>
  <c r="I28" i="1"/>
  <c r="I27" i="1"/>
  <c r="I26" i="1"/>
  <c r="I25" i="1"/>
  <c r="E163" i="4" l="1"/>
  <c r="P166" i="4" s="1"/>
  <c r="E40" i="4"/>
  <c r="O43" i="4" s="1"/>
  <c r="P43" i="4" s="1"/>
  <c r="M151" i="4"/>
  <c r="L151" i="4"/>
  <c r="J18" i="4"/>
  <c r="L18" i="4"/>
  <c r="K151" i="4"/>
  <c r="K18" i="4"/>
  <c r="J151" i="4"/>
  <c r="M18" i="4"/>
  <c r="Q18" i="4" s="1"/>
  <c r="G163" i="4"/>
  <c r="H163" i="4"/>
  <c r="O166" i="4"/>
  <c r="H40" i="4"/>
  <c r="G40" i="4"/>
  <c r="M9" i="4"/>
  <c r="L9" i="4"/>
  <c r="K9" i="4"/>
  <c r="J9" i="4"/>
  <c r="H72" i="4"/>
  <c r="G72" i="4"/>
  <c r="E72" i="4"/>
  <c r="U20" i="4"/>
  <c r="V20" i="4" s="1"/>
  <c r="W20" i="4" s="1"/>
  <c r="P21" i="4"/>
  <c r="O21" i="4"/>
  <c r="H62" i="4"/>
  <c r="G51" i="4"/>
  <c r="G62" i="4"/>
  <c r="O8" i="4"/>
  <c r="P8" i="4"/>
  <c r="E62" i="4"/>
  <c r="O65" i="4" s="1"/>
  <c r="P65" i="4" s="1"/>
  <c r="H51" i="4"/>
  <c r="E51" i="4"/>
  <c r="C95" i="4"/>
  <c r="B95" i="4"/>
  <c r="H83" i="4"/>
  <c r="G83" i="4"/>
  <c r="E83" i="4"/>
  <c r="E95" i="4"/>
  <c r="N26" i="1"/>
  <c r="F12" i="2"/>
  <c r="G12" i="2"/>
  <c r="H12" i="2"/>
  <c r="I12" i="2"/>
  <c r="J12" i="2"/>
  <c r="F13" i="2"/>
  <c r="G13" i="2"/>
  <c r="H13" i="2"/>
  <c r="I13" i="2"/>
  <c r="J13" i="2"/>
  <c r="F14" i="2"/>
  <c r="G14" i="2"/>
  <c r="H14" i="2"/>
  <c r="I14" i="2"/>
  <c r="J14" i="2"/>
  <c r="F15" i="2"/>
  <c r="G15" i="2"/>
  <c r="H15" i="2"/>
  <c r="I15" i="2"/>
  <c r="J15" i="2"/>
  <c r="E13" i="2"/>
  <c r="E14" i="2"/>
  <c r="E15" i="2"/>
  <c r="E12" i="2"/>
  <c r="AC9" i="1"/>
  <c r="AB9" i="1"/>
  <c r="AA9" i="1"/>
  <c r="Z9" i="1"/>
  <c r="AD7" i="1"/>
  <c r="AE7" i="1"/>
  <c r="Q9" i="4" l="1"/>
  <c r="R9" i="4" s="1"/>
  <c r="O151" i="4"/>
  <c r="O154" i="4" s="1"/>
  <c r="W42" i="4"/>
  <c r="O18" i="4"/>
  <c r="P18" i="4" s="1"/>
  <c r="P151" i="4"/>
  <c r="P154" i="4" s="1"/>
  <c r="S18" i="4"/>
  <c r="R18" i="4"/>
  <c r="S9" i="4"/>
  <c r="U64" i="4"/>
  <c r="V64" i="4" s="1"/>
  <c r="W64" i="4" s="1"/>
  <c r="O54" i="4"/>
  <c r="U53" i="4"/>
  <c r="V53" i="4" s="1"/>
  <c r="W53" i="4" s="1"/>
  <c r="V9" i="1"/>
  <c r="U9" i="1"/>
  <c r="T9" i="1"/>
  <c r="S9" i="1"/>
  <c r="R9" i="1"/>
  <c r="Q9" i="1"/>
  <c r="V7" i="1"/>
  <c r="U7" i="1"/>
  <c r="T7" i="1"/>
  <c r="S7" i="1"/>
  <c r="R7" i="1"/>
  <c r="Q7" i="1"/>
  <c r="U9" i="4" l="1"/>
  <c r="P54" i="4"/>
  <c r="P18" i="5" s="1"/>
  <c r="P21" i="5" s="1"/>
  <c r="O18" i="5"/>
  <c r="O21" i="5" s="1"/>
  <c r="G95" i="4"/>
  <c r="H95" i="4"/>
  <c r="V9" i="4" l="1"/>
  <c r="U8" i="4"/>
  <c r="V8" i="4" s="1"/>
  <c r="W8" i="4" s="1"/>
  <c r="N25" i="17" l="1"/>
  <c r="N27" i="17" s="1"/>
</calcChain>
</file>

<file path=xl/sharedStrings.xml><?xml version="1.0" encoding="utf-8"?>
<sst xmlns="http://schemas.openxmlformats.org/spreadsheetml/2006/main" count="1645" uniqueCount="286">
  <si>
    <t>SE</t>
  </si>
  <si>
    <t>S</t>
  </si>
  <si>
    <t>NE</t>
  </si>
  <si>
    <t>CO</t>
  </si>
  <si>
    <t>Dilma</t>
  </si>
  <si>
    <t>Aécio</t>
  </si>
  <si>
    <t>N</t>
  </si>
  <si>
    <t>Campos</t>
  </si>
  <si>
    <t>Peso</t>
  </si>
  <si>
    <t>Total</t>
  </si>
  <si>
    <t>Ex-SE</t>
  </si>
  <si>
    <t>08/05/2014</t>
  </si>
  <si>
    <t>06/06/2014</t>
  </si>
  <si>
    <t>Original</t>
  </si>
  <si>
    <t>Brancos e Nulos</t>
  </si>
  <si>
    <t>Não Sabe</t>
  </si>
  <si>
    <t>Válidos s/ Não sabe</t>
  </si>
  <si>
    <t>Branco/Nulo/Nenhum</t>
  </si>
  <si>
    <t>Não sabe</t>
  </si>
  <si>
    <t>Intenção</t>
  </si>
  <si>
    <t>Change</t>
  </si>
  <si>
    <t>Sairam</t>
  </si>
  <si>
    <t>Entraram</t>
  </si>
  <si>
    <t>horario de propaganda e ver pesquisas após pra saber o impacto</t>
  </si>
  <si>
    <t>Serra</t>
  </si>
  <si>
    <t>Brancos/Nulos</t>
  </si>
  <si>
    <t>Intenção segundo turno 2014</t>
  </si>
  <si>
    <t>Segundo turno 2010</t>
  </si>
  <si>
    <t>Quantidade voto</t>
  </si>
  <si>
    <t>Brancos</t>
  </si>
  <si>
    <t>Nulos</t>
  </si>
  <si>
    <t>Pesquisa</t>
  </si>
  <si>
    <t>Branco/Nulo</t>
  </si>
  <si>
    <t>Indeciso</t>
  </si>
  <si>
    <t>BR</t>
  </si>
  <si>
    <t>CO/N</t>
  </si>
  <si>
    <t>Votos Válidos</t>
  </si>
  <si>
    <t>Lula</t>
  </si>
  <si>
    <t>Alckmin</t>
  </si>
  <si>
    <t>Segundo turno 2006</t>
  </si>
  <si>
    <t>Segundo turno 2002</t>
  </si>
  <si>
    <t>Votos Validos</t>
  </si>
  <si>
    <t>%Votos Validos</t>
  </si>
  <si>
    <t>%Abstenções</t>
  </si>
  <si>
    <t>Pesquisa 2014</t>
  </si>
  <si>
    <t>Iguais a 2010</t>
  </si>
  <si>
    <t>Pesquisa 2010</t>
  </si>
  <si>
    <t>SP</t>
  </si>
  <si>
    <t>MG</t>
  </si>
  <si>
    <t>RJ</t>
  </si>
  <si>
    <t>ES</t>
  </si>
  <si>
    <t>Peso no SE</t>
  </si>
  <si>
    <t>Conversão</t>
  </si>
  <si>
    <t>Eleições hoje</t>
  </si>
  <si>
    <t>Efeito conversão</t>
  </si>
  <si>
    <t>Estimativa SE</t>
  </si>
  <si>
    <t>Contribuição</t>
  </si>
  <si>
    <t>Ex 1</t>
  </si>
  <si>
    <t>Pesquisa 2014 - 2</t>
  </si>
  <si>
    <t>Efeito conversão SE</t>
  </si>
  <si>
    <t>Ex 2</t>
  </si>
  <si>
    <t>Não conhece o suficiente para opinar</t>
  </si>
  <si>
    <t>10 -- 5</t>
  </si>
  <si>
    <t>5 -- 2</t>
  </si>
  <si>
    <t>&lt; 1</t>
  </si>
  <si>
    <t>&gt; 10</t>
  </si>
  <si>
    <t>Amostra</t>
  </si>
  <si>
    <t>2 -- 1</t>
  </si>
  <si>
    <t>Amostra %</t>
  </si>
  <si>
    <t>Intenção de voto</t>
  </si>
  <si>
    <t>Brancos + Nulos + Não sabe</t>
  </si>
  <si>
    <t>Não conhece o Aécio o suficiente para opinar</t>
  </si>
  <si>
    <t>Dif.</t>
  </si>
  <si>
    <t>Amostra relativa %</t>
  </si>
  <si>
    <t>%</t>
  </si>
  <si>
    <t>Datafolha 15/07/2014</t>
  </si>
  <si>
    <t>Datafolha 01/07/2014</t>
  </si>
  <si>
    <t>Pesquisa IBOPE</t>
  </si>
  <si>
    <t>Pesquisa Datafolha</t>
  </si>
  <si>
    <t>IBOPE - 15/06/2014</t>
  </si>
  <si>
    <t>&gt; 5</t>
  </si>
  <si>
    <t>2 -- 5</t>
  </si>
  <si>
    <t>1 -- 2</t>
  </si>
  <si>
    <t>Absoluto</t>
  </si>
  <si>
    <t>Relativo</t>
  </si>
  <si>
    <t>Alguém de casa recebe (excluíndo quem respondeu a pergunta)</t>
  </si>
  <si>
    <t>Recebe (quem respondeu a pesquisa)</t>
  </si>
  <si>
    <t>Total da amostra</t>
  </si>
  <si>
    <t>2o Turno</t>
  </si>
  <si>
    <t>Outros</t>
  </si>
  <si>
    <t>IBOPE - 21/07/2014</t>
  </si>
  <si>
    <t>Ganho Nacional</t>
  </si>
  <si>
    <t>Novo Resultado</t>
  </si>
  <si>
    <t>Antes</t>
  </si>
  <si>
    <t>Depois</t>
  </si>
  <si>
    <t>Ganho SE</t>
  </si>
  <si>
    <t>1o Turno Dilma</t>
  </si>
  <si>
    <t>Pesquisa 1o Turno</t>
  </si>
  <si>
    <t>IBOPE - 07/08/2014</t>
  </si>
  <si>
    <t>&lt; 2</t>
  </si>
  <si>
    <t>Até 50 mil</t>
  </si>
  <si>
    <t>50 a 500 mil</t>
  </si>
  <si>
    <t>Mais de 500 mil</t>
  </si>
  <si>
    <t>Anterior</t>
  </si>
  <si>
    <t>Nova</t>
  </si>
  <si>
    <t>Antigo</t>
  </si>
  <si>
    <t>Novo</t>
  </si>
  <si>
    <t>Datafolha</t>
  </si>
  <si>
    <t>Até 50</t>
  </si>
  <si>
    <t>50 a 200</t>
  </si>
  <si>
    <t>200 a 500</t>
  </si>
  <si>
    <t>Mais de 500</t>
  </si>
  <si>
    <t>Branco/Nulo/Indeciso</t>
  </si>
  <si>
    <t>Aecio</t>
  </si>
  <si>
    <t>Indec</t>
  </si>
  <si>
    <t>branco + nulo + indec</t>
  </si>
  <si>
    <t>D</t>
  </si>
  <si>
    <t>A</t>
  </si>
  <si>
    <t>M</t>
  </si>
  <si>
    <t>I</t>
  </si>
  <si>
    <t>C =&gt; M</t>
  </si>
  <si>
    <t>Indec.</t>
  </si>
  <si>
    <t>ago</t>
  </si>
  <si>
    <t>set</t>
  </si>
  <si>
    <t>out</t>
  </si>
  <si>
    <t>nov</t>
  </si>
  <si>
    <t>dez</t>
  </si>
  <si>
    <t>Marina</t>
  </si>
  <si>
    <t>Conhecimento</t>
  </si>
  <si>
    <t>Brasil</t>
  </si>
  <si>
    <t>Muito bem</t>
  </si>
  <si>
    <t>Um pouco</t>
  </si>
  <si>
    <t>Soma</t>
  </si>
  <si>
    <t>fev</t>
  </si>
  <si>
    <t>abr</t>
  </si>
  <si>
    <t>mai</t>
  </si>
  <si>
    <t>jul 1</t>
  </si>
  <si>
    <t>jul 2</t>
  </si>
  <si>
    <t>Ouviu falar</t>
  </si>
  <si>
    <t>Serra 2010</t>
  </si>
  <si>
    <t>Serra 2010 Total</t>
  </si>
  <si>
    <t>Aécio 2014</t>
  </si>
  <si>
    <t>Aécio 2014 Total</t>
  </si>
  <si>
    <t>Dilma 2010</t>
  </si>
  <si>
    <t>Dilma 2010 Total</t>
  </si>
  <si>
    <t>Dilma 2014</t>
  </si>
  <si>
    <t>Dilma 2014 Total</t>
  </si>
  <si>
    <t>Marina 2010</t>
  </si>
  <si>
    <t>Marina 2010 Total</t>
  </si>
  <si>
    <t>Marina 2014</t>
  </si>
  <si>
    <t>Marina 2014 Total</t>
  </si>
  <si>
    <t>Notícias na TV</t>
  </si>
  <si>
    <t>Conversa com amigos</t>
  </si>
  <si>
    <t>Debate entre candidatos</t>
  </si>
  <si>
    <t>Propaganda</t>
  </si>
  <si>
    <t>Notícias nos jornais</t>
  </si>
  <si>
    <t>Notícias no rádio</t>
  </si>
  <si>
    <t>Notícias na internet</t>
  </si>
  <si>
    <t>Notícias nas redes sociais</t>
  </si>
  <si>
    <t>Resultado de pesquisas</t>
  </si>
  <si>
    <t>Líderes religiosos</t>
  </si>
  <si>
    <t>Associações de moradores</t>
  </si>
  <si>
    <t>Notícias de revistas</t>
  </si>
  <si>
    <t>Líderes sindicalistas</t>
  </si>
  <si>
    <t>IBOPE 25/08/2014</t>
  </si>
  <si>
    <t>Campos/Marina</t>
  </si>
  <si>
    <t>Indecisos</t>
  </si>
  <si>
    <t>IBOPE 07/08/2014</t>
  </si>
  <si>
    <t>IBOPE 2010</t>
  </si>
  <si>
    <t>Peso no BR</t>
  </si>
  <si>
    <t>Var. Marina</t>
  </si>
  <si>
    <t>Var. Dilma</t>
  </si>
  <si>
    <t>Ganho na pesquisa BR</t>
  </si>
  <si>
    <t>Variação além de SP e RJ</t>
  </si>
  <si>
    <t>Sudeste</t>
  </si>
  <si>
    <t>Sul</t>
  </si>
  <si>
    <t>SC</t>
  </si>
  <si>
    <t>RS</t>
  </si>
  <si>
    <t>PR</t>
  </si>
  <si>
    <t>Datafolha SE</t>
  </si>
  <si>
    <t>Datafolha Sul</t>
  </si>
  <si>
    <t>Nordeste</t>
  </si>
  <si>
    <t>Pernambuco</t>
  </si>
  <si>
    <t>Ceará</t>
  </si>
  <si>
    <t>Bahia</t>
  </si>
  <si>
    <t>Rio Grande do Norte</t>
  </si>
  <si>
    <t>Maranhão</t>
  </si>
  <si>
    <t>Paraíba</t>
  </si>
  <si>
    <t>Alagoas</t>
  </si>
  <si>
    <t>Piauí</t>
  </si>
  <si>
    <t>Sergipe</t>
  </si>
  <si>
    <t>Dlma</t>
  </si>
  <si>
    <t>Brancos, nulos e indec.</t>
  </si>
  <si>
    <t>Dia 04</t>
  </si>
  <si>
    <t>Dia 05</t>
  </si>
  <si>
    <t>Datafolha Nordeste</t>
  </si>
  <si>
    <t>Centro-Oeste</t>
  </si>
  <si>
    <t>Datafolha CO</t>
  </si>
  <si>
    <t>Mato Grosso</t>
  </si>
  <si>
    <t>Mato Grosso do Sul</t>
  </si>
  <si>
    <t>Goiás</t>
  </si>
  <si>
    <t>Distrito Federal</t>
  </si>
  <si>
    <t>Datafolha N</t>
  </si>
  <si>
    <t>Norte</t>
  </si>
  <si>
    <t>Amazonas</t>
  </si>
  <si>
    <t>Acre</t>
  </si>
  <si>
    <t>Rondonia</t>
  </si>
  <si>
    <t>Roraima</t>
  </si>
  <si>
    <t>Amapá</t>
  </si>
  <si>
    <t>Pará</t>
  </si>
  <si>
    <t>Tocantins</t>
  </si>
  <si>
    <t>Datafola Reponderado</t>
  </si>
  <si>
    <t>Datafolha Ajustado</t>
  </si>
  <si>
    <t>Datafolha sábado</t>
  </si>
  <si>
    <t>Efetivo</t>
  </si>
  <si>
    <t>Transferencia</t>
  </si>
  <si>
    <t>Nominal</t>
  </si>
  <si>
    <t>Ajustado</t>
  </si>
  <si>
    <t>Dif</t>
  </si>
  <si>
    <t>Transferencia mínima</t>
  </si>
  <si>
    <t>Resultado com transferencia mínima</t>
  </si>
  <si>
    <t>Brancos, Nulos</t>
  </si>
  <si>
    <t>Luciana Genro</t>
  </si>
  <si>
    <t>Pastor</t>
  </si>
  <si>
    <t>Levy</t>
  </si>
  <si>
    <t>Eduardo Jorge</t>
  </si>
  <si>
    <t>Votos</t>
  </si>
  <si>
    <t>Validos</t>
  </si>
  <si>
    <t>Branco, Nulo, Indeciso</t>
  </si>
  <si>
    <t>Transferencia brancos e nulos</t>
  </si>
  <si>
    <t>Válidos</t>
  </si>
  <si>
    <t>Totais</t>
  </si>
  <si>
    <t>Não Votou</t>
  </si>
  <si>
    <t>IBOPE 08/10/2014</t>
  </si>
  <si>
    <t>Diferença</t>
  </si>
  <si>
    <t>Brancos e nulos</t>
  </si>
  <si>
    <t>Ajuste</t>
  </si>
  <si>
    <t>Votos Ajustados</t>
  </si>
  <si>
    <t>Quem votou</t>
  </si>
  <si>
    <t>Válidos Ajustados</t>
  </si>
  <si>
    <t>Datafolha 08/10/2014</t>
  </si>
  <si>
    <t>Branco</t>
  </si>
  <si>
    <t>IBOPE</t>
  </si>
  <si>
    <t>ibope</t>
  </si>
  <si>
    <t>Centro-Oeste + Norte</t>
  </si>
  <si>
    <t>Dif IBOPE</t>
  </si>
  <si>
    <t>Dif Datafolha</t>
  </si>
  <si>
    <t>NO</t>
  </si>
  <si>
    <t>SU</t>
  </si>
  <si>
    <t>IBOPE SE</t>
  </si>
  <si>
    <t>IBOPE Sul</t>
  </si>
  <si>
    <t>IBOPE Nordeste</t>
  </si>
  <si>
    <t>IBOPE CO</t>
  </si>
  <si>
    <t>IBOPE N</t>
  </si>
  <si>
    <t>IBOPE Reponderado</t>
  </si>
  <si>
    <t>IBOPE CO + N</t>
  </si>
  <si>
    <t>Abstenção</t>
  </si>
  <si>
    <t>CO + NO</t>
  </si>
  <si>
    <t>Novo Peso</t>
  </si>
  <si>
    <t>Novo Peso Reponderado</t>
  </si>
  <si>
    <t>Repon.</t>
  </si>
  <si>
    <t>Pesq.</t>
  </si>
  <si>
    <t>Efe</t>
  </si>
  <si>
    <t>NO + CO</t>
  </si>
  <si>
    <t>Voto Declarado IBOPE</t>
  </si>
  <si>
    <t>Dif. E - P</t>
  </si>
  <si>
    <t>Dif Ponderada</t>
  </si>
  <si>
    <t>ABSTENCOES</t>
  </si>
  <si>
    <t>Abstencoes</t>
  </si>
  <si>
    <t>Abstenções</t>
  </si>
  <si>
    <t>Não voto</t>
  </si>
  <si>
    <t>Br/Nulos (%)</t>
  </si>
  <si>
    <t>Abst (%)</t>
  </si>
  <si>
    <t>Não voto (%)</t>
  </si>
  <si>
    <t>Totais - Abstencoes</t>
  </si>
  <si>
    <t>Votos nominais</t>
  </si>
  <si>
    <t>Nominais</t>
  </si>
  <si>
    <t>1o turno</t>
  </si>
  <si>
    <t>2o turno</t>
  </si>
  <si>
    <t>Nominais*</t>
  </si>
  <si>
    <t>Datafolha Reponderado</t>
  </si>
  <si>
    <t>BRASIL</t>
  </si>
  <si>
    <t>SUDESTE</t>
  </si>
  <si>
    <t>NORDESTE</t>
  </si>
  <si>
    <t>SUL</t>
  </si>
  <si>
    <t>Norte/centrooeste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</si>
</sst>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0.0%"/>
    <numFmt numFmtId="165" formatCode="#,##0.0"/>
    <numFmt numFmtId="166" formatCode="0.0"/>
    <numFmt numFmtId="167" formatCode="[$-416]mmm\-yy;@"/>
    <numFmt numFmtId="173" formatCode="_-* #,##0.0_-;\-* #,##0.0_-;_-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6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  <xf numFmtId="2" fontId="0" fillId="0" borderId="0" xfId="0" applyNumberFormat="1"/>
    <xf numFmtId="14" fontId="0" fillId="0" borderId="0" xfId="0" quotePrefix="1" applyNumberFormat="1"/>
    <xf numFmtId="0" fontId="0" fillId="0" borderId="0" xfId="0" applyAlignment="1">
      <alignment horizontal="center"/>
    </xf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2" xfId="0" applyNumberFormat="1" applyBorder="1"/>
    <xf numFmtId="10" fontId="0" fillId="0" borderId="2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0" xfId="1" applyFont="1" applyAlignment="1">
      <alignment horizontal="center"/>
    </xf>
    <xf numFmtId="0" fontId="4" fillId="0" borderId="2" xfId="0" applyFont="1" applyBorder="1" applyAlignment="1">
      <alignment horizontal="center"/>
    </xf>
    <xf numFmtId="43" fontId="0" fillId="0" borderId="0" xfId="2" applyFont="1" applyAlignment="1">
      <alignment horizontal="center"/>
    </xf>
    <xf numFmtId="4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1" applyNumberFormat="1" applyFont="1" applyAlignment="1">
      <alignment horizontal="center"/>
    </xf>
    <xf numFmtId="10" fontId="0" fillId="0" borderId="0" xfId="1" applyNumberFormat="1" applyFont="1"/>
    <xf numFmtId="9" fontId="0" fillId="0" borderId="0" xfId="0" applyNumberFormat="1"/>
    <xf numFmtId="0" fontId="0" fillId="0" borderId="10" xfId="0" applyBorder="1"/>
    <xf numFmtId="0" fontId="0" fillId="0" borderId="6" xfId="0" applyBorder="1"/>
    <xf numFmtId="0" fontId="0" fillId="0" borderId="0" xfId="0" applyBorder="1"/>
    <xf numFmtId="0" fontId="1" fillId="0" borderId="0" xfId="0" applyFont="1" applyBorder="1"/>
    <xf numFmtId="4" fontId="0" fillId="0" borderId="0" xfId="0" applyNumberFormat="1" applyBorder="1"/>
    <xf numFmtId="10" fontId="0" fillId="0" borderId="0" xfId="1" applyNumberFormat="1" applyFont="1" applyBorder="1"/>
    <xf numFmtId="9" fontId="0" fillId="0" borderId="0" xfId="0" applyNumberFormat="1" applyBorder="1"/>
    <xf numFmtId="0" fontId="0" fillId="0" borderId="8" xfId="0" applyBorder="1"/>
    <xf numFmtId="4" fontId="0" fillId="0" borderId="11" xfId="0" applyNumberFormat="1" applyBorder="1"/>
    <xf numFmtId="10" fontId="0" fillId="0" borderId="11" xfId="1" applyNumberFormat="1" applyFont="1" applyBorder="1"/>
    <xf numFmtId="0" fontId="0" fillId="0" borderId="11" xfId="0" applyBorder="1"/>
    <xf numFmtId="0" fontId="1" fillId="0" borderId="4" xfId="0" applyFont="1" applyBorder="1"/>
    <xf numFmtId="10" fontId="1" fillId="0" borderId="0" xfId="1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0" fontId="0" fillId="0" borderId="8" xfId="0" applyNumberFormat="1" applyFill="1" applyBorder="1" applyAlignment="1">
      <alignment horizontal="center"/>
    </xf>
    <xf numFmtId="10" fontId="0" fillId="0" borderId="9" xfId="0" applyNumberFormat="1" applyFill="1" applyBorder="1" applyAlignment="1">
      <alignment horizontal="center"/>
    </xf>
    <xf numFmtId="10" fontId="0" fillId="0" borderId="6" xfId="0" applyNumberFormat="1" applyFill="1" applyBorder="1" applyAlignment="1">
      <alignment horizontal="center"/>
    </xf>
    <xf numFmtId="10" fontId="0" fillId="0" borderId="7" xfId="0" applyNumberFormat="1" applyFill="1" applyBorder="1" applyAlignment="1">
      <alignment horizontal="center"/>
    </xf>
    <xf numFmtId="10" fontId="0" fillId="0" borderId="8" xfId="0" applyNumberFormat="1" applyFill="1" applyBorder="1"/>
    <xf numFmtId="10" fontId="0" fillId="0" borderId="9" xfId="0" applyNumberFormat="1" applyFill="1" applyBorder="1"/>
    <xf numFmtId="0" fontId="0" fillId="0" borderId="0" xfId="0" applyFill="1"/>
    <xf numFmtId="0" fontId="1" fillId="0" borderId="6" xfId="0" applyFont="1" applyBorder="1"/>
    <xf numFmtId="0" fontId="1" fillId="0" borderId="7" xfId="0" applyFont="1" applyBorder="1"/>
    <xf numFmtId="10" fontId="0" fillId="2" borderId="6" xfId="0" applyNumberFormat="1" applyFill="1" applyBorder="1"/>
    <xf numFmtId="10" fontId="0" fillId="2" borderId="7" xfId="0" applyNumberFormat="1" applyFill="1" applyBorder="1"/>
    <xf numFmtId="4" fontId="0" fillId="2" borderId="8" xfId="0" applyNumberFormat="1" applyFill="1" applyBorder="1"/>
    <xf numFmtId="4" fontId="0" fillId="2" borderId="9" xfId="0" applyNumberForma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6" fillId="0" borderId="0" xfId="1" applyFont="1" applyAlignment="1">
      <alignment horizontal="center"/>
    </xf>
    <xf numFmtId="9" fontId="7" fillId="0" borderId="0" xfId="1" applyFont="1" applyAlignment="1">
      <alignment horizontal="center"/>
    </xf>
    <xf numFmtId="9" fontId="5" fillId="0" borderId="0" xfId="1" applyFont="1" applyAlignment="1">
      <alignment horizontal="center"/>
    </xf>
    <xf numFmtId="9" fontId="0" fillId="0" borderId="11" xfId="0" applyNumberFormat="1" applyBorder="1"/>
    <xf numFmtId="9" fontId="0" fillId="0" borderId="0" xfId="0" applyNumberFormat="1" applyAlignment="1">
      <alignment horizontal="center"/>
    </xf>
    <xf numFmtId="9" fontId="1" fillId="0" borderId="0" xfId="0" applyNumberFormat="1" applyFont="1" applyAlignment="1">
      <alignment horizontal="center"/>
    </xf>
    <xf numFmtId="9" fontId="1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/>
    <xf numFmtId="10" fontId="0" fillId="0" borderId="0" xfId="1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3" fontId="6" fillId="0" borderId="0" xfId="1" applyNumberFormat="1" applyFont="1" applyAlignment="1">
      <alignment horizontal="center"/>
    </xf>
    <xf numFmtId="3" fontId="7" fillId="0" borderId="0" xfId="1" applyNumberFormat="1" applyFont="1" applyAlignment="1">
      <alignment horizontal="center"/>
    </xf>
    <xf numFmtId="3" fontId="5" fillId="0" borderId="0" xfId="1" applyNumberFormat="1" applyFont="1" applyAlignment="1">
      <alignment horizontal="center"/>
    </xf>
    <xf numFmtId="3" fontId="0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3" fontId="8" fillId="0" borderId="0" xfId="0" applyNumberFormat="1" applyFont="1"/>
    <xf numFmtId="1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0" fillId="0" borderId="12" xfId="0" applyBorder="1" applyAlignment="1">
      <alignment horizontal="right"/>
    </xf>
    <xf numFmtId="3" fontId="8" fillId="0" borderId="12" xfId="0" applyNumberFormat="1" applyFont="1" applyBorder="1"/>
    <xf numFmtId="10" fontId="0" fillId="0" borderId="12" xfId="0" applyNumberForma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1" applyNumberFormat="1" applyFont="1" applyAlignment="1">
      <alignment horizontal="center"/>
    </xf>
    <xf numFmtId="9" fontId="1" fillId="0" borderId="0" xfId="1" applyNumberFormat="1" applyFont="1" applyAlignment="1">
      <alignment horizontal="center"/>
    </xf>
    <xf numFmtId="164" fontId="0" fillId="0" borderId="0" xfId="0" applyNumberFormat="1"/>
    <xf numFmtId="9" fontId="0" fillId="0" borderId="0" xfId="1" applyFont="1"/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4" fontId="1" fillId="0" borderId="0" xfId="1" applyNumberFormat="1" applyFont="1"/>
    <xf numFmtId="164" fontId="2" fillId="0" borderId="0" xfId="1" applyNumberFormat="1" applyFont="1"/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7" fontId="0" fillId="0" borderId="0" xfId="0" applyNumberFormat="1" applyAlignment="1">
      <alignment horizontal="center"/>
    </xf>
    <xf numFmtId="17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165" fontId="0" fillId="0" borderId="0" xfId="0" applyNumberFormat="1" applyAlignment="1">
      <alignment horizontal="center"/>
    </xf>
    <xf numFmtId="9" fontId="0" fillId="0" borderId="0" xfId="1" applyNumberFormat="1" applyFont="1"/>
    <xf numFmtId="9" fontId="0" fillId="2" borderId="0" xfId="1" applyNumberFormat="1" applyFont="1" applyFill="1"/>
    <xf numFmtId="9" fontId="0" fillId="0" borderId="0" xfId="1" applyNumberFormat="1" applyFont="1" applyFill="1"/>
    <xf numFmtId="9" fontId="0" fillId="0" borderId="2" xfId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" fontId="0" fillId="0" borderId="12" xfId="0" applyNumberFormat="1" applyBorder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1" fillId="0" borderId="10" xfId="0" applyFont="1" applyBorder="1"/>
    <xf numFmtId="0" fontId="1" fillId="0" borderId="5" xfId="0" applyFont="1" applyBorder="1"/>
    <xf numFmtId="9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/>
    <xf numFmtId="9" fontId="0" fillId="0" borderId="11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1" fillId="0" borderId="13" xfId="0" applyFont="1" applyBorder="1"/>
    <xf numFmtId="9" fontId="0" fillId="0" borderId="12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4" xfId="0" applyFont="1" applyFill="1" applyBorder="1"/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8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0" xfId="0" applyNumberFormat="1" applyFont="1"/>
    <xf numFmtId="4" fontId="1" fillId="0" borderId="0" xfId="0" applyNumberFormat="1" applyFont="1"/>
    <xf numFmtId="0" fontId="1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left"/>
    </xf>
    <xf numFmtId="164" fontId="0" fillId="0" borderId="8" xfId="0" applyNumberFormat="1" applyBorder="1"/>
    <xf numFmtId="164" fontId="0" fillId="0" borderId="11" xfId="0" applyNumberFormat="1" applyBorder="1"/>
    <xf numFmtId="164" fontId="0" fillId="0" borderId="9" xfId="0" applyNumberFormat="1" applyBorder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9" fontId="0" fillId="2" borderId="0" xfId="0" applyNumberFormat="1" applyFill="1" applyAlignment="1">
      <alignment horizontal="center"/>
    </xf>
    <xf numFmtId="0" fontId="1" fillId="0" borderId="10" xfId="0" applyFont="1" applyBorder="1" applyAlignment="1">
      <alignment horizontal="right"/>
    </xf>
    <xf numFmtId="9" fontId="1" fillId="0" borderId="10" xfId="0" applyNumberFormat="1" applyFont="1" applyBorder="1" applyAlignment="1">
      <alignment horizontal="center"/>
    </xf>
    <xf numFmtId="9" fontId="1" fillId="0" borderId="5" xfId="0" applyNumberFormat="1" applyFont="1" applyBorder="1" applyAlignment="1">
      <alignment horizontal="center"/>
    </xf>
    <xf numFmtId="0" fontId="1" fillId="0" borderId="11" xfId="0" applyFont="1" applyBorder="1" applyAlignment="1">
      <alignment horizontal="right"/>
    </xf>
    <xf numFmtId="0" fontId="0" fillId="0" borderId="9" xfId="0" applyBorder="1"/>
    <xf numFmtId="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right"/>
    </xf>
    <xf numFmtId="10" fontId="0" fillId="0" borderId="0" xfId="0" applyNumberFormat="1" applyFill="1"/>
    <xf numFmtId="0" fontId="0" fillId="0" borderId="4" xfId="0" applyFill="1" applyBorder="1"/>
    <xf numFmtId="0" fontId="1" fillId="0" borderId="10" xfId="0" applyFont="1" applyFill="1" applyBorder="1" applyAlignment="1">
      <alignment horizontal="right"/>
    </xf>
    <xf numFmtId="9" fontId="1" fillId="0" borderId="10" xfId="0" applyNumberFormat="1" applyFont="1" applyFill="1" applyBorder="1" applyAlignment="1">
      <alignment horizontal="center"/>
    </xf>
    <xf numFmtId="9" fontId="1" fillId="0" borderId="5" xfId="0" applyNumberFormat="1" applyFont="1" applyFill="1" applyBorder="1" applyAlignment="1">
      <alignment horizontal="center"/>
    </xf>
    <xf numFmtId="0" fontId="0" fillId="0" borderId="8" xfId="0" applyFill="1" applyBorder="1"/>
    <xf numFmtId="0" fontId="1" fillId="0" borderId="11" xfId="0" applyFont="1" applyFill="1" applyBorder="1" applyAlignment="1">
      <alignment horizontal="right"/>
    </xf>
    <xf numFmtId="9" fontId="0" fillId="0" borderId="11" xfId="0" applyNumberFormat="1" applyFill="1" applyBorder="1" applyAlignment="1">
      <alignment horizontal="center"/>
    </xf>
    <xf numFmtId="0" fontId="0" fillId="0" borderId="9" xfId="0" applyFill="1" applyBorder="1"/>
    <xf numFmtId="164" fontId="0" fillId="2" borderId="0" xfId="0" applyNumberFormat="1" applyFill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0" fillId="0" borderId="0" xfId="1" applyNumberFormat="1" applyFont="1"/>
    <xf numFmtId="164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3" fontId="0" fillId="0" borderId="0" xfId="2" applyFont="1"/>
    <xf numFmtId="43" fontId="0" fillId="0" borderId="0" xfId="0" applyNumberFormat="1"/>
    <xf numFmtId="0" fontId="11" fillId="0" borderId="0" xfId="0" applyFont="1"/>
    <xf numFmtId="0" fontId="12" fillId="0" borderId="0" xfId="0" applyFont="1" applyAlignment="1">
      <alignment vertical="center"/>
    </xf>
    <xf numFmtId="10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vertical="center"/>
    </xf>
    <xf numFmtId="164" fontId="2" fillId="0" borderId="0" xfId="1" applyNumberFormat="1" applyFont="1" applyAlignment="1">
      <alignment horizontal="center"/>
    </xf>
    <xf numFmtId="10" fontId="0" fillId="0" borderId="0" xfId="0" quotePrefix="1" applyNumberFormat="1" applyAlignment="1">
      <alignment horizontal="center"/>
    </xf>
    <xf numFmtId="173" fontId="0" fillId="0" borderId="0" xfId="2" applyNumberFormat="1" applyFont="1" applyAlignment="1">
      <alignment horizontal="center"/>
    </xf>
    <xf numFmtId="0" fontId="0" fillId="0" borderId="0" xfId="0" quotePrefix="1" applyAlignment="1">
      <alignment horizontal="left"/>
    </xf>
    <xf numFmtId="0" fontId="9" fillId="5" borderId="0" xfId="0" applyFont="1" applyFill="1"/>
    <xf numFmtId="9" fontId="10" fillId="5" borderId="0" xfId="0" applyNumberFormat="1" applyFont="1" applyFill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5028"/>
      <rgbColor rgb="00C0DCFE"/>
      <rgbColor rgb="00BEBEBE"/>
      <rgbColor rgb="00FFE4CC"/>
      <rgbColor rgb="00CCCCCC"/>
      <rgbColor rgb="00E6E6E6"/>
      <rgbColor rgb="00808080"/>
      <rgbColor rgb="004496FB"/>
      <rgbColor rgb="00F9D019"/>
      <rgbColor rgb="00FFAE66"/>
      <rgbColor rgb="00CFE0B6"/>
      <rgbColor rgb="00F05028"/>
      <rgbColor rgb="00E1D9EA"/>
      <rgbColor rgb="00A88DC2"/>
      <rgbColor rgb="00195A50"/>
      <rgbColor rgb="0064B400"/>
      <rgbColor rgb="00FFAA00"/>
      <rgbColor rgb="00780032"/>
      <rgbColor rgb="00828282"/>
      <rgbColor rgb="0000BEB4"/>
      <rgbColor rgb="00B4DC00"/>
      <rgbColor rgb="00FFE600"/>
      <rgbColor rgb="00195A50"/>
      <rgbColor rgb="0064B400"/>
      <rgbColor rgb="00FFAA00"/>
      <rgbColor rgb="00780032"/>
      <rgbColor rgb="00828282"/>
      <rgbColor rgb="0000BEB4"/>
      <rgbColor rgb="00FFAE66"/>
      <rgbColor rgb="004496FB"/>
      <rgbColor rgb="00FEF5CF"/>
      <rgbColor rgb="00FFFFFF"/>
      <rgbColor rgb="00FFFFFF"/>
      <rgbColor rgb="00FFFFFF"/>
      <rgbColor rgb="00FFFFFF"/>
      <rgbColor rgb="00E6E6E6"/>
      <rgbColor rgb="00404040"/>
      <rgbColor rgb="00A6A6A6"/>
      <rgbColor rgb="00FDEDA2"/>
      <rgbColor rgb="00CCCCCC"/>
      <rgbColor rgb="00FFCA99"/>
      <rgbColor rgb="00BFBFBF"/>
      <rgbColor rgb="00D9D9D9"/>
      <rgbColor rgb="00F2F2F2"/>
      <rgbColor rgb="00B8D192"/>
      <rgbColor rgb="00C5B4D6"/>
      <rgbColor rgb="007F7F7F"/>
      <rgbColor rgb="0083B9FC"/>
      <rgbColor rgb="00045ABE"/>
      <rgbColor rgb="00FF7C00"/>
      <rgbColor rgb="00FFFFFF"/>
      <rgbColor rgb="00E7EFDA"/>
      <rgbColor rgb="0088B14B"/>
      <rgbColor rgb="006E4D8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3" Type="http://schemas.openxmlformats.org/officeDocument/2006/relationships/worksheet" Target="worksheets/sheet1.xml"/><Relationship Id="rId21" Type="http://schemas.openxmlformats.org/officeDocument/2006/relationships/theme" Target="theme/theme1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4.xml"/><Relationship Id="rId20" Type="http://schemas.openxmlformats.org/officeDocument/2006/relationships/worksheet" Target="worksheets/sheet18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24" Type="http://schemas.openxmlformats.org/officeDocument/2006/relationships/calcChain" Target="calcChain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3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Abstenções 1o turno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7.3239439218877739E-3"/>
          <c:y val="4.8560309498686498E-2"/>
          <c:w val="0.96777464674369384"/>
          <c:h val="0.9018605385510387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'1o turno efetivo'!$A$8</c:f>
              <c:strCache>
                <c:ptCount val="1"/>
                <c:pt idx="0">
                  <c:v>Sudeste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'1o turno efetivo'!$J$8</c:f>
              <c:numCache>
                <c:formatCode>0.0%</c:formatCode>
                <c:ptCount val="1"/>
                <c:pt idx="0">
                  <c:v>0.19728901605962204</c:v>
                </c:pt>
              </c:numCache>
            </c:numRef>
          </c:val>
        </c:ser>
        <c:ser>
          <c:idx val="0"/>
          <c:order val="1"/>
          <c:tx>
            <c:strRef>
              <c:f>'1o turno efetivo'!$A$18</c:f>
              <c:strCache>
                <c:ptCount val="1"/>
                <c:pt idx="0">
                  <c:v>Sul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'1o turno efetivo'!$J$18</c:f>
              <c:numCache>
                <c:formatCode>0.0%</c:formatCode>
                <c:ptCount val="1"/>
                <c:pt idx="0">
                  <c:v>0.16729180763650073</c:v>
                </c:pt>
              </c:numCache>
            </c:numRef>
          </c:val>
        </c:ser>
        <c:ser>
          <c:idx val="2"/>
          <c:order val="2"/>
          <c:tx>
            <c:strRef>
              <c:f>'1o turno efetivo'!$A$27</c:f>
              <c:strCache>
                <c:ptCount val="1"/>
                <c:pt idx="0">
                  <c:v>Nordeste</c:v>
                </c:pt>
              </c:strCache>
            </c:strRef>
          </c:tx>
          <c:spPr>
            <a:solidFill>
              <a:srgbClr val="FFAA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'1o turno efetivo'!$J$27</c:f>
              <c:numCache>
                <c:formatCode>0.0%</c:formatCode>
                <c:ptCount val="1"/>
                <c:pt idx="0">
                  <c:v>0.19942514769615866</c:v>
                </c:pt>
              </c:numCache>
            </c:numRef>
          </c:val>
        </c:ser>
        <c:ser>
          <c:idx val="3"/>
          <c:order val="3"/>
          <c:tx>
            <c:strRef>
              <c:f>'1o turno efetivo'!$A$42</c:f>
              <c:strCache>
                <c:ptCount val="1"/>
                <c:pt idx="0">
                  <c:v>Centro-Oeste</c:v>
                </c:pt>
              </c:strCache>
            </c:strRef>
          </c:tx>
          <c:spPr>
            <a:solidFill>
              <a:srgbClr val="780032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'1o turno efetivo'!$J$42</c:f>
              <c:numCache>
                <c:formatCode>0.0%</c:formatCode>
                <c:ptCount val="1"/>
                <c:pt idx="0">
                  <c:v>0.18490628460258998</c:v>
                </c:pt>
              </c:numCache>
            </c:numRef>
          </c:val>
        </c:ser>
        <c:ser>
          <c:idx val="4"/>
          <c:order val="4"/>
          <c:tx>
            <c:strRef>
              <c:f>'1o turno efetivo'!$A$52</c:f>
              <c:strCache>
                <c:ptCount val="1"/>
                <c:pt idx="0">
                  <c:v>Norte</c:v>
                </c:pt>
              </c:strCache>
            </c:strRef>
          </c:tx>
          <c:spPr>
            <a:solidFill>
              <a:srgbClr val="828282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'1o turno efetivo'!$J$52</c:f>
              <c:numCache>
                <c:formatCode>0.0%</c:formatCode>
                <c:ptCount val="1"/>
                <c:pt idx="0">
                  <c:v>0.1969407392377103</c:v>
                </c:pt>
              </c:numCache>
            </c:numRef>
          </c:val>
        </c:ser>
        <c:ser>
          <c:idx val="5"/>
          <c:order val="5"/>
          <c:tx>
            <c:strRef>
              <c:f>'1o turno efetivo'!$A$3</c:f>
              <c:strCache>
                <c:ptCount val="1"/>
                <c:pt idx="0">
                  <c:v>Brasil</c:v>
                </c:pt>
              </c:strCache>
            </c:strRef>
          </c:tx>
          <c:spPr>
            <a:solidFill>
              <a:srgbClr val="00BEB4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'1o turno efetivo'!$J$3</c:f>
              <c:numCache>
                <c:formatCode>0.00%</c:formatCode>
                <c:ptCount val="1"/>
                <c:pt idx="0">
                  <c:v>0.19389999999999999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7240704"/>
        <c:axId val="392077312"/>
      </c:barChart>
      <c:catAx>
        <c:axId val="347240704"/>
        <c:scaling>
          <c:orientation val="minMax"/>
        </c:scaling>
        <c:delete val="1"/>
        <c:axPos val="b"/>
        <c:majorTickMark val="out"/>
        <c:minorTickMark val="none"/>
        <c:tickLblPos val="low"/>
        <c:crossAx val="392077312"/>
        <c:crosses val="autoZero"/>
        <c:auto val="1"/>
        <c:lblAlgn val="ctr"/>
        <c:lblOffset val="100"/>
        <c:noMultiLvlLbl val="0"/>
      </c:catAx>
      <c:valAx>
        <c:axId val="39207731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34724070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Votos</a:t>
            </a:r>
            <a:r>
              <a:rPr lang="pt-BR" baseline="0"/>
              <a:t> válidos efetivos do 1o turno</a:t>
            </a:r>
            <a:endParaRPr lang="pt-BR"/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7.3239439218877739E-3"/>
          <c:y val="4.8560309498686498E-2"/>
          <c:w val="0.96777464674369384"/>
          <c:h val="0.90186053855103876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'1o turno efetivo'!$B$1:$F$1</c:f>
              <c:strCache>
                <c:ptCount val="5"/>
                <c:pt idx="0">
                  <c:v>Dilma</c:v>
                </c:pt>
                <c:pt idx="1">
                  <c:v>Aécio</c:v>
                </c:pt>
                <c:pt idx="2">
                  <c:v>Marina</c:v>
                </c:pt>
                <c:pt idx="3">
                  <c:v>Outros</c:v>
                </c:pt>
                <c:pt idx="4">
                  <c:v>Brancos e Nulos</c:v>
                </c:pt>
              </c:strCache>
            </c:strRef>
          </c:cat>
          <c:val>
            <c:numRef>
              <c:f>'1o turno efetivo'!$B$3:$E$3</c:f>
              <c:numCache>
                <c:formatCode>0.00%</c:formatCode>
                <c:ptCount val="4"/>
                <c:pt idx="0">
                  <c:v>0.41589999999999999</c:v>
                </c:pt>
                <c:pt idx="1">
                  <c:v>0.33550000000000002</c:v>
                </c:pt>
                <c:pt idx="2">
                  <c:v>0.2132</c:v>
                </c:pt>
                <c:pt idx="3">
                  <c:v>3.5399999999999876E-2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367168"/>
        <c:axId val="397368704"/>
      </c:barChart>
      <c:catAx>
        <c:axId val="397367168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397368704"/>
        <c:crosses val="autoZero"/>
        <c:auto val="1"/>
        <c:lblAlgn val="ctr"/>
        <c:lblOffset val="100"/>
        <c:noMultiLvlLbl val="0"/>
      </c:catAx>
      <c:valAx>
        <c:axId val="39736870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3973671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Votação</a:t>
            </a:r>
            <a:r>
              <a:rPr lang="pt-BR" baseline="0"/>
              <a:t> 1o turno e voto declarado</a:t>
            </a:r>
            <a:endParaRPr lang="pt-BR"/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v>1o Turno efetivo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7972027972027842E-3"/>
                  <c:y val="7.443973349485160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1.3986013986013986E-3"/>
                  <c:y val="1.4888337468982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'Ajuste Pesquisa IBOPE'!$N$1:$R$1</c:f>
              <c:strCache>
                <c:ptCount val="5"/>
                <c:pt idx="0">
                  <c:v>Dilma</c:v>
                </c:pt>
                <c:pt idx="1">
                  <c:v>Aécio</c:v>
                </c:pt>
                <c:pt idx="2">
                  <c:v>Marina</c:v>
                </c:pt>
                <c:pt idx="3">
                  <c:v>Outros</c:v>
                </c:pt>
                <c:pt idx="4">
                  <c:v>Brancos e Nulos</c:v>
                </c:pt>
              </c:strCache>
            </c:strRef>
          </c:cat>
          <c:val>
            <c:numRef>
              <c:f>'Ajuste Pesquisa IBOPE'!$N$4:$R$4</c:f>
              <c:numCache>
                <c:formatCode>0.0%</c:formatCode>
                <c:ptCount val="5"/>
                <c:pt idx="0">
                  <c:v>0.37580723999999999</c:v>
                </c:pt>
                <c:pt idx="1">
                  <c:v>0.30315779999999998</c:v>
                </c:pt>
                <c:pt idx="2">
                  <c:v>0.19264751999999999</c:v>
                </c:pt>
                <c:pt idx="3">
                  <c:v>3.1987439999999888E-2</c:v>
                </c:pt>
                <c:pt idx="4">
                  <c:v>9.6399999999999986E-2</c:v>
                </c:pt>
              </c:numCache>
            </c:numRef>
          </c:val>
        </c:ser>
        <c:ser>
          <c:idx val="2"/>
          <c:order val="1"/>
          <c:tx>
            <c:v>Declaração de voto</c:v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0"/>
                  <c:y val="9.925558312655086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'Ajuste Pesquisa IBOPE'!$N$1:$R$1</c:f>
              <c:strCache>
                <c:ptCount val="5"/>
                <c:pt idx="0">
                  <c:v>Dilma</c:v>
                </c:pt>
                <c:pt idx="1">
                  <c:v>Aécio</c:v>
                </c:pt>
                <c:pt idx="2">
                  <c:v>Marina</c:v>
                </c:pt>
                <c:pt idx="3">
                  <c:v>Outros</c:v>
                </c:pt>
                <c:pt idx="4">
                  <c:v>Brancos e Nulos</c:v>
                </c:pt>
              </c:strCache>
            </c:strRef>
          </c:cat>
          <c:val>
            <c:numRef>
              <c:f>'Ajuste Pesquisa IBOPE'!$N$6:$R$6</c:f>
              <c:numCache>
                <c:formatCode>0%</c:formatCode>
                <c:ptCount val="5"/>
                <c:pt idx="0">
                  <c:v>0.4</c:v>
                </c:pt>
                <c:pt idx="1">
                  <c:v>0.28999999999999998</c:v>
                </c:pt>
                <c:pt idx="2">
                  <c:v>0.18</c:v>
                </c:pt>
                <c:pt idx="3">
                  <c:v>0.04</c:v>
                </c:pt>
                <c:pt idx="4">
                  <c:v>0.09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0971264"/>
        <c:axId val="400973184"/>
      </c:barChart>
      <c:catAx>
        <c:axId val="400971264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400973184"/>
        <c:crosses val="autoZero"/>
        <c:auto val="1"/>
        <c:lblAlgn val="ctr"/>
        <c:lblOffset val="100"/>
        <c:noMultiLvlLbl val="0"/>
      </c:catAx>
      <c:valAx>
        <c:axId val="40097318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4009712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Transferencia de votos do 1o</a:t>
            </a:r>
            <a:r>
              <a:rPr lang="pt-BR" baseline="0"/>
              <a:t> turno para o 2o</a:t>
            </a:r>
            <a:endParaRPr lang="pt-BR"/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'Ajuste Pesquisa IBOPE'!$N$10</c:f>
              <c:strCache>
                <c:ptCount val="1"/>
                <c:pt idx="0">
                  <c:v>Dilma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'Ajuste Pesquisa IBOPE'!$M$11:$M$14</c:f>
              <c:strCache>
                <c:ptCount val="4"/>
                <c:pt idx="0">
                  <c:v>Aecio</c:v>
                </c:pt>
                <c:pt idx="1">
                  <c:v>Dilma</c:v>
                </c:pt>
                <c:pt idx="2">
                  <c:v>Marina</c:v>
                </c:pt>
                <c:pt idx="3">
                  <c:v>Branco</c:v>
                </c:pt>
              </c:strCache>
            </c:strRef>
          </c:cat>
          <c:val>
            <c:numRef>
              <c:f>'Ajuste Pesquisa IBOPE'!$N$11:$N$14</c:f>
              <c:numCache>
                <c:formatCode>0%</c:formatCode>
                <c:ptCount val="4"/>
                <c:pt idx="0">
                  <c:v>0</c:v>
                </c:pt>
                <c:pt idx="1">
                  <c:v>0.92</c:v>
                </c:pt>
                <c:pt idx="2">
                  <c:v>0.16</c:v>
                </c:pt>
                <c:pt idx="3">
                  <c:v>0.15</c:v>
                </c:pt>
              </c:numCache>
            </c:numRef>
          </c:val>
        </c:ser>
        <c:ser>
          <c:idx val="1"/>
          <c:order val="1"/>
          <c:tx>
            <c:strRef>
              <c:f>'Ajuste Pesquisa IBOPE'!$O$10</c:f>
              <c:strCache>
                <c:ptCount val="1"/>
                <c:pt idx="0">
                  <c:v>Aécio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'Ajuste Pesquisa IBOPE'!$M$11:$M$14</c:f>
              <c:strCache>
                <c:ptCount val="4"/>
                <c:pt idx="0">
                  <c:v>Aecio</c:v>
                </c:pt>
                <c:pt idx="1">
                  <c:v>Dilma</c:v>
                </c:pt>
                <c:pt idx="2">
                  <c:v>Marina</c:v>
                </c:pt>
                <c:pt idx="3">
                  <c:v>Branco</c:v>
                </c:pt>
              </c:strCache>
            </c:strRef>
          </c:cat>
          <c:val>
            <c:numRef>
              <c:f>'Ajuste Pesquisa IBOPE'!$O$11:$O$14</c:f>
              <c:numCache>
                <c:formatCode>0%</c:formatCode>
                <c:ptCount val="4"/>
                <c:pt idx="0">
                  <c:v>0.97</c:v>
                </c:pt>
                <c:pt idx="1">
                  <c:v>0.08</c:v>
                </c:pt>
                <c:pt idx="2">
                  <c:v>0.6</c:v>
                </c:pt>
                <c:pt idx="3">
                  <c:v>0.2</c:v>
                </c:pt>
              </c:numCache>
            </c:numRef>
          </c:val>
        </c:ser>
        <c:ser>
          <c:idx val="2"/>
          <c:order val="2"/>
          <c:tx>
            <c:strRef>
              <c:f>'Ajuste Pesquisa IBOPE'!$P$10</c:f>
              <c:strCache>
                <c:ptCount val="1"/>
                <c:pt idx="0">
                  <c:v>Brancos e nulos</c:v>
                </c:pt>
              </c:strCache>
            </c:strRef>
          </c:tx>
          <c:spPr>
            <a:solidFill>
              <a:srgbClr val="FFAA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'Ajuste Pesquisa IBOPE'!$M$11:$M$14</c:f>
              <c:strCache>
                <c:ptCount val="4"/>
                <c:pt idx="0">
                  <c:v>Aecio</c:v>
                </c:pt>
                <c:pt idx="1">
                  <c:v>Dilma</c:v>
                </c:pt>
                <c:pt idx="2">
                  <c:v>Marina</c:v>
                </c:pt>
                <c:pt idx="3">
                  <c:v>Branco</c:v>
                </c:pt>
              </c:strCache>
            </c:strRef>
          </c:cat>
          <c:val>
            <c:numRef>
              <c:f>'Ajuste Pesquisa IBOPE'!$P$11:$P$14</c:f>
              <c:numCache>
                <c:formatCode>0%</c:formatCode>
                <c:ptCount val="4"/>
                <c:pt idx="0">
                  <c:v>0.03</c:v>
                </c:pt>
                <c:pt idx="1">
                  <c:v>0</c:v>
                </c:pt>
                <c:pt idx="2">
                  <c:v>0.24</c:v>
                </c:pt>
                <c:pt idx="3">
                  <c:v>0.65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5483648"/>
        <c:axId val="59756928"/>
      </c:barChart>
      <c:catAx>
        <c:axId val="465483648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59756928"/>
        <c:crosses val="autoZero"/>
        <c:auto val="1"/>
        <c:lblAlgn val="ctr"/>
        <c:lblOffset val="100"/>
        <c:noMultiLvlLbl val="0"/>
      </c:catAx>
      <c:valAx>
        <c:axId val="5975692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4654836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Intenção de voto para</a:t>
            </a:r>
            <a:r>
              <a:rPr lang="pt-BR" baseline="0"/>
              <a:t> o 2o turno</a:t>
            </a:r>
            <a:endParaRPr lang="pt-BR"/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v>IBOPE 14/10/2014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1.4888337468982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'Ajuste Pesquisa IBOPE'!$N$17:$P$17</c:f>
              <c:strCache>
                <c:ptCount val="3"/>
                <c:pt idx="0">
                  <c:v>Dilma</c:v>
                </c:pt>
                <c:pt idx="1">
                  <c:v>Aecio</c:v>
                </c:pt>
                <c:pt idx="2">
                  <c:v>Brancos e nulos</c:v>
                </c:pt>
              </c:strCache>
            </c:strRef>
          </c:cat>
          <c:val>
            <c:numRef>
              <c:f>'Ajuste Pesquisa IBOPE'!$N$18:$P$18</c:f>
              <c:numCache>
                <c:formatCode>0%</c:formatCode>
                <c:ptCount val="3"/>
                <c:pt idx="0">
                  <c:v>0.43</c:v>
                </c:pt>
                <c:pt idx="1">
                  <c:v>0.45</c:v>
                </c:pt>
                <c:pt idx="2">
                  <c:v>0.12</c:v>
                </c:pt>
              </c:numCache>
            </c:numRef>
          </c:val>
        </c:ser>
        <c:ser>
          <c:idx val="1"/>
          <c:order val="1"/>
          <c:tx>
            <c:v>IBOPE "ajustado"</c:v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1.3986013986013986E-3"/>
                  <c:y val="7.444168734491315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'Ajuste Pesquisa IBOPE'!$N$17:$P$17</c:f>
              <c:strCache>
                <c:ptCount val="3"/>
                <c:pt idx="0">
                  <c:v>Dilma</c:v>
                </c:pt>
                <c:pt idx="1">
                  <c:v>Aecio</c:v>
                </c:pt>
                <c:pt idx="2">
                  <c:v>Brancos e nulos</c:v>
                </c:pt>
              </c:strCache>
            </c:strRef>
          </c:cat>
          <c:val>
            <c:numRef>
              <c:f>'Ajuste Pesquisa IBOPE'!$N$21:$P$21</c:f>
              <c:numCache>
                <c:formatCode>0%</c:formatCode>
                <c:ptCount val="3"/>
                <c:pt idx="0">
                  <c:v>0.40688023519999988</c:v>
                </c:pt>
                <c:pt idx="1">
                  <c:v>0.46721226359999996</c:v>
                </c:pt>
                <c:pt idx="2">
                  <c:v>0.12590750119999997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766656"/>
        <c:axId val="59768192"/>
      </c:barChart>
      <c:catAx>
        <c:axId val="59766656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59768192"/>
        <c:crosses val="autoZero"/>
        <c:auto val="1"/>
        <c:lblAlgn val="ctr"/>
        <c:lblOffset val="100"/>
        <c:noMultiLvlLbl val="0"/>
      </c:catAx>
      <c:valAx>
        <c:axId val="597681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597666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Votação</a:t>
            </a:r>
            <a:r>
              <a:rPr lang="pt-BR" baseline="0"/>
              <a:t> 1o turno e voto declarado</a:t>
            </a:r>
            <a:endParaRPr lang="pt-BR"/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v>1o Turno efetivo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7972027972027842E-3"/>
                  <c:y val="7.443973349485160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1.3986013986013986E-3"/>
                  <c:y val="1.4888337468982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'Ajuste Pesquisa IBOPE Regiao'!$N$1:$R$1</c:f>
              <c:numCache>
                <c:formatCode>General</c:formatCode>
                <c:ptCount val="5"/>
              </c:numCache>
            </c:numRef>
          </c:cat>
          <c:val>
            <c:numRef>
              <c:f>'Ajuste Pesquisa IBOPE Regiao'!$N$4:$R$4</c:f>
              <c:numCache>
                <c:formatCode>General</c:formatCode>
                <c:ptCount val="5"/>
              </c:numCache>
            </c:numRef>
          </c:val>
        </c:ser>
        <c:ser>
          <c:idx val="2"/>
          <c:order val="1"/>
          <c:tx>
            <c:v>Declaração de voto</c:v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0"/>
                  <c:y val="9.925558312655086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'Ajuste Pesquisa IBOPE Regiao'!$N$1:$R$1</c:f>
              <c:numCache>
                <c:formatCode>General</c:formatCode>
                <c:ptCount val="5"/>
              </c:numCache>
            </c:numRef>
          </c:cat>
          <c:val>
            <c:numRef>
              <c:f>'Ajuste Pesquisa IBOPE Regiao'!$N$6:$R$6</c:f>
              <c:numCache>
                <c:formatCode>General</c:formatCod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0963712"/>
        <c:axId val="470965248"/>
      </c:barChart>
      <c:catAx>
        <c:axId val="470963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470965248"/>
        <c:crosses val="autoZero"/>
        <c:auto val="1"/>
        <c:lblAlgn val="ctr"/>
        <c:lblOffset val="100"/>
        <c:noMultiLvlLbl val="0"/>
      </c:catAx>
      <c:valAx>
        <c:axId val="47096524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47096371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Transferencia de votos do 1o</a:t>
            </a:r>
            <a:r>
              <a:rPr lang="pt-BR" baseline="0"/>
              <a:t> turno para o 2o</a:t>
            </a:r>
            <a:endParaRPr lang="pt-BR"/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'Ajuste Pesquisa IBOPE Regiao'!$N$10</c:f>
              <c:strCache>
                <c:ptCount val="1"/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'Ajuste Pesquisa IBOPE Regiao'!$M$11:$M$14</c:f>
              <c:numCache>
                <c:formatCode>General</c:formatCode>
                <c:ptCount val="4"/>
              </c:numCache>
            </c:numRef>
          </c:cat>
          <c:val>
            <c:numRef>
              <c:f>'Ajuste Pesquisa IBOPE Regiao'!$N$11:$N$14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tx>
            <c:strRef>
              <c:f>'Ajuste Pesquisa IBOPE Regiao'!$O$10</c:f>
              <c:strCache>
                <c:ptCount val="1"/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'Ajuste Pesquisa IBOPE Regiao'!$M$11:$M$14</c:f>
              <c:numCache>
                <c:formatCode>General</c:formatCode>
                <c:ptCount val="4"/>
              </c:numCache>
            </c:numRef>
          </c:cat>
          <c:val>
            <c:numRef>
              <c:f>'Ajuste Pesquisa IBOPE Regiao'!$O$11:$O$14</c:f>
              <c:numCache>
                <c:formatCode>General</c:formatCode>
                <c:ptCount val="4"/>
              </c:numCache>
            </c:numRef>
          </c:val>
        </c:ser>
        <c:ser>
          <c:idx val="2"/>
          <c:order val="2"/>
          <c:tx>
            <c:strRef>
              <c:f>'Ajuste Pesquisa IBOPE Regiao'!$P$10</c:f>
              <c:strCache>
                <c:ptCount val="1"/>
              </c:strCache>
            </c:strRef>
          </c:tx>
          <c:spPr>
            <a:solidFill>
              <a:srgbClr val="FFAA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'Ajuste Pesquisa IBOPE Regiao'!$M$11:$M$14</c:f>
              <c:numCache>
                <c:formatCode>General</c:formatCode>
                <c:ptCount val="4"/>
              </c:numCache>
            </c:numRef>
          </c:cat>
          <c:val>
            <c:numRef>
              <c:f>'Ajuste Pesquisa IBOPE Regiao'!$P$11:$P$14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3587968"/>
        <c:axId val="483589504"/>
      </c:barChart>
      <c:catAx>
        <c:axId val="48358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483589504"/>
        <c:crosses val="autoZero"/>
        <c:auto val="1"/>
        <c:lblAlgn val="ctr"/>
        <c:lblOffset val="100"/>
        <c:noMultiLvlLbl val="0"/>
      </c:catAx>
      <c:valAx>
        <c:axId val="48358950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48358796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Intenção de voto para</a:t>
            </a:r>
            <a:r>
              <a:rPr lang="pt-BR" baseline="0"/>
              <a:t> o 2o turno</a:t>
            </a:r>
            <a:endParaRPr lang="pt-BR"/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v>IBOPE 14/10/2014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1.4888337468982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'Ajuste Pesquisa IBOPE Regiao'!$N$17:$P$17</c:f>
              <c:numCache>
                <c:formatCode>General</c:formatCode>
                <c:ptCount val="3"/>
              </c:numCache>
            </c:numRef>
          </c:cat>
          <c:val>
            <c:numRef>
              <c:f>'Ajuste Pesquisa IBOPE Regiao'!$N$18:$P$18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v>IBOPE "ajustado"</c:v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1.3986013986013986E-3"/>
                  <c:y val="7.444168734491315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'Ajuste Pesquisa IBOPE Regiao'!$N$17:$P$17</c:f>
              <c:numCache>
                <c:formatCode>General</c:formatCode>
                <c:ptCount val="3"/>
              </c:numCache>
            </c:numRef>
          </c:cat>
          <c:val>
            <c:numRef>
              <c:f>'Ajuste Pesquisa IBOPE Regiao'!$N$21:$P$21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3828864"/>
        <c:axId val="483830400"/>
      </c:barChart>
      <c:catAx>
        <c:axId val="48382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483830400"/>
        <c:crosses val="autoZero"/>
        <c:auto val="1"/>
        <c:lblAlgn val="ctr"/>
        <c:lblOffset val="100"/>
        <c:noMultiLvlLbl val="0"/>
      </c:catAx>
      <c:valAx>
        <c:axId val="48383040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4838288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2o</a:t>
            </a:r>
            <a:r>
              <a:rPr lang="pt-BR" baseline="0"/>
              <a:t> turno com transferência</a:t>
            </a:r>
            <a:endParaRPr lang="pt-BR"/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0"/>
                  <c:y val="-2.7295285359801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'1o turno efetivo (2)'!$N$47:$P$47</c:f>
              <c:strCache>
                <c:ptCount val="3"/>
                <c:pt idx="0">
                  <c:v>Aécio</c:v>
                </c:pt>
                <c:pt idx="1">
                  <c:v>Dilma</c:v>
                </c:pt>
                <c:pt idx="2">
                  <c:v>Brancos</c:v>
                </c:pt>
              </c:strCache>
            </c:strRef>
          </c:cat>
          <c:val>
            <c:numRef>
              <c:f>'1o turno efetivo (2)'!$N$48:$P$48</c:f>
              <c:numCache>
                <c:formatCode>0.0%</c:formatCode>
                <c:ptCount val="3"/>
                <c:pt idx="0">
                  <c:v>0.42148450919999997</c:v>
                </c:pt>
                <c:pt idx="1">
                  <c:v>0.44462091599999998</c:v>
                </c:pt>
                <c:pt idx="2">
                  <c:v>0.12922292439999999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846592"/>
        <c:axId val="74848128"/>
      </c:barChart>
      <c:catAx>
        <c:axId val="74846592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74848128"/>
        <c:crosses val="autoZero"/>
        <c:auto val="1"/>
        <c:lblAlgn val="ctr"/>
        <c:lblOffset val="100"/>
        <c:noMultiLvlLbl val="0"/>
      </c:catAx>
      <c:valAx>
        <c:axId val="7484812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7484659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v>Dif. Reponderaçã - Efetivo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'1o turno efetivo (2)'!$B$75:$D$75</c:f>
              <c:strCache>
                <c:ptCount val="3"/>
                <c:pt idx="0">
                  <c:v>Dilma</c:v>
                </c:pt>
                <c:pt idx="1">
                  <c:v>Aécio</c:v>
                </c:pt>
                <c:pt idx="2">
                  <c:v>Marina</c:v>
                </c:pt>
              </c:strCache>
            </c:strRef>
          </c:cat>
          <c:val>
            <c:numRef>
              <c:f>'1o turno efetivo (2)'!$O$76:$Q$76</c:f>
              <c:numCache>
                <c:formatCode>#,##0.00</c:formatCode>
                <c:ptCount val="3"/>
                <c:pt idx="0">
                  <c:v>1.8138915292476554</c:v>
                </c:pt>
                <c:pt idx="1">
                  <c:v>-3.6937909737066619</c:v>
                </c:pt>
                <c:pt idx="2">
                  <c:v>-0.68245013870738092</c:v>
                </c:pt>
              </c:numCache>
            </c:numRef>
          </c:val>
        </c:ser>
        <c:ser>
          <c:idx val="1"/>
          <c:order val="1"/>
          <c:tx>
            <c:v>Dif. Pesquisa - Efetivo</c:v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'1o turno efetivo (2)'!$B$75:$D$75</c:f>
              <c:strCache>
                <c:ptCount val="3"/>
                <c:pt idx="0">
                  <c:v>Dilma</c:v>
                </c:pt>
                <c:pt idx="1">
                  <c:v>Aécio</c:v>
                </c:pt>
                <c:pt idx="2">
                  <c:v>Marina</c:v>
                </c:pt>
              </c:strCache>
            </c:strRef>
          </c:cat>
          <c:val>
            <c:numRef>
              <c:f>'1o turno efetivo (2)'!$O$77:$Q$77</c:f>
              <c:numCache>
                <c:formatCode>#,##0.00</c:formatCode>
                <c:ptCount val="3"/>
                <c:pt idx="0">
                  <c:v>2.8992760000000004</c:v>
                </c:pt>
                <c:pt idx="1">
                  <c:v>-2.7157799999999952</c:v>
                </c:pt>
                <c:pt idx="2">
                  <c:v>0.97524800000000056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865664"/>
        <c:axId val="74871552"/>
      </c:barChart>
      <c:catAx>
        <c:axId val="74865664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74871552"/>
        <c:crosses val="autoZero"/>
        <c:auto val="1"/>
        <c:lblAlgn val="ctr"/>
        <c:lblOffset val="100"/>
        <c:noMultiLvlLbl val="0"/>
      </c:catAx>
      <c:valAx>
        <c:axId val="7487155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#,##0.00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748656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2o</a:t>
            </a:r>
            <a:r>
              <a:rPr lang="pt-BR" baseline="0"/>
              <a:t> turno com transferência</a:t>
            </a:r>
            <a:endParaRPr lang="pt-BR"/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0"/>
                  <c:y val="-2.7295285359801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'1o turno efetivo'!$N$47:$P$47</c:f>
              <c:strCache>
                <c:ptCount val="3"/>
                <c:pt idx="0">
                  <c:v>Aécio</c:v>
                </c:pt>
                <c:pt idx="1">
                  <c:v>Dilma</c:v>
                </c:pt>
                <c:pt idx="2">
                  <c:v>Brancos</c:v>
                </c:pt>
              </c:strCache>
            </c:strRef>
          </c:cat>
          <c:val>
            <c:numRef>
              <c:f>'1o turno efetivo'!$N$48:$P$48</c:f>
              <c:numCache>
                <c:formatCode>0.0%</c:formatCode>
                <c:ptCount val="3"/>
                <c:pt idx="0">
                  <c:v>0.42148450919999997</c:v>
                </c:pt>
                <c:pt idx="1">
                  <c:v>0.44462091599999998</c:v>
                </c:pt>
                <c:pt idx="2">
                  <c:v>0.12922292439999999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987008"/>
        <c:axId val="74988544"/>
      </c:barChart>
      <c:catAx>
        <c:axId val="74987008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74988544"/>
        <c:crosses val="autoZero"/>
        <c:auto val="1"/>
        <c:lblAlgn val="ctr"/>
        <c:lblOffset val="100"/>
        <c:noMultiLvlLbl val="0"/>
      </c:catAx>
      <c:valAx>
        <c:axId val="7498854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749870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Intenção de Voto</a:t>
            </a:r>
            <a:r>
              <a:rPr lang="pt-BR" baseline="0"/>
              <a:t> - 2o Turno</a:t>
            </a:r>
            <a:endParaRPr lang="pt-BR"/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Base!$J$2</c:f>
              <c:strCache>
                <c:ptCount val="1"/>
                <c:pt idx="0">
                  <c:v>Dilma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Base!$A$3:$A$7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Base!$J$3:$J$7</c:f>
              <c:numCache>
                <c:formatCode>General</c:formatCode>
                <c:ptCount val="5"/>
                <c:pt idx="0">
                  <c:v>34</c:v>
                </c:pt>
                <c:pt idx="1">
                  <c:v>41</c:v>
                </c:pt>
                <c:pt idx="2">
                  <c:v>60</c:v>
                </c:pt>
                <c:pt idx="3">
                  <c:v>40</c:v>
                </c:pt>
                <c:pt idx="4">
                  <c:v>53</c:v>
                </c:pt>
              </c:numCache>
            </c:numRef>
          </c:val>
        </c:ser>
        <c:ser>
          <c:idx val="1"/>
          <c:order val="1"/>
          <c:tx>
            <c:strRef>
              <c:f>Base!$K$2</c:f>
              <c:strCache>
                <c:ptCount val="1"/>
                <c:pt idx="0">
                  <c:v>Aécio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Base!$A$3:$A$7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Base!$K$3:$K$7</c:f>
              <c:numCache>
                <c:formatCode>General</c:formatCode>
                <c:ptCount val="5"/>
                <c:pt idx="0">
                  <c:v>49</c:v>
                </c:pt>
                <c:pt idx="1">
                  <c:v>37</c:v>
                </c:pt>
                <c:pt idx="2">
                  <c:v>28</c:v>
                </c:pt>
                <c:pt idx="3">
                  <c:v>48</c:v>
                </c:pt>
                <c:pt idx="4">
                  <c:v>35</c:v>
                </c:pt>
              </c:numCache>
            </c:numRef>
          </c:val>
        </c:ser>
        <c:ser>
          <c:idx val="2"/>
          <c:order val="2"/>
          <c:tx>
            <c:strRef>
              <c:f>Base!$L$2</c:f>
              <c:strCache>
                <c:ptCount val="1"/>
                <c:pt idx="0">
                  <c:v>Branco/Nulo</c:v>
                </c:pt>
              </c:strCache>
            </c:strRef>
          </c:tx>
          <c:spPr>
            <a:solidFill>
              <a:srgbClr val="FFAA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Base!$A$3:$A$7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Base!$L$3:$L$7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8</c:v>
                </c:pt>
                <c:pt idx="3">
                  <c:v>9</c:v>
                </c:pt>
                <c:pt idx="4">
                  <c:v>6</c:v>
                </c:pt>
              </c:numCache>
            </c:numRef>
          </c:val>
        </c:ser>
        <c:ser>
          <c:idx val="3"/>
          <c:order val="3"/>
          <c:tx>
            <c:strRef>
              <c:f>Base!$M$2</c:f>
              <c:strCache>
                <c:ptCount val="1"/>
                <c:pt idx="0">
                  <c:v>Indeciso</c:v>
                </c:pt>
              </c:strCache>
            </c:strRef>
          </c:tx>
          <c:spPr>
            <a:solidFill>
              <a:srgbClr val="780032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Base!$A$3:$A$7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Base!$M$3:$M$7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09408"/>
        <c:axId val="75011200"/>
      </c:barChart>
      <c:catAx>
        <c:axId val="75009408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75011200"/>
        <c:crosses val="autoZero"/>
        <c:auto val="1"/>
        <c:lblAlgn val="ctr"/>
        <c:lblOffset val="100"/>
        <c:noMultiLvlLbl val="0"/>
      </c:catAx>
      <c:valAx>
        <c:axId val="7501120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750094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Intenção de Voto - 2o Turno </a:t>
            </a:r>
            <a:r>
              <a:rPr lang="pt-BR" baseline="0"/>
              <a:t>(Votos Válidos)</a:t>
            </a:r>
            <a:endParaRPr lang="pt-BR"/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Base!$O$2</c:f>
              <c:strCache>
                <c:ptCount val="1"/>
                <c:pt idx="0">
                  <c:v>Dilma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Base!$A$3:$A$7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Base!$O$3:$O$7</c:f>
              <c:numCache>
                <c:formatCode>0%</c:formatCode>
                <c:ptCount val="5"/>
                <c:pt idx="0">
                  <c:v>0.40963855421686746</c:v>
                </c:pt>
                <c:pt idx="1">
                  <c:v>0.52564102564102566</c:v>
                </c:pt>
                <c:pt idx="2">
                  <c:v>0.68181818181818177</c:v>
                </c:pt>
                <c:pt idx="3">
                  <c:v>0.45454545454545453</c:v>
                </c:pt>
                <c:pt idx="4">
                  <c:v>0.60227272727272729</c:v>
                </c:pt>
              </c:numCache>
            </c:numRef>
          </c:val>
        </c:ser>
        <c:ser>
          <c:idx val="1"/>
          <c:order val="1"/>
          <c:tx>
            <c:strRef>
              <c:f>Base!$P$2</c:f>
              <c:strCache>
                <c:ptCount val="1"/>
                <c:pt idx="0">
                  <c:v>Aécio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Base!$A$3:$A$7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Base!$P$3:$P$7</c:f>
              <c:numCache>
                <c:formatCode>0%</c:formatCode>
                <c:ptCount val="5"/>
                <c:pt idx="0">
                  <c:v>0.59036144578313254</c:v>
                </c:pt>
                <c:pt idx="1">
                  <c:v>0.47435897435897434</c:v>
                </c:pt>
                <c:pt idx="2">
                  <c:v>0.31818181818181823</c:v>
                </c:pt>
                <c:pt idx="3">
                  <c:v>0.54545454545454541</c:v>
                </c:pt>
                <c:pt idx="4">
                  <c:v>0.39772727272727271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25024"/>
        <c:axId val="75043200"/>
      </c:barChart>
      <c:catAx>
        <c:axId val="75025024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75043200"/>
        <c:crosses val="autoZero"/>
        <c:auto val="1"/>
        <c:lblAlgn val="ctr"/>
        <c:lblOffset val="100"/>
        <c:noMultiLvlLbl val="0"/>
      </c:catAx>
      <c:valAx>
        <c:axId val="7504320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7502502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Intenção de voto -</a:t>
            </a:r>
            <a:r>
              <a:rPr lang="pt-BR" baseline="0"/>
              <a:t> 2o turno - Dilma (Votos Válidos)</a:t>
            </a:r>
            <a:endParaRPr lang="pt-BR"/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Base!$A$14</c:f>
              <c:strCache>
                <c:ptCount val="1"/>
                <c:pt idx="0">
                  <c:v>Datafolha 01/07/2014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Base!$A$15:$A$21</c:f>
              <c:strCache>
                <c:ptCount val="7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  <c:pt idx="4">
                  <c:v>CO</c:v>
                </c:pt>
                <c:pt idx="5">
                  <c:v>N</c:v>
                </c:pt>
                <c:pt idx="6">
                  <c:v>BR</c:v>
                </c:pt>
              </c:strCache>
            </c:strRef>
          </c:cat>
          <c:val>
            <c:numRef>
              <c:f>Base!$O$15:$O$21</c:f>
              <c:numCache>
                <c:formatCode>0%</c:formatCode>
                <c:ptCount val="7"/>
                <c:pt idx="0">
                  <c:v>0.42857142857142855</c:v>
                </c:pt>
                <c:pt idx="1">
                  <c:v>0.47560975609756095</c:v>
                </c:pt>
                <c:pt idx="2">
                  <c:v>0.75862068965517238</c:v>
                </c:pt>
                <c:pt idx="3">
                  <c:v>0.53989451755533091</c:v>
                </c:pt>
                <c:pt idx="4">
                  <c:v>0.46590909090909088</c:v>
                </c:pt>
                <c:pt idx="5">
                  <c:v>0.61363636363636365</c:v>
                </c:pt>
                <c:pt idx="6">
                  <c:v>0.5384211127075702</c:v>
                </c:pt>
              </c:numCache>
            </c:numRef>
          </c:val>
        </c:ser>
        <c:ser>
          <c:idx val="1"/>
          <c:order val="1"/>
          <c:tx>
            <c:strRef>
              <c:f>Base!$A$2</c:f>
              <c:strCache>
                <c:ptCount val="1"/>
                <c:pt idx="0">
                  <c:v>Datafolha 15/07/2014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Base!$A$15:$A$21</c:f>
              <c:strCache>
                <c:ptCount val="7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  <c:pt idx="4">
                  <c:v>CO</c:v>
                </c:pt>
                <c:pt idx="5">
                  <c:v>N</c:v>
                </c:pt>
                <c:pt idx="6">
                  <c:v>BR</c:v>
                </c:pt>
              </c:strCache>
            </c:strRef>
          </c:cat>
          <c:val>
            <c:numRef>
              <c:f>Base!$O$3:$O$8</c:f>
              <c:numCache>
                <c:formatCode>0%</c:formatCode>
                <c:ptCount val="6"/>
                <c:pt idx="0">
                  <c:v>0.40963855421686746</c:v>
                </c:pt>
                <c:pt idx="1">
                  <c:v>0.52564102564102566</c:v>
                </c:pt>
                <c:pt idx="2">
                  <c:v>0.68181818181818177</c:v>
                </c:pt>
                <c:pt idx="3">
                  <c:v>0.45454545454545453</c:v>
                </c:pt>
                <c:pt idx="4">
                  <c:v>0.60227272727272729</c:v>
                </c:pt>
                <c:pt idx="5">
                  <c:v>0.51630777006351747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65216"/>
        <c:axId val="75066752"/>
      </c:barChart>
      <c:catAx>
        <c:axId val="75065216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75066752"/>
        <c:crosses val="autoZero"/>
        <c:auto val="1"/>
        <c:lblAlgn val="ctr"/>
        <c:lblOffset val="100"/>
        <c:noMultiLvlLbl val="0"/>
      </c:catAx>
      <c:valAx>
        <c:axId val="7506675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750652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Intenção de voto -</a:t>
            </a:r>
            <a:r>
              <a:rPr lang="pt-BR" baseline="0"/>
              <a:t> 2o turno - Aécio (Votos Válidos)</a:t>
            </a:r>
            <a:endParaRPr lang="pt-BR"/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Base!$A$14</c:f>
              <c:strCache>
                <c:ptCount val="1"/>
                <c:pt idx="0">
                  <c:v>Datafolha 01/07/2014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Base!$A$15:$A$21</c:f>
              <c:strCache>
                <c:ptCount val="7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  <c:pt idx="4">
                  <c:v>CO</c:v>
                </c:pt>
                <c:pt idx="5">
                  <c:v>N</c:v>
                </c:pt>
                <c:pt idx="6">
                  <c:v>BR</c:v>
                </c:pt>
              </c:strCache>
            </c:strRef>
          </c:cat>
          <c:val>
            <c:numRef>
              <c:f>Base!$P$15:$P$21</c:f>
              <c:numCache>
                <c:formatCode>0%</c:formatCode>
                <c:ptCount val="7"/>
                <c:pt idx="0">
                  <c:v>0.5714285714285714</c:v>
                </c:pt>
                <c:pt idx="1">
                  <c:v>0.52439024390243905</c:v>
                </c:pt>
                <c:pt idx="2">
                  <c:v>0.24137931034482762</c:v>
                </c:pt>
                <c:pt idx="3">
                  <c:v>0.46010548244466909</c:v>
                </c:pt>
                <c:pt idx="4">
                  <c:v>0.53409090909090917</c:v>
                </c:pt>
                <c:pt idx="5">
                  <c:v>0.38636363636363635</c:v>
                </c:pt>
                <c:pt idx="6">
                  <c:v>0.4615788872924298</c:v>
                </c:pt>
              </c:numCache>
            </c:numRef>
          </c:val>
        </c:ser>
        <c:ser>
          <c:idx val="1"/>
          <c:order val="1"/>
          <c:tx>
            <c:strRef>
              <c:f>Base!$A$2</c:f>
              <c:strCache>
                <c:ptCount val="1"/>
                <c:pt idx="0">
                  <c:v>Datafolha 15/07/2014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Base!$A$15:$A$21</c:f>
              <c:strCache>
                <c:ptCount val="7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  <c:pt idx="4">
                  <c:v>CO</c:v>
                </c:pt>
                <c:pt idx="5">
                  <c:v>N</c:v>
                </c:pt>
                <c:pt idx="6">
                  <c:v>BR</c:v>
                </c:pt>
              </c:strCache>
            </c:strRef>
          </c:cat>
          <c:val>
            <c:numRef>
              <c:f>Base!$P$3:$P$8</c:f>
              <c:numCache>
                <c:formatCode>0%</c:formatCode>
                <c:ptCount val="6"/>
                <c:pt idx="0">
                  <c:v>0.59036144578313254</c:v>
                </c:pt>
                <c:pt idx="1">
                  <c:v>0.47435897435897434</c:v>
                </c:pt>
                <c:pt idx="2">
                  <c:v>0.31818181818181823</c:v>
                </c:pt>
                <c:pt idx="3">
                  <c:v>0.54545454545454541</c:v>
                </c:pt>
                <c:pt idx="4">
                  <c:v>0.39772727272727271</c:v>
                </c:pt>
                <c:pt idx="5">
                  <c:v>0.48369222993648259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76736"/>
        <c:axId val="75078272"/>
      </c:barChart>
      <c:catAx>
        <c:axId val="75076736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75078272"/>
        <c:crosses val="autoZero"/>
        <c:auto val="1"/>
        <c:lblAlgn val="ctr"/>
        <c:lblOffset val="100"/>
        <c:noMultiLvlLbl val="0"/>
      </c:catAx>
      <c:valAx>
        <c:axId val="7507827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750767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Dilma -</a:t>
            </a:r>
            <a:r>
              <a:rPr lang="pt-BR" baseline="0"/>
              <a:t> Intenção de voto - 1o turno</a:t>
            </a:r>
            <a:endParaRPr lang="pt-BR"/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Base!$A$47</c:f>
              <c:strCache>
                <c:ptCount val="1"/>
                <c:pt idx="0">
                  <c:v>IBOPE - 15/06/2014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Base!$A$48:$A$51</c:f>
              <c:strCache>
                <c:ptCount val="4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</c:strCache>
            </c:strRef>
          </c:cat>
          <c:val>
            <c:numRef>
              <c:f>Base!$J$160:$J$163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52</c:v>
                </c:pt>
                <c:pt idx="3">
                  <c:v>41</c:v>
                </c:pt>
              </c:numCache>
            </c:numRef>
          </c:val>
        </c:ser>
        <c:ser>
          <c:idx val="1"/>
          <c:order val="1"/>
          <c:tx>
            <c:strRef>
              <c:f>Base!$A$14</c:f>
              <c:strCache>
                <c:ptCount val="1"/>
                <c:pt idx="0">
                  <c:v>Datafolha 01/07/2014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Base!$A$48:$A$51</c:f>
              <c:strCache>
                <c:ptCount val="4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</c:strCache>
            </c:strRef>
          </c:cat>
          <c:val>
            <c:numRef>
              <c:f>Base!$J$148:$J$151</c:f>
              <c:numCache>
                <c:formatCode>General</c:formatCode>
                <c:ptCount val="4"/>
                <c:pt idx="0">
                  <c:v>28</c:v>
                </c:pt>
                <c:pt idx="1">
                  <c:v>33</c:v>
                </c:pt>
                <c:pt idx="2">
                  <c:v>55</c:v>
                </c:pt>
                <c:pt idx="3" formatCode="#,##0">
                  <c:v>39.507419838755546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100544"/>
        <c:axId val="75102080"/>
      </c:barChart>
      <c:catAx>
        <c:axId val="75100544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75102080"/>
        <c:crosses val="autoZero"/>
        <c:auto val="1"/>
        <c:lblAlgn val="ctr"/>
        <c:lblOffset val="100"/>
        <c:noMultiLvlLbl val="0"/>
      </c:catAx>
      <c:valAx>
        <c:axId val="7510208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7510054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Aécio -</a:t>
            </a:r>
            <a:r>
              <a:rPr lang="pt-BR" baseline="0"/>
              <a:t> Intenção de voto - 1o turno</a:t>
            </a:r>
            <a:endParaRPr lang="pt-BR"/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Base!$A$47</c:f>
              <c:strCache>
                <c:ptCount val="1"/>
                <c:pt idx="0">
                  <c:v>IBOPE - 15/06/2014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Base!$A$48:$A$51</c:f>
              <c:strCache>
                <c:ptCount val="4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</c:strCache>
            </c:strRef>
          </c:cat>
          <c:val>
            <c:numRef>
              <c:f>Base!$K$160:$K$163</c:f>
              <c:numCache>
                <c:formatCode>General</c:formatCode>
                <c:ptCount val="4"/>
                <c:pt idx="0">
                  <c:v>26</c:v>
                </c:pt>
                <c:pt idx="1">
                  <c:v>26</c:v>
                </c:pt>
                <c:pt idx="2">
                  <c:v>8</c:v>
                </c:pt>
                <c:pt idx="3">
                  <c:v>26</c:v>
                </c:pt>
              </c:numCache>
            </c:numRef>
          </c:val>
        </c:ser>
        <c:ser>
          <c:idx val="1"/>
          <c:order val="1"/>
          <c:tx>
            <c:strRef>
              <c:f>Base!$A$14</c:f>
              <c:strCache>
                <c:ptCount val="1"/>
                <c:pt idx="0">
                  <c:v>Datafolha 01/07/2014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Base!$A$48:$A$51</c:f>
              <c:strCache>
                <c:ptCount val="4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</c:strCache>
            </c:strRef>
          </c:cat>
          <c:val>
            <c:numRef>
              <c:f>Base!$K$148:$K$151</c:f>
              <c:numCache>
                <c:formatCode>General</c:formatCode>
                <c:ptCount val="4"/>
                <c:pt idx="0">
                  <c:v>27</c:v>
                </c:pt>
                <c:pt idx="1">
                  <c:v>22</c:v>
                </c:pt>
                <c:pt idx="2">
                  <c:v>10</c:v>
                </c:pt>
                <c:pt idx="3" formatCode="#,##0">
                  <c:v>19.495877867358029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424448"/>
        <c:axId val="94434432"/>
      </c:barChart>
      <c:catAx>
        <c:axId val="94424448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94434432"/>
        <c:crosses val="autoZero"/>
        <c:auto val="1"/>
        <c:lblAlgn val="ctr"/>
        <c:lblOffset val="100"/>
        <c:noMultiLvlLbl val="0"/>
      </c:catAx>
      <c:valAx>
        <c:axId val="9443443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44244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Intenção de voto</a:t>
            </a:r>
            <a:r>
              <a:rPr lang="pt-BR" baseline="0"/>
              <a:t> - 2o turno (votos válidos)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Base!$O$25</c:f>
              <c:strCache>
                <c:ptCount val="1"/>
                <c:pt idx="0">
                  <c:v>Dilma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(Base!$A$26:$A$29,Base!$Q$23:$Q$24,Base!$A$32)</c:f>
              <c:strCache>
                <c:ptCount val="7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  <c:pt idx="6">
                  <c:v>BR</c:v>
                </c:pt>
              </c:strCache>
            </c:strRef>
          </c:cat>
          <c:val>
            <c:numRef>
              <c:f>Base!$O$26:$O$29</c:f>
              <c:numCache>
                <c:formatCode>0%</c:formatCode>
                <c:ptCount val="4"/>
                <c:pt idx="0">
                  <c:v>0.44594594594594594</c:v>
                </c:pt>
                <c:pt idx="1">
                  <c:v>0.47499999999999998</c:v>
                </c:pt>
                <c:pt idx="2">
                  <c:v>0.72151898734177211</c:v>
                </c:pt>
                <c:pt idx="3">
                  <c:v>0.56321839080459768</c:v>
                </c:pt>
              </c:numCache>
            </c:numRef>
          </c:val>
        </c:ser>
        <c:ser>
          <c:idx val="1"/>
          <c:order val="1"/>
          <c:tx>
            <c:strRef>
              <c:f>Base!$P$25</c:f>
              <c:strCache>
                <c:ptCount val="1"/>
                <c:pt idx="0">
                  <c:v>Aécio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(Base!$A$26:$A$29,Base!$Q$23:$Q$24,Base!$A$32)</c:f>
              <c:strCache>
                <c:ptCount val="7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  <c:pt idx="6">
                  <c:v>BR</c:v>
                </c:pt>
              </c:strCache>
            </c:strRef>
          </c:cat>
          <c:val>
            <c:numRef>
              <c:f>Base!$P$26:$P$29</c:f>
              <c:numCache>
                <c:formatCode>0%</c:formatCode>
                <c:ptCount val="4"/>
                <c:pt idx="0">
                  <c:v>0.55405405405405406</c:v>
                </c:pt>
                <c:pt idx="1">
                  <c:v>0.52500000000000002</c:v>
                </c:pt>
                <c:pt idx="2">
                  <c:v>0.27848101265822789</c:v>
                </c:pt>
                <c:pt idx="3">
                  <c:v>0.43678160919540232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337088"/>
        <c:axId val="95879552"/>
      </c:barChart>
      <c:catAx>
        <c:axId val="95337088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5879552"/>
        <c:crosses val="autoZero"/>
        <c:auto val="1"/>
        <c:lblAlgn val="ctr"/>
        <c:lblOffset val="100"/>
        <c:noMultiLvlLbl val="0"/>
      </c:catAx>
      <c:valAx>
        <c:axId val="9587955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53370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Evolução</a:t>
            </a:r>
            <a:r>
              <a:rPr lang="pt-BR" baseline="0"/>
              <a:t> Dilma 2o turno (votos válidos)</a:t>
            </a:r>
            <a:endParaRPr lang="pt-BR"/>
          </a:p>
        </c:rich>
      </c:tx>
      <c:layout>
        <c:manualLayout>
          <c:xMode val="edge"/>
          <c:yMode val="edge"/>
          <c:x val="0.30289510489510491"/>
          <c:y val="9.9255583126550868E-3"/>
        </c:manualLayout>
      </c:layout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Base!$A$36</c:f>
              <c:strCache>
                <c:ptCount val="1"/>
                <c:pt idx="0">
                  <c:v>IBOPE - 21/07/2014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0"/>
                  <c:y val="1.4888337468982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Base!$O$37:$O$40</c:f>
              <c:numCache>
                <c:formatCode>0%</c:formatCode>
                <c:ptCount val="4"/>
                <c:pt idx="0">
                  <c:v>0.46575342465753422</c:v>
                </c:pt>
                <c:pt idx="1">
                  <c:v>0.45833333333333331</c:v>
                </c:pt>
                <c:pt idx="2">
                  <c:v>0.76623376623376627</c:v>
                </c:pt>
                <c:pt idx="3">
                  <c:v>0.47945205479452052</c:v>
                </c:pt>
              </c:numCache>
            </c:numRef>
          </c:val>
        </c:ser>
        <c:ser>
          <c:idx val="0"/>
          <c:order val="1"/>
          <c:tx>
            <c:strRef>
              <c:f>Base!$A$25</c:f>
              <c:strCache>
                <c:ptCount val="1"/>
                <c:pt idx="0">
                  <c:v>IBOPE - 07/08/2014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Base!$A$26:$A$29</c:f>
              <c:strCache>
                <c:ptCount val="4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</c:strCache>
            </c:strRef>
          </c:cat>
          <c:val>
            <c:numRef>
              <c:f>Base!$O$26:$O$29</c:f>
              <c:numCache>
                <c:formatCode>0%</c:formatCode>
                <c:ptCount val="4"/>
                <c:pt idx="0">
                  <c:v>0.44594594594594594</c:v>
                </c:pt>
                <c:pt idx="1">
                  <c:v>0.47499999999999998</c:v>
                </c:pt>
                <c:pt idx="2">
                  <c:v>0.72151898734177211</c:v>
                </c:pt>
                <c:pt idx="3">
                  <c:v>0.56321839080459768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893376"/>
        <c:axId val="95894912"/>
      </c:barChart>
      <c:catAx>
        <c:axId val="95893376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5894912"/>
        <c:crosses val="autoZero"/>
        <c:auto val="1"/>
        <c:lblAlgn val="ctr"/>
        <c:lblOffset val="100"/>
        <c:noMultiLvlLbl val="0"/>
      </c:catAx>
      <c:valAx>
        <c:axId val="95894912"/>
        <c:scaling>
          <c:orientation val="minMax"/>
          <c:max val="0.8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589337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Evolução</a:t>
            </a:r>
            <a:r>
              <a:rPr lang="pt-BR" baseline="0"/>
              <a:t> Aécio 2o turno (votos válidos)</a:t>
            </a:r>
            <a:endParaRPr lang="pt-BR"/>
          </a:p>
        </c:rich>
      </c:tx>
      <c:layout>
        <c:manualLayout>
          <c:xMode val="edge"/>
          <c:yMode val="edge"/>
          <c:x val="0.30289510489510491"/>
          <c:y val="9.9255583126550868E-3"/>
        </c:manualLayout>
      </c:layout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Base!$A$36</c:f>
              <c:strCache>
                <c:ptCount val="1"/>
                <c:pt idx="0">
                  <c:v>IBOPE - 21/07/2014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0"/>
                  <c:y val="1.4888337468982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Base!$P$37:$P$40</c:f>
              <c:numCache>
                <c:formatCode>0%</c:formatCode>
                <c:ptCount val="4"/>
                <c:pt idx="0">
                  <c:v>0.53424657534246578</c:v>
                </c:pt>
                <c:pt idx="1">
                  <c:v>0.54166666666666674</c:v>
                </c:pt>
                <c:pt idx="2">
                  <c:v>0.23376623376623373</c:v>
                </c:pt>
                <c:pt idx="3">
                  <c:v>0.52054794520547953</c:v>
                </c:pt>
              </c:numCache>
            </c:numRef>
          </c:val>
        </c:ser>
        <c:ser>
          <c:idx val="0"/>
          <c:order val="1"/>
          <c:tx>
            <c:strRef>
              <c:f>Base!$A$25</c:f>
              <c:strCache>
                <c:ptCount val="1"/>
                <c:pt idx="0">
                  <c:v>IBOPE - 07/08/2014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Base!$A$26:$A$29</c:f>
              <c:strCache>
                <c:ptCount val="4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</c:strCache>
            </c:strRef>
          </c:cat>
          <c:val>
            <c:numRef>
              <c:f>Base!$P$26:$P$29</c:f>
              <c:numCache>
                <c:formatCode>0%</c:formatCode>
                <c:ptCount val="4"/>
                <c:pt idx="0">
                  <c:v>0.55405405405405406</c:v>
                </c:pt>
                <c:pt idx="1">
                  <c:v>0.52500000000000002</c:v>
                </c:pt>
                <c:pt idx="2">
                  <c:v>0.27848101265822789</c:v>
                </c:pt>
                <c:pt idx="3">
                  <c:v>0.43678160919540232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917184"/>
        <c:axId val="95918720"/>
      </c:barChart>
      <c:catAx>
        <c:axId val="95917184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5918720"/>
        <c:crosses val="autoZero"/>
        <c:auto val="1"/>
        <c:lblAlgn val="ctr"/>
        <c:lblOffset val="100"/>
        <c:noMultiLvlLbl val="0"/>
      </c:catAx>
      <c:valAx>
        <c:axId val="95918720"/>
        <c:scaling>
          <c:orientation val="minMax"/>
          <c:max val="0.8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5917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404040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IBOPE - Intenção de voto 1o turno por região</a:t>
            </a:r>
          </a:p>
        </c:rich>
      </c:tx>
      <c:layout/>
      <c:overlay val="0"/>
      <c:spPr>
        <a:noFill/>
      </c:sp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lineChart>
        <c:grouping val="standard"/>
        <c:varyColors val="0"/>
        <c:ser>
          <c:idx val="0"/>
          <c:order val="0"/>
          <c:tx>
            <c:strRef>
              <c:f>'1 turno'!$E$12</c:f>
              <c:strCache>
                <c:ptCount val="1"/>
                <c:pt idx="0">
                  <c:v>Dilma</c:v>
                </c:pt>
              </c:strCache>
            </c:strRef>
          </c:tx>
          <c:spPr>
            <a:ln w="38100">
              <a:solidFill>
                <a:srgbClr val="195A5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195A50"/>
              </a:solidFill>
              <a:ln>
                <a:solidFill>
                  <a:srgbClr val="195A5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4.2790264853256994E-2"/>
                  <c:y val="-1.352259627596178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 turno'!$A$13:$A$17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  <c:pt idx="4">
                  <c:v>BR</c:v>
                </c:pt>
              </c:strCache>
            </c:strRef>
          </c:cat>
          <c:val>
            <c:numRef>
              <c:f>'1 turno'!$E$13:$E$17</c:f>
              <c:numCache>
                <c:formatCode>General</c:formatCode>
                <c:ptCount val="5"/>
                <c:pt idx="0">
                  <c:v>27</c:v>
                </c:pt>
                <c:pt idx="1">
                  <c:v>31</c:v>
                </c:pt>
                <c:pt idx="2">
                  <c:v>46</c:v>
                </c:pt>
                <c:pt idx="3">
                  <c:v>38</c:v>
                </c:pt>
                <c:pt idx="4">
                  <c:v>34</c:v>
                </c:pt>
              </c:numCache>
            </c:numRef>
          </c:val>
          <c:smooth val="0"/>
        </c:ser>
        <c:ser>
          <c:idx val="1"/>
          <c:order val="1"/>
          <c:tx>
            <c:v>Marina</c:v>
          </c:tx>
          <c:spPr>
            <a:ln w="38100">
              <a:solidFill>
                <a:srgbClr val="64B4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64B400"/>
              </a:solidFill>
              <a:ln>
                <a:solidFill>
                  <a:srgbClr val="64B4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2.3209955398931777E-2"/>
                  <c:y val="-3.58683886598542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 turno'!$A$13:$A$17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  <c:pt idx="4">
                  <c:v>BR</c:v>
                </c:pt>
              </c:strCache>
            </c:strRef>
          </c:cat>
          <c:val>
            <c:numRef>
              <c:f>'1 turno'!$F$13:$F$17</c:f>
              <c:numCache>
                <c:formatCode>General</c:formatCode>
                <c:ptCount val="5"/>
                <c:pt idx="0">
                  <c:v>30</c:v>
                </c:pt>
                <c:pt idx="1">
                  <c:v>27</c:v>
                </c:pt>
                <c:pt idx="2">
                  <c:v>27</c:v>
                </c:pt>
                <c:pt idx="3">
                  <c:v>29</c:v>
                </c:pt>
                <c:pt idx="4">
                  <c:v>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 turno'!$G$12</c:f>
              <c:strCache>
                <c:ptCount val="1"/>
                <c:pt idx="0">
                  <c:v>Aécio</c:v>
                </c:pt>
              </c:strCache>
            </c:strRef>
          </c:tx>
          <c:spPr>
            <a:ln w="38100">
              <a:solidFill>
                <a:srgbClr val="FFAA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AA00"/>
              </a:solidFill>
              <a:ln>
                <a:solidFill>
                  <a:srgbClr val="FFAA00"/>
                </a:solidFill>
                <a:prstDash val="solid"/>
              </a:ln>
            </c:spPr>
          </c:marker>
          <c:dLbls>
            <c:dLbl>
              <c:idx val="2"/>
              <c:layout>
                <c:manualLayout>
                  <c:x val="-2.0412642475634603E-2"/>
                  <c:y val="-3.58683886598542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 turno'!$A$13:$A$17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  <c:pt idx="4">
                  <c:v>BR</c:v>
                </c:pt>
              </c:strCache>
            </c:strRef>
          </c:cat>
          <c:val>
            <c:numRef>
              <c:f>'1 turno'!$G$13:$G$17</c:f>
              <c:numCache>
                <c:formatCode>General</c:formatCode>
                <c:ptCount val="5"/>
                <c:pt idx="0">
                  <c:v>25</c:v>
                </c:pt>
                <c:pt idx="1">
                  <c:v>18</c:v>
                </c:pt>
                <c:pt idx="2">
                  <c:v>11</c:v>
                </c:pt>
                <c:pt idx="3">
                  <c:v>16</c:v>
                </c:pt>
                <c:pt idx="4">
                  <c:v>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983872"/>
        <c:axId val="95997952"/>
      </c:lineChart>
      <c:catAx>
        <c:axId val="95983872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5997952"/>
        <c:crosses val="autoZero"/>
        <c:auto val="1"/>
        <c:lblAlgn val="ctr"/>
        <c:lblOffset val="100"/>
        <c:noMultiLvlLbl val="0"/>
      </c:catAx>
      <c:valAx>
        <c:axId val="95997952"/>
        <c:scaling>
          <c:orientation val="minMax"/>
          <c:max val="50"/>
          <c:min val="1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59838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</c:spPr>
      <c:txPr>
        <a:bodyPr/>
        <a:lstStyle/>
        <a:p>
          <a:pPr>
            <a:defRPr sz="1600" b="1">
              <a:solidFill>
                <a:srgbClr val="404040"/>
              </a:solidFill>
              <a:latin typeface="Cambria"/>
              <a:ea typeface="Cambria"/>
              <a:cs typeface="Cambria"/>
            </a:defRPr>
          </a:pPr>
          <a:endParaRPr lang="pt-BR"/>
        </a:p>
      </c:tx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 turno'!$A$4:$A$8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  <c:pt idx="4">
                  <c:v>BR</c:v>
                </c:pt>
              </c:strCache>
            </c:strRef>
          </c:cat>
          <c:val>
            <c:numRef>
              <c:f>'1 turno'!$F$13:$F$17</c:f>
              <c:numCache>
                <c:formatCode>General</c:formatCode>
                <c:ptCount val="5"/>
                <c:pt idx="0">
                  <c:v>30</c:v>
                </c:pt>
                <c:pt idx="1">
                  <c:v>27</c:v>
                </c:pt>
                <c:pt idx="2">
                  <c:v>27</c:v>
                </c:pt>
                <c:pt idx="3">
                  <c:v>29</c:v>
                </c:pt>
                <c:pt idx="4">
                  <c:v>29</c:v>
                </c:pt>
              </c:numCache>
            </c:numRef>
          </c:val>
        </c:ser>
        <c:ser>
          <c:idx val="0"/>
          <c:order val="1"/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 turno'!$A$4:$A$8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CO/N</c:v>
                </c:pt>
                <c:pt idx="4">
                  <c:v>BR</c:v>
                </c:pt>
              </c:strCache>
            </c:strRef>
          </c:cat>
          <c:val>
            <c:numRef>
              <c:f>'1 turno'!$F$4:$F$8</c:f>
              <c:numCache>
                <c:formatCode>General</c:formatCode>
                <c:ptCount val="5"/>
                <c:pt idx="0">
                  <c:v>33</c:v>
                </c:pt>
                <c:pt idx="1">
                  <c:v>40</c:v>
                </c:pt>
                <c:pt idx="2">
                  <c:v>32</c:v>
                </c:pt>
                <c:pt idx="3">
                  <c:v>31</c:v>
                </c:pt>
                <c:pt idx="4">
                  <c:v>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032256"/>
        <c:axId val="96033792"/>
      </c:barChart>
      <c:catAx>
        <c:axId val="96032256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6033792"/>
        <c:crosses val="autoZero"/>
        <c:auto val="1"/>
        <c:lblAlgn val="ctr"/>
        <c:lblOffset val="100"/>
        <c:noMultiLvlLbl val="0"/>
      </c:catAx>
      <c:valAx>
        <c:axId val="960337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60322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600" b="1">
                <a:solidFill>
                  <a:srgbClr val="404040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Nível total de conhecimento</a:t>
            </a:r>
          </a:p>
        </c:rich>
      </c:tx>
      <c:overlay val="0"/>
      <c:spPr>
        <a:noFill/>
      </c:sp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lineChart>
        <c:grouping val="standard"/>
        <c:varyColors val="0"/>
        <c:ser>
          <c:idx val="0"/>
          <c:order val="0"/>
          <c:tx>
            <c:strRef>
              <c:f>'2010'!$A$26</c:f>
              <c:strCache>
                <c:ptCount val="1"/>
                <c:pt idx="0">
                  <c:v>Serra 2010 Total</c:v>
                </c:pt>
              </c:strCache>
            </c:strRef>
          </c:tx>
          <c:spPr>
            <a:ln w="38100">
              <a:solidFill>
                <a:srgbClr val="195A5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195A50"/>
              </a:solidFill>
              <a:ln>
                <a:solidFill>
                  <a:srgbClr val="195A50"/>
                </a:solidFill>
                <a:prstDash val="solid"/>
              </a:ln>
            </c:spPr>
          </c:marker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'2010'!$D$26:$I$26</c:f>
              <c:numCache>
                <c:formatCode>General</c:formatCode>
                <c:ptCount val="6"/>
                <c:pt idx="0">
                  <c:v>93</c:v>
                </c:pt>
                <c:pt idx="1">
                  <c:v>97</c:v>
                </c:pt>
                <c:pt idx="2">
                  <c:v>97</c:v>
                </c:pt>
                <c:pt idx="3">
                  <c:v>98</c:v>
                </c:pt>
                <c:pt idx="4">
                  <c:v>98</c:v>
                </c:pt>
                <c:pt idx="5">
                  <c:v>97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'2010'!$A$44</c:f>
              <c:strCache>
                <c:ptCount val="1"/>
                <c:pt idx="0">
                  <c:v>Dilma 2014 Total</c:v>
                </c:pt>
              </c:strCache>
            </c:strRef>
          </c:tx>
          <c:spPr>
            <a:ln w="38100">
              <a:solidFill>
                <a:srgbClr val="64B4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64B400"/>
              </a:solidFill>
              <a:ln>
                <a:solidFill>
                  <a:srgbClr val="64B400"/>
                </a:solidFill>
                <a:prstDash val="solid"/>
              </a:ln>
            </c:spPr>
          </c:marker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'2010'!$D$44:$I$44</c:f>
              <c:numCache>
                <c:formatCode>General</c:formatCode>
                <c:ptCount val="6"/>
                <c:pt idx="0">
                  <c:v>99</c:v>
                </c:pt>
                <c:pt idx="1">
                  <c:v>100</c:v>
                </c:pt>
                <c:pt idx="2">
                  <c:v>99</c:v>
                </c:pt>
                <c:pt idx="3">
                  <c:v>99</c:v>
                </c:pt>
                <c:pt idx="4">
                  <c:v>99</c:v>
                </c:pt>
                <c:pt idx="5">
                  <c:v>100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'2010'!$A$32</c:f>
              <c:strCache>
                <c:ptCount val="1"/>
                <c:pt idx="0">
                  <c:v>Dilma 2010 Total</c:v>
                </c:pt>
              </c:strCache>
            </c:strRef>
          </c:tx>
          <c:spPr>
            <a:ln w="38100">
              <a:solidFill>
                <a:srgbClr val="FFAA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AA00"/>
              </a:solidFill>
              <a:ln>
                <a:solidFill>
                  <a:srgbClr val="FFAA00"/>
                </a:solidFill>
                <a:prstDash val="solid"/>
              </a:ln>
            </c:spPr>
          </c:marker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'2010'!$D$32:$I$32</c:f>
              <c:numCache>
                <c:formatCode>General</c:formatCode>
                <c:ptCount val="6"/>
                <c:pt idx="0">
                  <c:v>80</c:v>
                </c:pt>
                <c:pt idx="1">
                  <c:v>86</c:v>
                </c:pt>
                <c:pt idx="2">
                  <c:v>88</c:v>
                </c:pt>
                <c:pt idx="3">
                  <c:v>91</c:v>
                </c:pt>
                <c:pt idx="4">
                  <c:v>92</c:v>
                </c:pt>
                <c:pt idx="5">
                  <c:v>89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'2010'!$A$38</c:f>
              <c:strCache>
                <c:ptCount val="1"/>
                <c:pt idx="0">
                  <c:v>Aécio 2014 Total</c:v>
                </c:pt>
              </c:strCache>
            </c:strRef>
          </c:tx>
          <c:spPr>
            <a:ln w="38100">
              <a:solidFill>
                <a:srgbClr val="780032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780032"/>
              </a:solidFill>
              <a:ln>
                <a:solidFill>
                  <a:srgbClr val="780032"/>
                </a:solidFill>
                <a:prstDash val="solid"/>
              </a:ln>
            </c:spPr>
          </c:marker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'2010'!$D$38:$I$38</c:f>
              <c:numCache>
                <c:formatCode>General</c:formatCode>
                <c:ptCount val="6"/>
                <c:pt idx="0">
                  <c:v>77</c:v>
                </c:pt>
                <c:pt idx="1">
                  <c:v>76</c:v>
                </c:pt>
                <c:pt idx="2">
                  <c:v>75</c:v>
                </c:pt>
                <c:pt idx="3">
                  <c:v>78</c:v>
                </c:pt>
                <c:pt idx="4">
                  <c:v>81</c:v>
                </c:pt>
                <c:pt idx="5">
                  <c:v>81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'2010'!$A$50</c:f>
              <c:strCache>
                <c:ptCount val="1"/>
                <c:pt idx="0">
                  <c:v>Marina 2010 Total</c:v>
                </c:pt>
              </c:strCache>
            </c:strRef>
          </c:tx>
          <c:spPr>
            <a:ln w="38100">
              <a:solidFill>
                <a:srgbClr val="828282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828282"/>
              </a:solidFill>
              <a:ln>
                <a:solidFill>
                  <a:srgbClr val="828282"/>
                </a:solidFill>
                <a:prstDash val="solid"/>
              </a:ln>
            </c:spPr>
          </c:marker>
          <c:val>
            <c:numRef>
              <c:f>'2010'!$D$50:$I$50</c:f>
              <c:numCache>
                <c:formatCode>General</c:formatCode>
                <c:ptCount val="6"/>
                <c:pt idx="0">
                  <c:v>51</c:v>
                </c:pt>
                <c:pt idx="1">
                  <c:v>56</c:v>
                </c:pt>
                <c:pt idx="2">
                  <c:v>63</c:v>
                </c:pt>
                <c:pt idx="3">
                  <c:v>73</c:v>
                </c:pt>
                <c:pt idx="4">
                  <c:v>70</c:v>
                </c:pt>
                <c:pt idx="5">
                  <c:v>66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'2010'!$A$56</c:f>
              <c:strCache>
                <c:ptCount val="1"/>
                <c:pt idx="0">
                  <c:v>Marina 2014 Total</c:v>
                </c:pt>
              </c:strCache>
            </c:strRef>
          </c:tx>
          <c:spPr>
            <a:ln w="38100">
              <a:solidFill>
                <a:srgbClr val="00BEB4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0BEB4"/>
              </a:solidFill>
              <a:ln>
                <a:solidFill>
                  <a:srgbClr val="00BEB4"/>
                </a:solidFill>
                <a:prstDash val="solid"/>
              </a:ln>
            </c:spPr>
          </c:marker>
          <c:val>
            <c:numRef>
              <c:f>'2010'!$D$56:$F$56</c:f>
              <c:numCache>
                <c:formatCode>General</c:formatCode>
                <c:ptCount val="3"/>
                <c:pt idx="0">
                  <c:v>88</c:v>
                </c:pt>
                <c:pt idx="1">
                  <c:v>86</c:v>
                </c:pt>
                <c:pt idx="2">
                  <c:v>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87424"/>
        <c:axId val="96089600"/>
      </c:lineChart>
      <c:catAx>
        <c:axId val="96087424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96089600"/>
        <c:crosses val="autoZero"/>
        <c:auto val="1"/>
        <c:lblAlgn val="ctr"/>
        <c:lblOffset val="100"/>
        <c:noMultiLvlLbl val="0"/>
      </c:catAx>
      <c:valAx>
        <c:axId val="96089600"/>
        <c:scaling>
          <c:orientation val="minMax"/>
          <c:max val="100"/>
          <c:min val="5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608742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3422559152810614"/>
          <c:w val="0.99773525686911513"/>
          <c:h val="5.0886071002911239E-2"/>
        </c:manualLayout>
      </c:layout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600" b="1">
                <a:solidFill>
                  <a:srgbClr val="404040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Nível de conhecimento alto e médio</a:t>
            </a:r>
          </a:p>
        </c:rich>
      </c:tx>
      <c:overlay val="0"/>
      <c:spPr>
        <a:noFill/>
      </c:sp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lineChart>
        <c:grouping val="standard"/>
        <c:varyColors val="0"/>
        <c:ser>
          <c:idx val="0"/>
          <c:order val="0"/>
          <c:tx>
            <c:strRef>
              <c:f>'2010'!$A$22</c:f>
              <c:strCache>
                <c:ptCount val="1"/>
                <c:pt idx="0">
                  <c:v>Serra 2010</c:v>
                </c:pt>
              </c:strCache>
            </c:strRef>
          </c:tx>
          <c:spPr>
            <a:ln w="38100">
              <a:solidFill>
                <a:srgbClr val="195A5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195A50"/>
              </a:solidFill>
              <a:ln>
                <a:solidFill>
                  <a:srgbClr val="195A50"/>
                </a:solidFill>
                <a:prstDash val="solid"/>
              </a:ln>
            </c:spPr>
          </c:marker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'2010'!$D$22:$I$22</c:f>
              <c:numCache>
                <c:formatCode>General</c:formatCode>
                <c:ptCount val="6"/>
                <c:pt idx="0">
                  <c:v>60</c:v>
                </c:pt>
                <c:pt idx="1">
                  <c:v>69</c:v>
                </c:pt>
                <c:pt idx="2">
                  <c:v>68</c:v>
                </c:pt>
                <c:pt idx="3">
                  <c:v>70</c:v>
                </c:pt>
                <c:pt idx="4">
                  <c:v>70</c:v>
                </c:pt>
                <c:pt idx="5">
                  <c:v>67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'2010'!$A$40</c:f>
              <c:strCache>
                <c:ptCount val="1"/>
                <c:pt idx="0">
                  <c:v>Dilma 2014</c:v>
                </c:pt>
              </c:strCache>
            </c:strRef>
          </c:tx>
          <c:spPr>
            <a:ln w="38100">
              <a:solidFill>
                <a:srgbClr val="64B4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64B400"/>
              </a:solidFill>
              <a:ln>
                <a:solidFill>
                  <a:srgbClr val="64B400"/>
                </a:solidFill>
                <a:prstDash val="solid"/>
              </a:ln>
            </c:spPr>
          </c:marker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'2010'!$D$40:$I$40</c:f>
              <c:numCache>
                <c:formatCode>General</c:formatCode>
                <c:ptCount val="6"/>
                <c:pt idx="0">
                  <c:v>90</c:v>
                </c:pt>
                <c:pt idx="1">
                  <c:v>90</c:v>
                </c:pt>
                <c:pt idx="2">
                  <c:v>87</c:v>
                </c:pt>
                <c:pt idx="3">
                  <c:v>86</c:v>
                </c:pt>
                <c:pt idx="4">
                  <c:v>83</c:v>
                </c:pt>
                <c:pt idx="5">
                  <c:v>85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'2010'!$A$28</c:f>
              <c:strCache>
                <c:ptCount val="1"/>
                <c:pt idx="0">
                  <c:v>Dilma 2010</c:v>
                </c:pt>
              </c:strCache>
            </c:strRef>
          </c:tx>
          <c:spPr>
            <a:ln w="38100">
              <a:solidFill>
                <a:srgbClr val="FFAA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AA00"/>
              </a:solidFill>
              <a:ln>
                <a:solidFill>
                  <a:srgbClr val="FFAA00"/>
                </a:solidFill>
                <a:prstDash val="solid"/>
              </a:ln>
            </c:spPr>
          </c:marker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'2010'!$D$28:$I$28</c:f>
              <c:numCache>
                <c:formatCode>General</c:formatCode>
                <c:ptCount val="6"/>
                <c:pt idx="0">
                  <c:v>39</c:v>
                </c:pt>
                <c:pt idx="1">
                  <c:v>50</c:v>
                </c:pt>
                <c:pt idx="2">
                  <c:v>49</c:v>
                </c:pt>
                <c:pt idx="3">
                  <c:v>50</c:v>
                </c:pt>
                <c:pt idx="4">
                  <c:v>50</c:v>
                </c:pt>
                <c:pt idx="5">
                  <c:v>48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'2010'!$A$34</c:f>
              <c:strCache>
                <c:ptCount val="1"/>
                <c:pt idx="0">
                  <c:v>Aécio 2014</c:v>
                </c:pt>
              </c:strCache>
            </c:strRef>
          </c:tx>
          <c:spPr>
            <a:ln w="38100">
              <a:solidFill>
                <a:srgbClr val="780032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780032"/>
              </a:solidFill>
              <a:ln>
                <a:solidFill>
                  <a:srgbClr val="780032"/>
                </a:solidFill>
                <a:prstDash val="solid"/>
              </a:ln>
            </c:spPr>
          </c:marker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'2010'!$D$34:$I$34</c:f>
              <c:numCache>
                <c:formatCode>General</c:formatCode>
                <c:ptCount val="6"/>
                <c:pt idx="0">
                  <c:v>41</c:v>
                </c:pt>
                <c:pt idx="1">
                  <c:v>42</c:v>
                </c:pt>
                <c:pt idx="2">
                  <c:v>40</c:v>
                </c:pt>
                <c:pt idx="3">
                  <c:v>42</c:v>
                </c:pt>
                <c:pt idx="4">
                  <c:v>43</c:v>
                </c:pt>
                <c:pt idx="5">
                  <c:v>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'2010'!$A$46</c:f>
              <c:strCache>
                <c:ptCount val="1"/>
                <c:pt idx="0">
                  <c:v>Marina 2010</c:v>
                </c:pt>
              </c:strCache>
            </c:strRef>
          </c:tx>
          <c:spPr>
            <a:ln w="38100">
              <a:solidFill>
                <a:srgbClr val="828282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828282"/>
              </a:solidFill>
              <a:ln>
                <a:solidFill>
                  <a:srgbClr val="828282"/>
                </a:solidFill>
                <a:prstDash val="solid"/>
              </a:ln>
            </c:spPr>
          </c:marker>
          <c:val>
            <c:numRef>
              <c:f>'2010'!$D$46:$I$46</c:f>
              <c:numCache>
                <c:formatCode>General</c:formatCode>
                <c:ptCount val="6"/>
                <c:pt idx="0">
                  <c:v>22</c:v>
                </c:pt>
                <c:pt idx="1">
                  <c:v>26</c:v>
                </c:pt>
                <c:pt idx="2">
                  <c:v>30</c:v>
                </c:pt>
                <c:pt idx="3">
                  <c:v>35</c:v>
                </c:pt>
                <c:pt idx="4">
                  <c:v>32</c:v>
                </c:pt>
                <c:pt idx="5">
                  <c:v>31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'2010'!$A$52</c:f>
              <c:strCache>
                <c:ptCount val="1"/>
                <c:pt idx="0">
                  <c:v>Marina 2014</c:v>
                </c:pt>
              </c:strCache>
            </c:strRef>
          </c:tx>
          <c:spPr>
            <a:ln w="38100">
              <a:solidFill>
                <a:srgbClr val="00BEB4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0BEB4"/>
              </a:solidFill>
              <a:ln>
                <a:solidFill>
                  <a:srgbClr val="00BEB4"/>
                </a:solidFill>
                <a:prstDash val="solid"/>
              </a:ln>
            </c:spPr>
          </c:marker>
          <c:val>
            <c:numRef>
              <c:f>'2010'!$D$52:$F$52</c:f>
              <c:numCache>
                <c:formatCode>General</c:formatCode>
                <c:ptCount val="3"/>
                <c:pt idx="0">
                  <c:v>59</c:v>
                </c:pt>
                <c:pt idx="1">
                  <c:v>55</c:v>
                </c:pt>
                <c:pt idx="2">
                  <c:v>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26080"/>
        <c:axId val="96128000"/>
      </c:lineChart>
      <c:catAx>
        <c:axId val="96126080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96128000"/>
        <c:crosses val="autoZero"/>
        <c:auto val="1"/>
        <c:lblAlgn val="ctr"/>
        <c:lblOffset val="100"/>
        <c:noMultiLvlLbl val="0"/>
      </c:catAx>
      <c:valAx>
        <c:axId val="96128000"/>
        <c:scaling>
          <c:orientation val="minMax"/>
          <c:max val="100"/>
          <c:min val="2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61260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Diferença de conhecimento (total)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lineChart>
        <c:grouping val="standard"/>
        <c:varyColors val="0"/>
        <c:ser>
          <c:idx val="0"/>
          <c:order val="0"/>
          <c:tx>
            <c:v>Dif. Conhecimento total 2010</c:v>
          </c:tx>
          <c:spPr>
            <a:ln w="38100">
              <a:solidFill>
                <a:srgbClr val="195A5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195A50"/>
              </a:solidFill>
              <a:ln>
                <a:solidFill>
                  <a:srgbClr val="195A50"/>
                </a:solidFill>
                <a:prstDash val="solid"/>
              </a:ln>
            </c:spPr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'2010'!$K$26:$P$26</c:f>
              <c:numCache>
                <c:formatCode>General</c:formatCode>
                <c:ptCount val="6"/>
                <c:pt idx="0">
                  <c:v>13</c:v>
                </c:pt>
                <c:pt idx="1">
                  <c:v>11</c:v>
                </c:pt>
                <c:pt idx="2">
                  <c:v>9</c:v>
                </c:pt>
                <c:pt idx="3">
                  <c:v>7</c:v>
                </c:pt>
                <c:pt idx="4">
                  <c:v>6</c:v>
                </c:pt>
                <c:pt idx="5">
                  <c:v>8</c:v>
                </c:pt>
              </c:numCache>
            </c:numRef>
          </c:val>
          <c:smooth val="0"/>
        </c:ser>
        <c:ser>
          <c:idx val="1"/>
          <c:order val="1"/>
          <c:tx>
            <c:v>Dif. Conhecimento total 2014</c:v>
          </c:tx>
          <c:spPr>
            <a:ln w="38100">
              <a:solidFill>
                <a:srgbClr val="64B4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64B400"/>
              </a:solidFill>
              <a:ln>
                <a:solidFill>
                  <a:srgbClr val="64B400"/>
                </a:solidFill>
                <a:prstDash val="solid"/>
              </a:ln>
            </c:spPr>
          </c:marker>
          <c:dLbls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'2010'!$K$38:$P$38</c:f>
              <c:numCache>
                <c:formatCode>General</c:formatCode>
                <c:ptCount val="6"/>
                <c:pt idx="0">
                  <c:v>22</c:v>
                </c:pt>
                <c:pt idx="1">
                  <c:v>24</c:v>
                </c:pt>
                <c:pt idx="2">
                  <c:v>24</c:v>
                </c:pt>
                <c:pt idx="3">
                  <c:v>21</c:v>
                </c:pt>
                <c:pt idx="4">
                  <c:v>18</c:v>
                </c:pt>
                <c:pt idx="5">
                  <c:v>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273152"/>
        <c:axId val="96274688"/>
      </c:lineChart>
      <c:catAx>
        <c:axId val="96273152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6274688"/>
        <c:crosses val="autoZero"/>
        <c:auto val="1"/>
        <c:lblAlgn val="ctr"/>
        <c:lblOffset val="100"/>
        <c:noMultiLvlLbl val="0"/>
      </c:catAx>
      <c:valAx>
        <c:axId val="96274688"/>
        <c:scaling>
          <c:orientation val="minMax"/>
          <c:max val="25"/>
          <c:min val="5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62731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Diferença de conhecimento (alto e médio)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lineChart>
        <c:grouping val="standard"/>
        <c:varyColors val="0"/>
        <c:ser>
          <c:idx val="0"/>
          <c:order val="0"/>
          <c:tx>
            <c:v>Dif. Conhecimento alto e médio 2010</c:v>
          </c:tx>
          <c:spPr>
            <a:ln w="38100">
              <a:solidFill>
                <a:srgbClr val="195A5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195A50"/>
              </a:solidFill>
              <a:ln>
                <a:solidFill>
                  <a:srgbClr val="195A50"/>
                </a:solidFill>
                <a:prstDash val="solid"/>
              </a:ln>
            </c:spPr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'2010'!$K$22:$P$22</c:f>
              <c:numCache>
                <c:formatCode>General</c:formatCode>
                <c:ptCount val="6"/>
                <c:pt idx="0">
                  <c:v>21</c:v>
                </c:pt>
                <c:pt idx="1">
                  <c:v>19</c:v>
                </c:pt>
                <c:pt idx="2">
                  <c:v>19</c:v>
                </c:pt>
                <c:pt idx="3">
                  <c:v>20</c:v>
                </c:pt>
                <c:pt idx="4">
                  <c:v>20</c:v>
                </c:pt>
                <c:pt idx="5">
                  <c:v>19</c:v>
                </c:pt>
              </c:numCache>
            </c:numRef>
          </c:val>
          <c:smooth val="0"/>
        </c:ser>
        <c:ser>
          <c:idx val="1"/>
          <c:order val="1"/>
          <c:tx>
            <c:v>Dif. Conhecimento alto e médio 2014</c:v>
          </c:tx>
          <c:spPr>
            <a:ln w="38100">
              <a:solidFill>
                <a:srgbClr val="64B4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64B400"/>
              </a:solidFill>
              <a:ln>
                <a:solidFill>
                  <a:srgbClr val="64B400"/>
                </a:solidFill>
                <a:prstDash val="solid"/>
              </a:ln>
            </c:spPr>
          </c:marker>
          <c:dLbls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'2010'!$D$21:$I$21</c:f>
              <c:strCache>
                <c:ptCount val="6"/>
                <c:pt idx="0">
                  <c:v>dez</c:v>
                </c:pt>
                <c:pt idx="1">
                  <c:v>fev</c:v>
                </c:pt>
                <c:pt idx="2">
                  <c:v>abr</c:v>
                </c:pt>
                <c:pt idx="3">
                  <c:v>mai</c:v>
                </c:pt>
                <c:pt idx="4">
                  <c:v>jul 1</c:v>
                </c:pt>
                <c:pt idx="5">
                  <c:v>jul 2</c:v>
                </c:pt>
              </c:strCache>
            </c:strRef>
          </c:cat>
          <c:val>
            <c:numRef>
              <c:f>'2010'!$K$34:$P$34</c:f>
              <c:numCache>
                <c:formatCode>General</c:formatCode>
                <c:ptCount val="6"/>
                <c:pt idx="0">
                  <c:v>49</c:v>
                </c:pt>
                <c:pt idx="1">
                  <c:v>48</c:v>
                </c:pt>
                <c:pt idx="2">
                  <c:v>47</c:v>
                </c:pt>
                <c:pt idx="3">
                  <c:v>44</c:v>
                </c:pt>
                <c:pt idx="4">
                  <c:v>40</c:v>
                </c:pt>
                <c:pt idx="5">
                  <c:v>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05152"/>
        <c:axId val="96306688"/>
      </c:lineChart>
      <c:catAx>
        <c:axId val="96305152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6306688"/>
        <c:crosses val="autoZero"/>
        <c:auto val="1"/>
        <c:lblAlgn val="ctr"/>
        <c:lblOffset val="100"/>
        <c:noMultiLvlLbl val="0"/>
      </c:catAx>
      <c:valAx>
        <c:axId val="96306688"/>
        <c:scaling>
          <c:orientation val="minMax"/>
          <c:max val="50"/>
          <c:min val="15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63051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Datafolha de ABRIL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v>Antes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'Transferencia Campos'!$A$36:$A$39</c:f>
              <c:strCache>
                <c:ptCount val="4"/>
                <c:pt idx="0">
                  <c:v>D</c:v>
                </c:pt>
                <c:pt idx="1">
                  <c:v>A</c:v>
                </c:pt>
                <c:pt idx="2">
                  <c:v>C =&gt; M</c:v>
                </c:pt>
                <c:pt idx="3">
                  <c:v>Indec.</c:v>
                </c:pt>
              </c:strCache>
            </c:strRef>
          </c:cat>
          <c:val>
            <c:numRef>
              <c:f>'Transferencia Campos'!$B$36:$B$39</c:f>
              <c:numCache>
                <c:formatCode>General</c:formatCode>
                <c:ptCount val="4"/>
                <c:pt idx="0">
                  <c:v>43</c:v>
                </c:pt>
                <c:pt idx="1">
                  <c:v>18</c:v>
                </c:pt>
                <c:pt idx="2">
                  <c:v>14</c:v>
                </c:pt>
                <c:pt idx="3">
                  <c:v>25</c:v>
                </c:pt>
              </c:numCache>
            </c:numRef>
          </c:val>
        </c:ser>
        <c:ser>
          <c:idx val="1"/>
          <c:order val="1"/>
          <c:tx>
            <c:v>Depois</c:v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'Transferencia Campos'!$B$41:$B$44</c:f>
              <c:numCache>
                <c:formatCode>General</c:formatCode>
                <c:ptCount val="4"/>
                <c:pt idx="0">
                  <c:v>39</c:v>
                </c:pt>
                <c:pt idx="1">
                  <c:v>16</c:v>
                </c:pt>
                <c:pt idx="2">
                  <c:v>27</c:v>
                </c:pt>
                <c:pt idx="3">
                  <c:v>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342016"/>
        <c:axId val="96343552"/>
      </c:barChart>
      <c:catAx>
        <c:axId val="96342016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6343552"/>
        <c:crosses val="autoZero"/>
        <c:auto val="1"/>
        <c:lblAlgn val="ctr"/>
        <c:lblOffset val="100"/>
        <c:noMultiLvlLbl val="0"/>
      </c:catAx>
      <c:valAx>
        <c:axId val="9634355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63420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IBOPE da</a:t>
            </a:r>
            <a:r>
              <a:rPr lang="pt-BR" baseline="0"/>
              <a:t> metade de </a:t>
            </a:r>
            <a:r>
              <a:rPr lang="pt-BR"/>
              <a:t>MARÇO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v>Antes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'Transferencia Campos'!$A$36:$A$39</c:f>
              <c:strCache>
                <c:ptCount val="4"/>
                <c:pt idx="0">
                  <c:v>D</c:v>
                </c:pt>
                <c:pt idx="1">
                  <c:v>A</c:v>
                </c:pt>
                <c:pt idx="2">
                  <c:v>C =&gt; M</c:v>
                </c:pt>
                <c:pt idx="3">
                  <c:v>Indec.</c:v>
                </c:pt>
              </c:strCache>
            </c:strRef>
          </c:cat>
          <c:val>
            <c:numRef>
              <c:f>'Transferencia Campos'!$B$46:$B$49</c:f>
              <c:numCache>
                <c:formatCode>General</c:formatCode>
                <c:ptCount val="4"/>
                <c:pt idx="0">
                  <c:v>43</c:v>
                </c:pt>
                <c:pt idx="1">
                  <c:v>15</c:v>
                </c:pt>
                <c:pt idx="2">
                  <c:v>7</c:v>
                </c:pt>
                <c:pt idx="3">
                  <c:v>36</c:v>
                </c:pt>
              </c:numCache>
            </c:numRef>
          </c:val>
        </c:ser>
        <c:ser>
          <c:idx val="1"/>
          <c:order val="1"/>
          <c:tx>
            <c:v>Depois</c:v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'Transferencia Campos'!$B$51:$B$54</c:f>
              <c:numCache>
                <c:formatCode>General</c:formatCode>
                <c:ptCount val="4"/>
                <c:pt idx="0">
                  <c:v>41</c:v>
                </c:pt>
                <c:pt idx="1">
                  <c:v>14</c:v>
                </c:pt>
                <c:pt idx="2">
                  <c:v>12</c:v>
                </c:pt>
                <c:pt idx="3">
                  <c:v>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357376"/>
        <c:axId val="96367360"/>
      </c:barChart>
      <c:catAx>
        <c:axId val="96357376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6367360"/>
        <c:crosses val="autoZero"/>
        <c:auto val="1"/>
        <c:lblAlgn val="ctr"/>
        <c:lblOffset val="100"/>
        <c:noMultiLvlLbl val="0"/>
      </c:catAx>
      <c:valAx>
        <c:axId val="9636736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635737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v>Antes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'Transferencia Campos'!$I$23:$M$23</c:f>
              <c:strCache>
                <c:ptCount val="5"/>
                <c:pt idx="0">
                  <c:v>Dilma</c:v>
                </c:pt>
                <c:pt idx="1">
                  <c:v>Aecio</c:v>
                </c:pt>
                <c:pt idx="2">
                  <c:v>Campos</c:v>
                </c:pt>
                <c:pt idx="3">
                  <c:v>Outros</c:v>
                </c:pt>
                <c:pt idx="4">
                  <c:v>branco + nulo + indec</c:v>
                </c:pt>
              </c:strCache>
            </c:strRef>
          </c:cat>
          <c:val>
            <c:numRef>
              <c:f>'Transferencia Campos'!$I$24:$M$24</c:f>
              <c:numCache>
                <c:formatCode>General</c:formatCode>
                <c:ptCount val="5"/>
                <c:pt idx="0">
                  <c:v>36</c:v>
                </c:pt>
                <c:pt idx="1">
                  <c:v>20</c:v>
                </c:pt>
                <c:pt idx="2">
                  <c:v>8</c:v>
                </c:pt>
                <c:pt idx="3">
                  <c:v>9</c:v>
                </c:pt>
                <c:pt idx="4">
                  <c:v>27</c:v>
                </c:pt>
              </c:numCache>
            </c:numRef>
          </c:val>
        </c:ser>
        <c:ser>
          <c:idx val="1"/>
          <c:order val="1"/>
          <c:tx>
            <c:v>Depois</c:v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'Transferencia Campos'!$I$23:$M$23</c:f>
              <c:strCache>
                <c:ptCount val="5"/>
                <c:pt idx="0">
                  <c:v>Dilma</c:v>
                </c:pt>
                <c:pt idx="1">
                  <c:v>Aecio</c:v>
                </c:pt>
                <c:pt idx="2">
                  <c:v>Campos</c:v>
                </c:pt>
                <c:pt idx="3">
                  <c:v>Outros</c:v>
                </c:pt>
                <c:pt idx="4">
                  <c:v>branco + nulo + indec</c:v>
                </c:pt>
              </c:strCache>
            </c:strRef>
          </c:cat>
          <c:val>
            <c:numRef>
              <c:f>'Transferencia Campos'!$I$26:$M$26</c:f>
              <c:numCache>
                <c:formatCode>#,##0.0</c:formatCode>
                <c:ptCount val="5"/>
                <c:pt idx="0">
                  <c:v>38.08</c:v>
                </c:pt>
                <c:pt idx="1">
                  <c:v>24.4</c:v>
                </c:pt>
                <c:pt idx="2">
                  <c:v>0</c:v>
                </c:pt>
                <c:pt idx="3">
                  <c:v>9</c:v>
                </c:pt>
                <c:pt idx="4">
                  <c:v>28.52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381184"/>
        <c:axId val="96382976"/>
      </c:barChart>
      <c:catAx>
        <c:axId val="96381184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6382976"/>
        <c:crosses val="autoZero"/>
        <c:auto val="1"/>
        <c:lblAlgn val="ctr"/>
        <c:lblOffset val="100"/>
        <c:noMultiLvlLbl val="0"/>
      </c:catAx>
      <c:valAx>
        <c:axId val="9638297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6381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404040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Intenção de voto por porte do município - 2o turno</a:t>
            </a:r>
          </a:p>
        </c:rich>
      </c:tx>
      <c:layout/>
      <c:overlay val="0"/>
      <c:spPr>
        <a:noFill/>
      </c:sp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Municipio!$J$26</c:f>
              <c:strCache>
                <c:ptCount val="1"/>
                <c:pt idx="0">
                  <c:v>Dilma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Municipio!$A$27:$A$29</c:f>
              <c:strCache>
                <c:ptCount val="3"/>
                <c:pt idx="0">
                  <c:v>Até 50 mil</c:v>
                </c:pt>
                <c:pt idx="1">
                  <c:v>50 a 500 mil</c:v>
                </c:pt>
                <c:pt idx="2">
                  <c:v>Mais de 500 mil</c:v>
                </c:pt>
              </c:strCache>
            </c:strRef>
          </c:cat>
          <c:val>
            <c:numRef>
              <c:f>Municipio!$J$27:$J$29</c:f>
              <c:numCache>
                <c:formatCode>General</c:formatCode>
                <c:ptCount val="3"/>
                <c:pt idx="0">
                  <c:v>49</c:v>
                </c:pt>
                <c:pt idx="1">
                  <c:v>43</c:v>
                </c:pt>
                <c:pt idx="2">
                  <c:v>36</c:v>
                </c:pt>
              </c:numCache>
            </c:numRef>
          </c:val>
        </c:ser>
        <c:ser>
          <c:idx val="1"/>
          <c:order val="1"/>
          <c:tx>
            <c:strRef>
              <c:f>Municipio!$K$26</c:f>
              <c:strCache>
                <c:ptCount val="1"/>
                <c:pt idx="0">
                  <c:v>Aécio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Municipio!$A$27:$A$29</c:f>
              <c:strCache>
                <c:ptCount val="3"/>
                <c:pt idx="0">
                  <c:v>Até 50 mil</c:v>
                </c:pt>
                <c:pt idx="1">
                  <c:v>50 a 500 mil</c:v>
                </c:pt>
                <c:pt idx="2">
                  <c:v>Mais de 500 mil</c:v>
                </c:pt>
              </c:strCache>
            </c:strRef>
          </c:cat>
          <c:val>
            <c:numRef>
              <c:f>Municipio!$K$27:$K$29</c:f>
              <c:numCache>
                <c:formatCode>General</c:formatCode>
                <c:ptCount val="3"/>
                <c:pt idx="0">
                  <c:v>35</c:v>
                </c:pt>
                <c:pt idx="1">
                  <c:v>34</c:v>
                </c:pt>
                <c:pt idx="2">
                  <c:v>38</c:v>
                </c:pt>
              </c:numCache>
            </c:numRef>
          </c:val>
        </c:ser>
        <c:ser>
          <c:idx val="2"/>
          <c:order val="2"/>
          <c:tx>
            <c:strRef>
              <c:f>Municipio!$L$26</c:f>
              <c:strCache>
                <c:ptCount val="1"/>
                <c:pt idx="0">
                  <c:v>Branco/Nulo/Indeciso</c:v>
                </c:pt>
              </c:strCache>
            </c:strRef>
          </c:tx>
          <c:spPr>
            <a:solidFill>
              <a:srgbClr val="FFAA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Municipio!$A$27:$A$29</c:f>
              <c:strCache>
                <c:ptCount val="3"/>
                <c:pt idx="0">
                  <c:v>Até 50 mil</c:v>
                </c:pt>
                <c:pt idx="1">
                  <c:v>50 a 500 mil</c:v>
                </c:pt>
                <c:pt idx="2">
                  <c:v>Mais de 500 mil</c:v>
                </c:pt>
              </c:strCache>
            </c:strRef>
          </c:cat>
          <c:val>
            <c:numRef>
              <c:f>Municipio!$L$27:$L$29</c:f>
              <c:numCache>
                <c:formatCode>General</c:formatCode>
                <c:ptCount val="3"/>
                <c:pt idx="0">
                  <c:v>16</c:v>
                </c:pt>
                <c:pt idx="1">
                  <c:v>23</c:v>
                </c:pt>
                <c:pt idx="2">
                  <c:v>26</c:v>
                </c:pt>
              </c:numCache>
            </c:numRef>
          </c:val>
        </c:ser>
        <c:ser>
          <c:idx val="3"/>
          <c:order val="3"/>
          <c:tx>
            <c:v>Dif. (Dilma - Aécio)</c:v>
          </c:tx>
          <c:spPr>
            <a:solidFill>
              <a:srgbClr val="780032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Municipio!$N$27:$N$29</c:f>
              <c:numCache>
                <c:formatCode>General</c:formatCode>
                <c:ptCount val="3"/>
                <c:pt idx="0">
                  <c:v>14</c:v>
                </c:pt>
                <c:pt idx="1">
                  <c:v>9</c:v>
                </c:pt>
                <c:pt idx="2">
                  <c:v>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9"/>
        <c:axId val="96465664"/>
        <c:axId val="96467200"/>
      </c:barChart>
      <c:catAx>
        <c:axId val="96465664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6467200"/>
        <c:crosses val="autoZero"/>
        <c:auto val="1"/>
        <c:lblAlgn val="ctr"/>
        <c:lblOffset val="100"/>
        <c:noMultiLvlLbl val="0"/>
      </c:catAx>
      <c:valAx>
        <c:axId val="9646720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64656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v>Intenção nova com pesos antigos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Municipio!$J$3:$M$3</c:f>
              <c:strCache>
                <c:ptCount val="4"/>
                <c:pt idx="0">
                  <c:v>Dilma</c:v>
                </c:pt>
                <c:pt idx="1">
                  <c:v>Aécio</c:v>
                </c:pt>
                <c:pt idx="2">
                  <c:v>Branco/Nulo</c:v>
                </c:pt>
                <c:pt idx="3">
                  <c:v>Indeciso</c:v>
                </c:pt>
              </c:strCache>
            </c:strRef>
          </c:cat>
          <c:val>
            <c:numRef>
              <c:f>Municipio!$J$8:$M$8</c:f>
              <c:numCache>
                <c:formatCode>0.0</c:formatCode>
                <c:ptCount val="4"/>
                <c:pt idx="0">
                  <c:v>42.86</c:v>
                </c:pt>
                <c:pt idx="1">
                  <c:v>35.629999999999995</c:v>
                </c:pt>
                <c:pt idx="2">
                  <c:v>14.48</c:v>
                </c:pt>
                <c:pt idx="3">
                  <c:v>7.0299999999999994</c:v>
                </c:pt>
              </c:numCache>
            </c:numRef>
          </c:val>
        </c:ser>
        <c:ser>
          <c:idx val="1"/>
          <c:order val="1"/>
          <c:tx>
            <c:v>Intenção nova com pesos novos</c:v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Municipio!$J$3:$M$3</c:f>
              <c:strCache>
                <c:ptCount val="4"/>
                <c:pt idx="0">
                  <c:v>Dilma</c:v>
                </c:pt>
                <c:pt idx="1">
                  <c:v>Aécio</c:v>
                </c:pt>
                <c:pt idx="2">
                  <c:v>Branco/Nulo</c:v>
                </c:pt>
                <c:pt idx="3">
                  <c:v>Indeciso</c:v>
                </c:pt>
              </c:strCache>
            </c:strRef>
          </c:cat>
          <c:val>
            <c:numRef>
              <c:f>Municipio!$J$9:$M$9</c:f>
              <c:numCache>
                <c:formatCode>0.0</c:formatCode>
                <c:ptCount val="4"/>
                <c:pt idx="0">
                  <c:v>42.089999999999996</c:v>
                </c:pt>
                <c:pt idx="1">
                  <c:v>35.130000000000003</c:v>
                </c:pt>
                <c:pt idx="2">
                  <c:v>14.879999999999999</c:v>
                </c:pt>
                <c:pt idx="3">
                  <c:v>6.8999999999999995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382400"/>
        <c:axId val="97383936"/>
      </c:barChart>
      <c:catAx>
        <c:axId val="97382400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7383936"/>
        <c:crosses val="autoZero"/>
        <c:auto val="1"/>
        <c:lblAlgn val="ctr"/>
        <c:lblOffset val="100"/>
        <c:noMultiLvlLbl val="0"/>
      </c:catAx>
      <c:valAx>
        <c:axId val="9738393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73824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v>Intenção de voto com a ponderação antiga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cat>
            <c:strRef>
              <c:f>Municipio!$J$3:$K$3</c:f>
              <c:strCache>
                <c:ptCount val="2"/>
                <c:pt idx="0">
                  <c:v>Dilma</c:v>
                </c:pt>
                <c:pt idx="1">
                  <c:v>Aécio</c:v>
                </c:pt>
              </c:strCache>
            </c:strRef>
          </c:cat>
          <c:val>
            <c:numRef>
              <c:f>Municipio!$O$8:$P$8</c:f>
              <c:numCache>
                <c:formatCode>0.0%</c:formatCode>
                <c:ptCount val="2"/>
                <c:pt idx="0">
                  <c:v>0.54605682252516252</c:v>
                </c:pt>
                <c:pt idx="1">
                  <c:v>0.45394317747483753</c:v>
                </c:pt>
              </c:numCache>
            </c:numRef>
          </c:val>
        </c:ser>
        <c:ser>
          <c:idx val="1"/>
          <c:order val="1"/>
          <c:tx>
            <c:v>Intenção de voto com a ponderação nova</c:v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cat>
            <c:strRef>
              <c:f>Municipio!$J$3:$K$3</c:f>
              <c:strCache>
                <c:ptCount val="2"/>
                <c:pt idx="0">
                  <c:v>Dilma</c:v>
                </c:pt>
                <c:pt idx="1">
                  <c:v>Aécio</c:v>
                </c:pt>
              </c:strCache>
            </c:strRef>
          </c:cat>
          <c:val>
            <c:numRef>
              <c:f>Municipio!$O$9:$P$9</c:f>
              <c:numCache>
                <c:formatCode>0.0%</c:formatCode>
                <c:ptCount val="2"/>
                <c:pt idx="0">
                  <c:v>0.54506604506604506</c:v>
                </c:pt>
                <c:pt idx="1">
                  <c:v>0.454933954933955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404800"/>
        <c:axId val="97406336"/>
      </c:barChart>
      <c:catAx>
        <c:axId val="97404800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7406336"/>
        <c:crosses val="autoZero"/>
        <c:auto val="1"/>
        <c:lblAlgn val="ctr"/>
        <c:lblOffset val="100"/>
        <c:noMultiLvlLbl val="0"/>
      </c:catAx>
      <c:valAx>
        <c:axId val="9740633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74048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Intenção de votos para</a:t>
            </a:r>
            <a:r>
              <a:rPr lang="pt-BR" baseline="0"/>
              <a:t> Dilma no</a:t>
            </a:r>
            <a:r>
              <a:rPr lang="pt-BR"/>
              <a:t> 1o turno - Votos Válidos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v>IBOPE 21/07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'Sudeste Composto'!$L$27</c:f>
              <c:numCache>
                <c:formatCode>0.0%</c:formatCode>
                <c:ptCount val="1"/>
                <c:pt idx="0">
                  <c:v>0.50666666666666671</c:v>
                </c:pt>
              </c:numCache>
            </c:numRef>
          </c:val>
        </c:ser>
        <c:ser>
          <c:idx val="1"/>
          <c:order val="1"/>
          <c:tx>
            <c:v>IBOPE 07/08</c:v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'Sudeste Composto'!$L$33</c:f>
              <c:numCache>
                <c:formatCode>0.0%</c:formatCode>
                <c:ptCount val="1"/>
                <c:pt idx="0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449472"/>
        <c:axId val="97451008"/>
      </c:barChart>
      <c:catAx>
        <c:axId val="97449472"/>
        <c:scaling>
          <c:orientation val="minMax"/>
        </c:scaling>
        <c:delete val="1"/>
        <c:axPos val="b"/>
        <c:majorTickMark val="out"/>
        <c:minorTickMark val="none"/>
        <c:tickLblPos val="low"/>
        <c:crossAx val="97451008"/>
        <c:crosses val="autoZero"/>
        <c:auto val="1"/>
        <c:lblAlgn val="ctr"/>
        <c:lblOffset val="100"/>
        <c:noMultiLvlLbl val="0"/>
      </c:catAx>
      <c:valAx>
        <c:axId val="9745100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74494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IBOPE 15/06 - Conhecimento e voto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'Aecio - Desconhecimento'!$E$24</c:f>
              <c:strCache>
                <c:ptCount val="1"/>
                <c:pt idx="0">
                  <c:v>Brancos + Nulos + Não sabe</c:v>
                </c:pt>
              </c:strCache>
            </c:strRef>
          </c:tx>
          <c:spPr>
            <a:solidFill>
              <a:srgbClr val="195A50"/>
            </a:solidFill>
            <a:ln w="38100">
              <a:solidFill>
                <a:srgbClr val="195A50"/>
              </a:solidFill>
              <a:prstDash val="solid"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'Aecio - Desconhecimento'!$F$8:$K$8</c:f>
              <c:strCache>
                <c:ptCount val="6"/>
                <c:pt idx="0">
                  <c:v>Total</c:v>
                </c:pt>
                <c:pt idx="1">
                  <c:v>&gt; 10</c:v>
                </c:pt>
                <c:pt idx="2">
                  <c:v>10 -- 5</c:v>
                </c:pt>
                <c:pt idx="3">
                  <c:v>5 -- 2</c:v>
                </c:pt>
                <c:pt idx="4">
                  <c:v>2 -- 1</c:v>
                </c:pt>
                <c:pt idx="5">
                  <c:v>&lt; 1</c:v>
                </c:pt>
              </c:strCache>
            </c:strRef>
          </c:cat>
          <c:val>
            <c:numRef>
              <c:f>'Aecio - Desconhecimento'!$F$24:$K$24</c:f>
              <c:numCache>
                <c:formatCode>0%</c:formatCode>
                <c:ptCount val="6"/>
                <c:pt idx="0">
                  <c:v>0.27</c:v>
                </c:pt>
                <c:pt idx="1">
                  <c:v>0.27</c:v>
                </c:pt>
                <c:pt idx="2">
                  <c:v>0.24000000000000002</c:v>
                </c:pt>
                <c:pt idx="3">
                  <c:v>0.3</c:v>
                </c:pt>
                <c:pt idx="4">
                  <c:v>0.22999999999999998</c:v>
                </c:pt>
                <c:pt idx="5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'Aecio - Desconhecimento'!$E$25</c:f>
              <c:strCache>
                <c:ptCount val="1"/>
                <c:pt idx="0">
                  <c:v>Não conhece o Aécio o suficiente para opinar</c:v>
                </c:pt>
              </c:strCache>
            </c:strRef>
          </c:tx>
          <c:spPr>
            <a:solidFill>
              <a:srgbClr val="64B400"/>
            </a:solidFill>
            <a:ln w="38100">
              <a:solidFill>
                <a:srgbClr val="64B400"/>
              </a:solidFill>
              <a:prstDash val="solid"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'Aecio - Desconhecimento'!$F$8:$K$8</c:f>
              <c:strCache>
                <c:ptCount val="6"/>
                <c:pt idx="0">
                  <c:v>Total</c:v>
                </c:pt>
                <c:pt idx="1">
                  <c:v>&gt; 10</c:v>
                </c:pt>
                <c:pt idx="2">
                  <c:v>10 -- 5</c:v>
                </c:pt>
                <c:pt idx="3">
                  <c:v>5 -- 2</c:v>
                </c:pt>
                <c:pt idx="4">
                  <c:v>2 -- 1</c:v>
                </c:pt>
                <c:pt idx="5">
                  <c:v>&lt; 1</c:v>
                </c:pt>
              </c:strCache>
            </c:strRef>
          </c:cat>
          <c:val>
            <c:numRef>
              <c:f>'Aecio - Desconhecimento'!$F$25:$K$25</c:f>
              <c:numCache>
                <c:formatCode>0%</c:formatCode>
                <c:ptCount val="6"/>
                <c:pt idx="0">
                  <c:v>0.2</c:v>
                </c:pt>
                <c:pt idx="1">
                  <c:v>0.15</c:v>
                </c:pt>
                <c:pt idx="2">
                  <c:v>0.16</c:v>
                </c:pt>
                <c:pt idx="3">
                  <c:v>0.19</c:v>
                </c:pt>
                <c:pt idx="4">
                  <c:v>0.24</c:v>
                </c:pt>
                <c:pt idx="5">
                  <c:v>0.26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855360"/>
        <c:axId val="97856896"/>
      </c:barChart>
      <c:catAx>
        <c:axId val="97855360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7856896"/>
        <c:crosses val="autoZero"/>
        <c:auto val="1"/>
        <c:lblAlgn val="ctr"/>
        <c:lblOffset val="100"/>
        <c:noMultiLvlLbl val="0"/>
      </c:catAx>
      <c:valAx>
        <c:axId val="97856896"/>
        <c:scaling>
          <c:orientation val="minMax"/>
          <c:max val="0.35000000000000003"/>
          <c:min val="0.1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78553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404040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IBOPE 15/06 - Conhecimento e voto por</a:t>
            </a:r>
            <a:r>
              <a:rPr lang="pt-BR" baseline="0"/>
              <a:t> r</a:t>
            </a:r>
            <a:r>
              <a:rPr lang="pt-BR"/>
              <a:t>enda (em salários</a:t>
            </a:r>
            <a:r>
              <a:rPr lang="pt-BR" baseline="0"/>
              <a:t> mínimos)</a:t>
            </a:r>
            <a:endParaRPr lang="pt-BR"/>
          </a:p>
        </c:rich>
      </c:tx>
      <c:layout/>
      <c:overlay val="0"/>
      <c:spPr>
        <a:noFill/>
      </c:sp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'Aecio - Desconhecimento'!$E$16</c:f>
              <c:strCache>
                <c:ptCount val="1"/>
                <c:pt idx="0">
                  <c:v>Dilma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'Aecio - Desconhecimento'!$F$16:$K$16</c:f>
              <c:numCache>
                <c:formatCode>0%</c:formatCode>
                <c:ptCount val="6"/>
                <c:pt idx="0">
                  <c:v>0.43</c:v>
                </c:pt>
                <c:pt idx="1">
                  <c:v>0.28999999999999998</c:v>
                </c:pt>
                <c:pt idx="2">
                  <c:v>0.41</c:v>
                </c:pt>
                <c:pt idx="3">
                  <c:v>0.37</c:v>
                </c:pt>
                <c:pt idx="4">
                  <c:v>0.49</c:v>
                </c:pt>
                <c:pt idx="5">
                  <c:v>0.59</c:v>
                </c:pt>
              </c:numCache>
            </c:numRef>
          </c:val>
        </c:ser>
        <c:ser>
          <c:idx val="2"/>
          <c:order val="1"/>
          <c:tx>
            <c:strRef>
              <c:f>'Aecio - Desconhecimento'!$E$15</c:f>
              <c:strCache>
                <c:ptCount val="1"/>
                <c:pt idx="0">
                  <c:v>Aécio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1958041958041958E-3"/>
                  <c:y val="-4.962779156327543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9.79020979020973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4.1958041958041958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5.5944055944055944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6.993006993006993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'Aecio - Desconhecimento'!$F$15:$K$15</c:f>
              <c:numCache>
                <c:formatCode>0%</c:formatCode>
                <c:ptCount val="6"/>
                <c:pt idx="0">
                  <c:v>0.3</c:v>
                </c:pt>
                <c:pt idx="1">
                  <c:v>0.44</c:v>
                </c:pt>
                <c:pt idx="2">
                  <c:v>0.35</c:v>
                </c:pt>
                <c:pt idx="3">
                  <c:v>0.33</c:v>
                </c:pt>
                <c:pt idx="4">
                  <c:v>0.27</c:v>
                </c:pt>
                <c:pt idx="5">
                  <c:v>0.23</c:v>
                </c:pt>
              </c:numCache>
            </c:numRef>
          </c:val>
        </c:ser>
        <c:ser>
          <c:idx val="0"/>
          <c:order val="2"/>
          <c:tx>
            <c:strRef>
              <c:f>'Aecio - Desconhecimento'!$E$24</c:f>
              <c:strCache>
                <c:ptCount val="1"/>
                <c:pt idx="0">
                  <c:v>Brancos + Nulos + Não sabe</c:v>
                </c:pt>
              </c:strCache>
            </c:strRef>
          </c:tx>
          <c:spPr>
            <a:solidFill>
              <a:srgbClr val="FFAA00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3916083916083916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4.1958041958041958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5.5944055944055944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9.7902097902097911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6.993006993006993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'Aecio - Desconhecimento'!$F$8:$K$8</c:f>
              <c:strCache>
                <c:ptCount val="6"/>
                <c:pt idx="0">
                  <c:v>Total</c:v>
                </c:pt>
                <c:pt idx="1">
                  <c:v>&gt; 10</c:v>
                </c:pt>
                <c:pt idx="2">
                  <c:v>10 -- 5</c:v>
                </c:pt>
                <c:pt idx="3">
                  <c:v>5 -- 2</c:v>
                </c:pt>
                <c:pt idx="4">
                  <c:v>2 -- 1</c:v>
                </c:pt>
                <c:pt idx="5">
                  <c:v>&lt; 1</c:v>
                </c:pt>
              </c:strCache>
            </c:strRef>
          </c:cat>
          <c:val>
            <c:numRef>
              <c:f>'Aecio - Desconhecimento'!$F$24:$K$24</c:f>
              <c:numCache>
                <c:formatCode>0%</c:formatCode>
                <c:ptCount val="6"/>
                <c:pt idx="0">
                  <c:v>0.27</c:v>
                </c:pt>
                <c:pt idx="1">
                  <c:v>0.27</c:v>
                </c:pt>
                <c:pt idx="2">
                  <c:v>0.24000000000000002</c:v>
                </c:pt>
                <c:pt idx="3">
                  <c:v>0.3</c:v>
                </c:pt>
                <c:pt idx="4">
                  <c:v>0.22999999999999998</c:v>
                </c:pt>
                <c:pt idx="5">
                  <c:v>0.18</c:v>
                </c:pt>
              </c:numCache>
            </c:numRef>
          </c:val>
        </c:ser>
        <c:ser>
          <c:idx val="1"/>
          <c:order val="3"/>
          <c:tx>
            <c:strRef>
              <c:f>'Aecio - Desconhecimento'!$E$25</c:f>
              <c:strCache>
                <c:ptCount val="1"/>
                <c:pt idx="0">
                  <c:v>Não conhece o Aécio o suficiente para opinar</c:v>
                </c:pt>
              </c:strCache>
            </c:strRef>
          </c:tx>
          <c:spPr>
            <a:solidFill>
              <a:srgbClr val="780032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3916083916083916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1.6783216783216783E-2"/>
                  <c:y val="-2.481389578163771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'Aecio - Desconhecimento'!$F$8:$K$8</c:f>
              <c:strCache>
                <c:ptCount val="6"/>
                <c:pt idx="0">
                  <c:v>Total</c:v>
                </c:pt>
                <c:pt idx="1">
                  <c:v>&gt; 10</c:v>
                </c:pt>
                <c:pt idx="2">
                  <c:v>10 -- 5</c:v>
                </c:pt>
                <c:pt idx="3">
                  <c:v>5 -- 2</c:v>
                </c:pt>
                <c:pt idx="4">
                  <c:v>2 -- 1</c:v>
                </c:pt>
                <c:pt idx="5">
                  <c:v>&lt; 1</c:v>
                </c:pt>
              </c:strCache>
            </c:strRef>
          </c:cat>
          <c:val>
            <c:numRef>
              <c:f>'Aecio - Desconhecimento'!$F$25:$K$25</c:f>
              <c:numCache>
                <c:formatCode>0%</c:formatCode>
                <c:ptCount val="6"/>
                <c:pt idx="0">
                  <c:v>0.2</c:v>
                </c:pt>
                <c:pt idx="1">
                  <c:v>0.15</c:v>
                </c:pt>
                <c:pt idx="2">
                  <c:v>0.16</c:v>
                </c:pt>
                <c:pt idx="3">
                  <c:v>0.19</c:v>
                </c:pt>
                <c:pt idx="4">
                  <c:v>0.24</c:v>
                </c:pt>
                <c:pt idx="5">
                  <c:v>0.26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938816"/>
        <c:axId val="97940608"/>
      </c:barChart>
      <c:catAx>
        <c:axId val="97938816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7940608"/>
        <c:crosses val="autoZero"/>
        <c:auto val="1"/>
        <c:lblAlgn val="ctr"/>
        <c:lblOffset val="100"/>
        <c:noMultiLvlLbl val="0"/>
      </c:catAx>
      <c:valAx>
        <c:axId val="9794060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79388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IBOPE 15/06 - Conhecimento e voto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'Aecio - Desconhecimento'!$E$15</c:f>
              <c:strCache>
                <c:ptCount val="1"/>
                <c:pt idx="0">
                  <c:v>Aécio</c:v>
                </c:pt>
              </c:strCache>
            </c:strRef>
          </c:tx>
          <c:spPr>
            <a:solidFill>
              <a:srgbClr val="195A50"/>
            </a:solidFill>
            <a:ln w="38100">
              <a:solidFill>
                <a:srgbClr val="195A50"/>
              </a:solidFill>
              <a:prstDash val="solid"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'Aecio - Desconhecimento'!$F$8:$K$8</c:f>
              <c:strCache>
                <c:ptCount val="6"/>
                <c:pt idx="0">
                  <c:v>Total</c:v>
                </c:pt>
                <c:pt idx="1">
                  <c:v>&gt; 10</c:v>
                </c:pt>
                <c:pt idx="2">
                  <c:v>10 -- 5</c:v>
                </c:pt>
                <c:pt idx="3">
                  <c:v>5 -- 2</c:v>
                </c:pt>
                <c:pt idx="4">
                  <c:v>2 -- 1</c:v>
                </c:pt>
                <c:pt idx="5">
                  <c:v>&lt; 1</c:v>
                </c:pt>
              </c:strCache>
            </c:strRef>
          </c:cat>
          <c:val>
            <c:numRef>
              <c:f>'Aecio - Desconhecimento'!$F$15:$K$15</c:f>
              <c:numCache>
                <c:formatCode>0%</c:formatCode>
                <c:ptCount val="6"/>
                <c:pt idx="0">
                  <c:v>0.3</c:v>
                </c:pt>
                <c:pt idx="1">
                  <c:v>0.44</c:v>
                </c:pt>
                <c:pt idx="2">
                  <c:v>0.35</c:v>
                </c:pt>
                <c:pt idx="3">
                  <c:v>0.33</c:v>
                </c:pt>
                <c:pt idx="4">
                  <c:v>0.27</c:v>
                </c:pt>
                <c:pt idx="5">
                  <c:v>0.23</c:v>
                </c:pt>
              </c:numCache>
            </c:numRef>
          </c:val>
        </c:ser>
        <c:ser>
          <c:idx val="1"/>
          <c:order val="1"/>
          <c:tx>
            <c:strRef>
              <c:f>'Aecio - Desconhecimento'!$E$25</c:f>
              <c:strCache>
                <c:ptCount val="1"/>
                <c:pt idx="0">
                  <c:v>Não conhece o Aécio o suficiente para opinar</c:v>
                </c:pt>
              </c:strCache>
            </c:strRef>
          </c:tx>
          <c:spPr>
            <a:solidFill>
              <a:srgbClr val="64B400"/>
            </a:solidFill>
            <a:ln w="38100">
              <a:solidFill>
                <a:srgbClr val="64B400"/>
              </a:solidFill>
              <a:prstDash val="solid"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'Aecio - Desconhecimento'!$F$8:$K$8</c:f>
              <c:strCache>
                <c:ptCount val="6"/>
                <c:pt idx="0">
                  <c:v>Total</c:v>
                </c:pt>
                <c:pt idx="1">
                  <c:v>&gt; 10</c:v>
                </c:pt>
                <c:pt idx="2">
                  <c:v>10 -- 5</c:v>
                </c:pt>
                <c:pt idx="3">
                  <c:v>5 -- 2</c:v>
                </c:pt>
                <c:pt idx="4">
                  <c:v>2 -- 1</c:v>
                </c:pt>
                <c:pt idx="5">
                  <c:v>&lt; 1</c:v>
                </c:pt>
              </c:strCache>
            </c:strRef>
          </c:cat>
          <c:val>
            <c:numRef>
              <c:f>'Aecio - Desconhecimento'!$F$25:$K$25</c:f>
              <c:numCache>
                <c:formatCode>0%</c:formatCode>
                <c:ptCount val="6"/>
                <c:pt idx="0">
                  <c:v>0.2</c:v>
                </c:pt>
                <c:pt idx="1">
                  <c:v>0.15</c:v>
                </c:pt>
                <c:pt idx="2">
                  <c:v>0.16</c:v>
                </c:pt>
                <c:pt idx="3">
                  <c:v>0.19</c:v>
                </c:pt>
                <c:pt idx="4">
                  <c:v>0.24</c:v>
                </c:pt>
                <c:pt idx="5">
                  <c:v>0.26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958528"/>
        <c:axId val="97960320"/>
      </c:barChart>
      <c:catAx>
        <c:axId val="97958528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7960320"/>
        <c:crosses val="autoZero"/>
        <c:auto val="1"/>
        <c:lblAlgn val="ctr"/>
        <c:lblOffset val="100"/>
        <c:noMultiLvlLbl val="0"/>
      </c:catAx>
      <c:valAx>
        <c:axId val="9796032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79585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404040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Dilma - Intenção de Voto</a:t>
            </a:r>
          </a:p>
        </c:rich>
      </c:tx>
      <c:layout/>
      <c:overlay val="0"/>
      <c:spPr>
        <a:noFill/>
      </c:sp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Sheet1!$G$6</c:f>
              <c:strCache>
                <c:ptCount val="1"/>
                <c:pt idx="0">
                  <c:v>08/05/2014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Sheet1!$F$7:$F$11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Sheet1!$G$7:$G$11</c:f>
              <c:numCache>
                <c:formatCode>General</c:formatCode>
                <c:ptCount val="5"/>
                <c:pt idx="0">
                  <c:v>30</c:v>
                </c:pt>
                <c:pt idx="1">
                  <c:v>29</c:v>
                </c:pt>
                <c:pt idx="2">
                  <c:v>52</c:v>
                </c:pt>
                <c:pt idx="3">
                  <c:v>30</c:v>
                </c:pt>
                <c:pt idx="4">
                  <c:v>53</c:v>
                </c:pt>
              </c:numCache>
            </c:numRef>
          </c:val>
        </c:ser>
        <c:ser>
          <c:idx val="1"/>
          <c:order val="1"/>
          <c:tx>
            <c:strRef>
              <c:f>Sheet1!$H$6</c:f>
              <c:strCache>
                <c:ptCount val="1"/>
                <c:pt idx="0">
                  <c:v>06/06/2014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Sheet1!$F$7:$F$11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Sheet1!$H$7:$H$11</c:f>
              <c:numCache>
                <c:formatCode>General</c:formatCode>
                <c:ptCount val="5"/>
                <c:pt idx="0">
                  <c:v>26</c:v>
                </c:pt>
                <c:pt idx="1">
                  <c:v>31</c:v>
                </c:pt>
                <c:pt idx="2">
                  <c:v>48</c:v>
                </c:pt>
                <c:pt idx="3">
                  <c:v>34</c:v>
                </c:pt>
                <c:pt idx="4">
                  <c:v>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466432"/>
        <c:axId val="98468224"/>
      </c:barChart>
      <c:catAx>
        <c:axId val="98466432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8468224"/>
        <c:crosses val="autoZero"/>
        <c:auto val="1"/>
        <c:lblAlgn val="ctr"/>
        <c:lblOffset val="100"/>
        <c:noMultiLvlLbl val="0"/>
      </c:catAx>
      <c:valAx>
        <c:axId val="9846822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84664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404040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Aécio - Intenção de Voto</a:t>
            </a:r>
          </a:p>
        </c:rich>
      </c:tx>
      <c:overlay val="0"/>
      <c:spPr>
        <a:noFill/>
      </c:sp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Sheet1!$I$6</c:f>
              <c:strCache>
                <c:ptCount val="1"/>
                <c:pt idx="0">
                  <c:v>08/05/2014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Sheet1!$F$7:$F$11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Sheet1!$I$7:$I$11</c:f>
              <c:numCache>
                <c:formatCode>General</c:formatCode>
                <c:ptCount val="5"/>
                <c:pt idx="0">
                  <c:v>27</c:v>
                </c:pt>
                <c:pt idx="1">
                  <c:v>19</c:v>
                </c:pt>
                <c:pt idx="2">
                  <c:v>12</c:v>
                </c:pt>
                <c:pt idx="3">
                  <c:v>22</c:v>
                </c:pt>
                <c:pt idx="4">
                  <c:v>13</c:v>
                </c:pt>
              </c:numCache>
            </c:numRef>
          </c:val>
        </c:ser>
        <c:ser>
          <c:idx val="1"/>
          <c:order val="1"/>
          <c:tx>
            <c:strRef>
              <c:f>Sheet1!$J$6</c:f>
              <c:strCache>
                <c:ptCount val="1"/>
                <c:pt idx="0">
                  <c:v>06/06/2014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Sheet1!$F$7:$F$11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Sheet1!$J$7:$J$11</c:f>
              <c:numCache>
                <c:formatCode>General</c:formatCode>
                <c:ptCount val="5"/>
                <c:pt idx="0">
                  <c:v>25</c:v>
                </c:pt>
                <c:pt idx="1">
                  <c:v>21</c:v>
                </c:pt>
                <c:pt idx="2">
                  <c:v>10</c:v>
                </c:pt>
                <c:pt idx="3">
                  <c:v>19</c:v>
                </c:pt>
                <c:pt idx="4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830208"/>
        <c:axId val="98831744"/>
      </c:barChart>
      <c:catAx>
        <c:axId val="98830208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8831744"/>
        <c:crosses val="autoZero"/>
        <c:auto val="1"/>
        <c:lblAlgn val="ctr"/>
        <c:lblOffset val="100"/>
        <c:noMultiLvlLbl val="0"/>
      </c:catAx>
      <c:valAx>
        <c:axId val="9883174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88302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404040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Campos - Intenção de Voto</a:t>
            </a:r>
          </a:p>
        </c:rich>
      </c:tx>
      <c:overlay val="0"/>
      <c:spPr>
        <a:noFill/>
      </c:sp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Sheet1!$K$6</c:f>
              <c:strCache>
                <c:ptCount val="1"/>
                <c:pt idx="0">
                  <c:v>08/05/2014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Sheet1!$F$7:$F$11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Sheet1!$K$7:$K$11</c:f>
              <c:numCache>
                <c:formatCode>General</c:formatCode>
                <c:ptCount val="5"/>
                <c:pt idx="0">
                  <c:v>7</c:v>
                </c:pt>
                <c:pt idx="1">
                  <c:v>8</c:v>
                </c:pt>
                <c:pt idx="2">
                  <c:v>16</c:v>
                </c:pt>
                <c:pt idx="3">
                  <c:v>15</c:v>
                </c:pt>
                <c:pt idx="4">
                  <c:v>11</c:v>
                </c:pt>
              </c:numCache>
            </c:numRef>
          </c:val>
        </c:ser>
        <c:ser>
          <c:idx val="1"/>
          <c:order val="1"/>
          <c:tx>
            <c:strRef>
              <c:f>Sheet1!$L$6</c:f>
              <c:strCache>
                <c:ptCount val="1"/>
                <c:pt idx="0">
                  <c:v>06/06/2014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Sheet1!$F$7:$F$11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Sheet1!$L$7:$L$11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11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854016"/>
        <c:axId val="98855552"/>
      </c:barChart>
      <c:catAx>
        <c:axId val="98854016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8855552"/>
        <c:crosses val="autoZero"/>
        <c:auto val="1"/>
        <c:lblAlgn val="ctr"/>
        <c:lblOffset val="100"/>
        <c:noMultiLvlLbl val="0"/>
      </c:catAx>
      <c:valAx>
        <c:axId val="9885555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88540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Brasil - Intenção</a:t>
            </a:r>
            <a:r>
              <a:rPr lang="pt-BR" baseline="0"/>
              <a:t> de Voto</a:t>
            </a:r>
            <a:endParaRPr lang="pt-BR"/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v>Dilma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Sheet1!$U$6:$V$6</c:f>
              <c:strCache>
                <c:ptCount val="2"/>
                <c:pt idx="0">
                  <c:v>08/05/2014</c:v>
                </c:pt>
                <c:pt idx="1">
                  <c:v>06/06/2014</c:v>
                </c:pt>
              </c:strCache>
            </c:strRef>
          </c:cat>
          <c:val>
            <c:numRef>
              <c:f>Sheet1!$Q$7:$R$7</c:f>
              <c:numCache>
                <c:formatCode>0.00</c:formatCode>
                <c:ptCount val="2"/>
                <c:pt idx="0">
                  <c:v>37.881</c:v>
                </c:pt>
                <c:pt idx="1">
                  <c:v>34.922000000000004</c:v>
                </c:pt>
              </c:numCache>
            </c:numRef>
          </c:val>
        </c:ser>
        <c:ser>
          <c:idx val="1"/>
          <c:order val="1"/>
          <c:tx>
            <c:strRef>
              <c:f>Sheet1!$S$5</c:f>
              <c:strCache>
                <c:ptCount val="1"/>
                <c:pt idx="0">
                  <c:v>Aécio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Sheet1!$U$6:$V$6</c:f>
              <c:strCache>
                <c:ptCount val="2"/>
                <c:pt idx="0">
                  <c:v>08/05/2014</c:v>
                </c:pt>
                <c:pt idx="1">
                  <c:v>06/06/2014</c:v>
                </c:pt>
              </c:strCache>
            </c:strRef>
          </c:cat>
          <c:val>
            <c:numRef>
              <c:f>Sheet1!$S$7:$T$7</c:f>
              <c:numCache>
                <c:formatCode>0.00</c:formatCode>
                <c:ptCount val="2"/>
                <c:pt idx="0">
                  <c:v>20.146000000000001</c:v>
                </c:pt>
                <c:pt idx="1">
                  <c:v>19.146000000000001</c:v>
                </c:pt>
              </c:numCache>
            </c:numRef>
          </c:val>
        </c:ser>
        <c:ser>
          <c:idx val="2"/>
          <c:order val="2"/>
          <c:tx>
            <c:strRef>
              <c:f>Sheet1!$U$5</c:f>
              <c:strCache>
                <c:ptCount val="1"/>
                <c:pt idx="0">
                  <c:v>Campos</c:v>
                </c:pt>
              </c:strCache>
            </c:strRef>
          </c:tx>
          <c:spPr>
            <a:solidFill>
              <a:srgbClr val="FFAA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Sheet1!$U$6:$V$6</c:f>
              <c:strCache>
                <c:ptCount val="2"/>
                <c:pt idx="0">
                  <c:v>08/05/2014</c:v>
                </c:pt>
                <c:pt idx="1">
                  <c:v>06/06/2014</c:v>
                </c:pt>
              </c:strCache>
            </c:strRef>
          </c:cat>
          <c:val>
            <c:numRef>
              <c:f>Sheet1!$U$7:$V$7</c:f>
              <c:numCache>
                <c:formatCode>0.00</c:formatCode>
                <c:ptCount val="2"/>
                <c:pt idx="0">
                  <c:v>10.57</c:v>
                </c:pt>
                <c:pt idx="1">
                  <c:v>6.6219999999999999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891264"/>
        <c:axId val="98892800"/>
      </c:barChart>
      <c:catAx>
        <c:axId val="98891264"/>
        <c:scaling>
          <c:orientation val="minMax"/>
          <c:max val="2"/>
          <c:min val="1"/>
        </c:scaling>
        <c:delete val="0"/>
        <c:axPos val="b"/>
        <c:numFmt formatCode="m/d/yyyy" sourceLinked="1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8892800"/>
        <c:crosses val="autoZero"/>
        <c:auto val="1"/>
        <c:lblAlgn val="ctr"/>
        <c:lblOffset val="100"/>
        <c:noMultiLvlLbl val="0"/>
      </c:catAx>
      <c:valAx>
        <c:axId val="9889280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88912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Brasil Ex-SE - Intenção</a:t>
            </a:r>
            <a:r>
              <a:rPr lang="pt-BR" baseline="0"/>
              <a:t> de Voto</a:t>
            </a:r>
            <a:endParaRPr lang="pt-BR"/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Sheet1!$Q$5</c:f>
              <c:strCache>
                <c:ptCount val="1"/>
                <c:pt idx="0">
                  <c:v>Dilma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Sheet1!$U$6:$V$6</c:f>
              <c:strCache>
                <c:ptCount val="2"/>
                <c:pt idx="0">
                  <c:v>08/05/2014</c:v>
                </c:pt>
                <c:pt idx="1">
                  <c:v>06/06/2014</c:v>
                </c:pt>
              </c:strCache>
            </c:strRef>
          </c:cat>
          <c:val>
            <c:numRef>
              <c:f>Sheet1!$Q$9:$R$9</c:f>
              <c:numCache>
                <c:formatCode>0.00</c:formatCode>
                <c:ptCount val="2"/>
                <c:pt idx="0">
                  <c:v>43.611398963730565</c:v>
                </c:pt>
                <c:pt idx="1">
                  <c:v>41.409326424870457</c:v>
                </c:pt>
              </c:numCache>
            </c:numRef>
          </c:val>
        </c:ser>
        <c:ser>
          <c:idx val="1"/>
          <c:order val="1"/>
          <c:tx>
            <c:strRef>
              <c:f>Sheet1!$S$5</c:f>
              <c:strCache>
                <c:ptCount val="1"/>
                <c:pt idx="0">
                  <c:v>Aécio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Sheet1!$U$6:$V$6</c:f>
              <c:strCache>
                <c:ptCount val="2"/>
                <c:pt idx="0">
                  <c:v>08/05/2014</c:v>
                </c:pt>
                <c:pt idx="1">
                  <c:v>06/06/2014</c:v>
                </c:pt>
              </c:strCache>
            </c:strRef>
          </c:cat>
          <c:val>
            <c:numRef>
              <c:f>Sheet1!$S$9:$T$9</c:f>
              <c:numCache>
                <c:formatCode>0.00</c:formatCode>
                <c:ptCount val="2"/>
                <c:pt idx="0">
                  <c:v>15.162348877374782</c:v>
                </c:pt>
                <c:pt idx="1">
                  <c:v>14.889464594127805</c:v>
                </c:pt>
              </c:numCache>
            </c:numRef>
          </c:val>
        </c:ser>
        <c:ser>
          <c:idx val="2"/>
          <c:order val="2"/>
          <c:tx>
            <c:strRef>
              <c:f>Sheet1!$U$5</c:f>
              <c:strCache>
                <c:ptCount val="1"/>
                <c:pt idx="0">
                  <c:v>Campos</c:v>
                </c:pt>
              </c:strCache>
            </c:strRef>
          </c:tx>
          <c:spPr>
            <a:solidFill>
              <a:srgbClr val="FFAA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Sheet1!$U$6:$V$6</c:f>
              <c:strCache>
                <c:ptCount val="2"/>
                <c:pt idx="0">
                  <c:v>08/05/2014</c:v>
                </c:pt>
                <c:pt idx="1">
                  <c:v>06/06/2014</c:v>
                </c:pt>
              </c:strCache>
            </c:strRef>
          </c:cat>
          <c:val>
            <c:numRef>
              <c:f>Sheet1!$U$9:$V$9</c:f>
              <c:numCache>
                <c:formatCode>0.00</c:formatCode>
                <c:ptCount val="2"/>
                <c:pt idx="0">
                  <c:v>13.165803108808291</c:v>
                </c:pt>
                <c:pt idx="1">
                  <c:v>8.528497409326425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998144"/>
        <c:axId val="98999680"/>
      </c:barChart>
      <c:catAx>
        <c:axId val="98998144"/>
        <c:scaling>
          <c:orientation val="minMax"/>
          <c:max val="2"/>
          <c:min val="1"/>
        </c:scaling>
        <c:delete val="0"/>
        <c:axPos val="b"/>
        <c:numFmt formatCode="m/d/yyyy" sourceLinked="1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8999680"/>
        <c:crosses val="autoZero"/>
        <c:auto val="1"/>
        <c:lblAlgn val="ctr"/>
        <c:lblOffset val="100"/>
        <c:noMultiLvlLbl val="0"/>
      </c:catAx>
      <c:valAx>
        <c:axId val="9899968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899814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Segundo Turno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Sheet1!$Z$5</c:f>
              <c:strCache>
                <c:ptCount val="1"/>
                <c:pt idx="0">
                  <c:v>Dilma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Sheet1!$Z$6:$AA$6</c:f>
              <c:strCache>
                <c:ptCount val="2"/>
                <c:pt idx="0">
                  <c:v>08/05/2014</c:v>
                </c:pt>
                <c:pt idx="1">
                  <c:v>06/06/2014</c:v>
                </c:pt>
              </c:strCache>
            </c:strRef>
          </c:cat>
          <c:val>
            <c:numRef>
              <c:f>Sheet1!$Z$7:$AA$7</c:f>
              <c:numCache>
                <c:formatCode>General</c:formatCode>
                <c:ptCount val="2"/>
                <c:pt idx="0">
                  <c:v>47</c:v>
                </c:pt>
                <c:pt idx="1">
                  <c:v>46</c:v>
                </c:pt>
              </c:numCache>
            </c:numRef>
          </c:val>
        </c:ser>
        <c:ser>
          <c:idx val="1"/>
          <c:order val="1"/>
          <c:tx>
            <c:strRef>
              <c:f>Sheet1!$AB$5</c:f>
              <c:strCache>
                <c:ptCount val="1"/>
                <c:pt idx="0">
                  <c:v>Aécio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Sheet1!$AB$7:$AC$7</c:f>
              <c:numCache>
                <c:formatCode>General</c:formatCode>
                <c:ptCount val="2"/>
                <c:pt idx="0">
                  <c:v>36</c:v>
                </c:pt>
                <c:pt idx="1">
                  <c:v>38</c:v>
                </c:pt>
              </c:numCache>
            </c:numRef>
          </c:val>
        </c:ser>
        <c:ser>
          <c:idx val="2"/>
          <c:order val="2"/>
          <c:tx>
            <c:strRef>
              <c:f>Sheet1!$AD$5</c:f>
              <c:strCache>
                <c:ptCount val="1"/>
                <c:pt idx="0">
                  <c:v>Brancos e Nulos</c:v>
                </c:pt>
              </c:strCache>
            </c:strRef>
          </c:tx>
          <c:spPr>
            <a:solidFill>
              <a:srgbClr val="FFAA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Sheet1!$AD$7:$AE$7</c:f>
              <c:numCache>
                <c:formatCode>General</c:formatCode>
                <c:ptCount val="2"/>
                <c:pt idx="0">
                  <c:v>12</c:v>
                </c:pt>
                <c:pt idx="1">
                  <c:v>11</c:v>
                </c:pt>
              </c:numCache>
            </c:numRef>
          </c:val>
        </c:ser>
        <c:ser>
          <c:idx val="3"/>
          <c:order val="3"/>
          <c:tx>
            <c:strRef>
              <c:f>Sheet1!$AF$5</c:f>
              <c:strCache>
                <c:ptCount val="1"/>
                <c:pt idx="0">
                  <c:v>Não Sabe</c:v>
                </c:pt>
              </c:strCache>
            </c:strRef>
          </c:tx>
          <c:spPr>
            <a:solidFill>
              <a:srgbClr val="780032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Sheet1!$AF$7:$AG$7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032448"/>
        <c:axId val="99046528"/>
      </c:barChart>
      <c:catAx>
        <c:axId val="990324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9046528"/>
        <c:crosses val="autoZero"/>
        <c:auto val="1"/>
        <c:lblAlgn val="ctr"/>
        <c:lblOffset val="100"/>
        <c:noMultiLvlLbl val="0"/>
      </c:catAx>
      <c:valAx>
        <c:axId val="9904652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90324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Segundo Turno - Votos Válidos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Sheet1!$Z$5</c:f>
              <c:strCache>
                <c:ptCount val="1"/>
                <c:pt idx="0">
                  <c:v>Dilma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Sheet1!$Z$6:$AA$6</c:f>
              <c:strCache>
                <c:ptCount val="2"/>
                <c:pt idx="0">
                  <c:v>08/05/2014</c:v>
                </c:pt>
                <c:pt idx="1">
                  <c:v>06/06/2014</c:v>
                </c:pt>
              </c:strCache>
            </c:strRef>
          </c:cat>
          <c:val>
            <c:numRef>
              <c:f>Sheet1!$Z$9:$AA$9</c:f>
              <c:numCache>
                <c:formatCode>#,##0.00</c:formatCode>
                <c:ptCount val="2"/>
                <c:pt idx="0">
                  <c:v>56.626506024096393</c:v>
                </c:pt>
                <c:pt idx="1">
                  <c:v>54.761904761904766</c:v>
                </c:pt>
              </c:numCache>
            </c:numRef>
          </c:val>
        </c:ser>
        <c:ser>
          <c:idx val="1"/>
          <c:order val="1"/>
          <c:tx>
            <c:strRef>
              <c:f>Sheet1!$AB$5</c:f>
              <c:strCache>
                <c:ptCount val="1"/>
                <c:pt idx="0">
                  <c:v>Aécio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Sheet1!$AB$9:$AC$9</c:f>
              <c:numCache>
                <c:formatCode>#,##0.00</c:formatCode>
                <c:ptCount val="2"/>
                <c:pt idx="0">
                  <c:v>43.373493975903614</c:v>
                </c:pt>
                <c:pt idx="1">
                  <c:v>45.238095238095241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068544"/>
        <c:axId val="99086720"/>
      </c:barChart>
      <c:catAx>
        <c:axId val="990685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9086720"/>
        <c:crosses val="autoZero"/>
        <c:auto val="1"/>
        <c:lblAlgn val="ctr"/>
        <c:lblOffset val="100"/>
        <c:noMultiLvlLbl val="0"/>
      </c:catAx>
      <c:valAx>
        <c:axId val="9908672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#,##0.00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906854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Segundo Turno - PT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1"/>
          <c:order val="0"/>
          <c:tx>
            <c:v>Dilma 2010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cat>
            <c:strRef>
              <c:f>Sheet1!$F$17:$F$21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Sheet1!$L$25:$L$29</c:f>
              <c:numCache>
                <c:formatCode>#,##0.00</c:formatCode>
                <c:ptCount val="5"/>
                <c:pt idx="0">
                  <c:v>51.876380326008373</c:v>
                </c:pt>
                <c:pt idx="1">
                  <c:v>46.109023172993517</c:v>
                </c:pt>
                <c:pt idx="2">
                  <c:v>70.578842800636593</c:v>
                </c:pt>
                <c:pt idx="3">
                  <c:v>49.079758627739942</c:v>
                </c:pt>
                <c:pt idx="4">
                  <c:v>57.429062658651773</c:v>
                </c:pt>
              </c:numCache>
            </c:numRef>
          </c:val>
        </c:ser>
        <c:ser>
          <c:idx val="0"/>
          <c:order val="1"/>
          <c:tx>
            <c:v>Dilma 2014</c:v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cat>
            <c:strRef>
              <c:f>Sheet1!$F$17:$F$21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Sheet1!$L$17:$L$21</c:f>
              <c:numCache>
                <c:formatCode>0.00</c:formatCode>
                <c:ptCount val="5"/>
                <c:pt idx="0">
                  <c:v>44.444444444444443</c:v>
                </c:pt>
                <c:pt idx="1">
                  <c:v>48.192771084337352</c:v>
                </c:pt>
                <c:pt idx="2">
                  <c:v>74.712643678160916</c:v>
                </c:pt>
                <c:pt idx="3">
                  <c:v>50</c:v>
                </c:pt>
                <c:pt idx="4">
                  <c:v>63.636363636363633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103872"/>
        <c:axId val="99105408"/>
      </c:barChart>
      <c:catAx>
        <c:axId val="99103872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9105408"/>
        <c:crosses val="autoZero"/>
        <c:auto val="1"/>
        <c:lblAlgn val="ctr"/>
        <c:lblOffset val="100"/>
        <c:noMultiLvlLbl val="0"/>
      </c:catAx>
      <c:valAx>
        <c:axId val="9910540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#,##0.00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91038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404040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Segundo turno - PSDB</a:t>
            </a:r>
          </a:p>
        </c:rich>
      </c:tx>
      <c:overlay val="0"/>
      <c:spPr>
        <a:noFill/>
      </c:sp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1"/>
          <c:order val="0"/>
          <c:tx>
            <c:v>Serra 2010</c:v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val>
            <c:numRef>
              <c:f>Sheet1!$M$25:$M$29</c:f>
              <c:numCache>
                <c:formatCode>#,##0.00</c:formatCode>
                <c:ptCount val="5"/>
                <c:pt idx="0">
                  <c:v>48.123619673991627</c:v>
                </c:pt>
                <c:pt idx="1">
                  <c:v>53.89097682700649</c:v>
                </c:pt>
                <c:pt idx="2">
                  <c:v>29.421157199363396</c:v>
                </c:pt>
                <c:pt idx="3">
                  <c:v>50.920241372260058</c:v>
                </c:pt>
                <c:pt idx="4">
                  <c:v>42.570937341348227</c:v>
                </c:pt>
              </c:numCache>
            </c:numRef>
          </c:val>
        </c:ser>
        <c:ser>
          <c:idx val="0"/>
          <c:order val="1"/>
          <c:tx>
            <c:v>Aécio 2014</c:v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cat>
            <c:strRef>
              <c:f>Sheet1!$F$17:$F$21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Sheet1!$M$17:$M$21</c:f>
              <c:numCache>
                <c:formatCode>0.00</c:formatCode>
                <c:ptCount val="5"/>
                <c:pt idx="0">
                  <c:v>55.55555555555555</c:v>
                </c:pt>
                <c:pt idx="1">
                  <c:v>51.807228915662655</c:v>
                </c:pt>
                <c:pt idx="2">
                  <c:v>25.287356321839081</c:v>
                </c:pt>
                <c:pt idx="3">
                  <c:v>50</c:v>
                </c:pt>
                <c:pt idx="4">
                  <c:v>36.363636363636367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122560"/>
        <c:axId val="99124352"/>
      </c:barChart>
      <c:catAx>
        <c:axId val="99122560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9124352"/>
        <c:crosses val="autoZero"/>
        <c:auto val="1"/>
        <c:lblAlgn val="ctr"/>
        <c:lblOffset val="100"/>
        <c:noMultiLvlLbl val="0"/>
      </c:catAx>
      <c:valAx>
        <c:axId val="9912435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#,##0.00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91225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Intenção</a:t>
            </a:r>
            <a:r>
              <a:rPr lang="pt-BR" baseline="0"/>
              <a:t> de voto - segundo turno 2014</a:t>
            </a:r>
            <a:endParaRPr lang="pt-BR"/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Sheet1!$I$16</c:f>
              <c:strCache>
                <c:ptCount val="1"/>
                <c:pt idx="0">
                  <c:v>Brancos/Nulos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cat>
            <c:strRef>
              <c:f>Sheet1!$F$17:$F$21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Sheet1!$I$17:$I$21</c:f>
              <c:numCache>
                <c:formatCode>General</c:formatCode>
                <c:ptCount val="5"/>
                <c:pt idx="0">
                  <c:v>14</c:v>
                </c:pt>
                <c:pt idx="1">
                  <c:v>9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</c:numCache>
            </c:numRef>
          </c:val>
        </c:ser>
        <c:ser>
          <c:idx val="1"/>
          <c:order val="1"/>
          <c:tx>
            <c:strRef>
              <c:f>Sheet1!$J$16</c:f>
              <c:strCache>
                <c:ptCount val="1"/>
                <c:pt idx="0">
                  <c:v>Não Sabe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cat>
            <c:strRef>
              <c:f>Sheet1!$F$17:$F$21</c:f>
              <c:strCache>
                <c:ptCount val="5"/>
                <c:pt idx="0">
                  <c:v>SE</c:v>
                </c:pt>
                <c:pt idx="1">
                  <c:v>S</c:v>
                </c:pt>
                <c:pt idx="2">
                  <c:v>NE</c:v>
                </c:pt>
                <c:pt idx="3">
                  <c:v>CO</c:v>
                </c:pt>
                <c:pt idx="4">
                  <c:v>N</c:v>
                </c:pt>
              </c:strCache>
            </c:strRef>
          </c:cat>
          <c:val>
            <c:numRef>
              <c:f>Sheet1!$J$17:$J$21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3</c:v>
                </c:pt>
                <c:pt idx="3">
                  <c:v>6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166080"/>
        <c:axId val="99167616"/>
      </c:barChart>
      <c:catAx>
        <c:axId val="99166080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9167616"/>
        <c:crosses val="autoZero"/>
        <c:auto val="1"/>
        <c:lblAlgn val="ctr"/>
        <c:lblOffset val="100"/>
        <c:noMultiLvlLbl val="0"/>
      </c:catAx>
      <c:valAx>
        <c:axId val="9916761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91660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lineChart>
        <c:grouping val="standard"/>
        <c:varyColors val="0"/>
        <c:ser>
          <c:idx val="0"/>
          <c:order val="0"/>
          <c:tx>
            <c:strRef>
              <c:f>Sheet2!$C$12</c:f>
              <c:strCache>
                <c:ptCount val="1"/>
                <c:pt idx="0">
                  <c:v>Dilma</c:v>
                </c:pt>
              </c:strCache>
            </c:strRef>
          </c:tx>
          <c:spPr>
            <a:ln w="38100">
              <a:solidFill>
                <a:srgbClr val="195A50"/>
              </a:solidFill>
              <a:prstDash val="solid"/>
            </a:ln>
            <a:effectLst/>
          </c:spPr>
          <c:marker>
            <c:symbol val="none"/>
          </c:marker>
          <c:cat>
            <c:numRef>
              <c:f>Sheet2!$D$11:$J$11</c:f>
              <c:numCache>
                <c:formatCode>m/d/yyyy</c:formatCode>
                <c:ptCount val="7"/>
                <c:pt idx="0">
                  <c:v>41495</c:v>
                </c:pt>
                <c:pt idx="1">
                  <c:v>41558</c:v>
                </c:pt>
                <c:pt idx="2">
                  <c:v>41607</c:v>
                </c:pt>
                <c:pt idx="3">
                  <c:v>41690</c:v>
                </c:pt>
                <c:pt idx="4">
                  <c:v>41732</c:v>
                </c:pt>
                <c:pt idx="5">
                  <c:v>41767</c:v>
                </c:pt>
                <c:pt idx="6">
                  <c:v>41796</c:v>
                </c:pt>
              </c:numCache>
            </c:numRef>
          </c:cat>
          <c:val>
            <c:numRef>
              <c:f>Sheet2!$D$12:$J$12</c:f>
              <c:numCache>
                <c:formatCode>#,##0</c:formatCode>
                <c:ptCount val="7"/>
                <c:pt idx="1">
                  <c:v>1</c:v>
                </c:pt>
                <c:pt idx="2">
                  <c:v>3</c:v>
                </c:pt>
                <c:pt idx="3">
                  <c:v>-3</c:v>
                </c:pt>
                <c:pt idx="4">
                  <c:v>-4</c:v>
                </c:pt>
                <c:pt idx="5">
                  <c:v>-3</c:v>
                </c:pt>
                <c:pt idx="6">
                  <c:v>-1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Sheet2!$C$13</c:f>
              <c:strCache>
                <c:ptCount val="1"/>
                <c:pt idx="0">
                  <c:v>Aécio</c:v>
                </c:pt>
              </c:strCache>
            </c:strRef>
          </c:tx>
          <c:spPr>
            <a:ln w="38100">
              <a:solidFill>
                <a:srgbClr val="64B400"/>
              </a:solidFill>
              <a:prstDash val="solid"/>
            </a:ln>
            <a:effectLst/>
          </c:spPr>
          <c:marker>
            <c:symbol val="none"/>
          </c:marker>
          <c:cat>
            <c:numRef>
              <c:f>Sheet2!$D$11:$J$11</c:f>
              <c:numCache>
                <c:formatCode>m/d/yyyy</c:formatCode>
                <c:ptCount val="7"/>
                <c:pt idx="0">
                  <c:v>41495</c:v>
                </c:pt>
                <c:pt idx="1">
                  <c:v>41558</c:v>
                </c:pt>
                <c:pt idx="2">
                  <c:v>41607</c:v>
                </c:pt>
                <c:pt idx="3">
                  <c:v>41690</c:v>
                </c:pt>
                <c:pt idx="4">
                  <c:v>41732</c:v>
                </c:pt>
                <c:pt idx="5">
                  <c:v>41767</c:v>
                </c:pt>
                <c:pt idx="6">
                  <c:v>41796</c:v>
                </c:pt>
              </c:numCache>
            </c:numRef>
          </c:cat>
          <c:val>
            <c:numRef>
              <c:f>Sheet2!$D$13:$J$13</c:f>
              <c:numCache>
                <c:formatCode>#,##0</c:formatCode>
                <c:ptCount val="7"/>
                <c:pt idx="1">
                  <c:v>2</c:v>
                </c:pt>
                <c:pt idx="2">
                  <c:v>-4</c:v>
                </c:pt>
                <c:pt idx="3">
                  <c:v>0</c:v>
                </c:pt>
                <c:pt idx="4">
                  <c:v>4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Sheet2!$C$14</c:f>
              <c:strCache>
                <c:ptCount val="1"/>
                <c:pt idx="0">
                  <c:v>Branco/Nulo/Nenhum</c:v>
                </c:pt>
              </c:strCache>
            </c:strRef>
          </c:tx>
          <c:spPr>
            <a:ln w="38100">
              <a:solidFill>
                <a:srgbClr val="FFAA00"/>
              </a:solidFill>
              <a:prstDash val="solid"/>
            </a:ln>
            <a:effectLst/>
          </c:spPr>
          <c:marker>
            <c:symbol val="none"/>
          </c:marker>
          <c:cat>
            <c:numRef>
              <c:f>Sheet2!$D$11:$J$11</c:f>
              <c:numCache>
                <c:formatCode>m/d/yyyy</c:formatCode>
                <c:ptCount val="7"/>
                <c:pt idx="0">
                  <c:v>41495</c:v>
                </c:pt>
                <c:pt idx="1">
                  <c:v>41558</c:v>
                </c:pt>
                <c:pt idx="2">
                  <c:v>41607</c:v>
                </c:pt>
                <c:pt idx="3">
                  <c:v>41690</c:v>
                </c:pt>
                <c:pt idx="4">
                  <c:v>41732</c:v>
                </c:pt>
                <c:pt idx="5">
                  <c:v>41767</c:v>
                </c:pt>
                <c:pt idx="6">
                  <c:v>41796</c:v>
                </c:pt>
              </c:numCache>
            </c:numRef>
          </c:cat>
          <c:val>
            <c:numRef>
              <c:f>Sheet2!$D$14:$J$14</c:f>
              <c:numCache>
                <c:formatCode>#,##0</c:formatCode>
                <c:ptCount val="7"/>
                <c:pt idx="1">
                  <c:v>-3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-4</c:v>
                </c:pt>
                <c:pt idx="6">
                  <c:v>-1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Sheet2!$C$15</c:f>
              <c:strCache>
                <c:ptCount val="1"/>
                <c:pt idx="0">
                  <c:v>Não sabe</c:v>
                </c:pt>
              </c:strCache>
            </c:strRef>
          </c:tx>
          <c:spPr>
            <a:ln w="38100">
              <a:solidFill>
                <a:srgbClr val="780032"/>
              </a:solidFill>
              <a:prstDash val="solid"/>
            </a:ln>
            <a:effectLst/>
          </c:spPr>
          <c:marker>
            <c:symbol val="none"/>
          </c:marker>
          <c:cat>
            <c:numRef>
              <c:f>Sheet2!$D$11:$J$11</c:f>
              <c:numCache>
                <c:formatCode>m/d/yyyy</c:formatCode>
                <c:ptCount val="7"/>
                <c:pt idx="0">
                  <c:v>41495</c:v>
                </c:pt>
                <c:pt idx="1">
                  <c:v>41558</c:v>
                </c:pt>
                <c:pt idx="2">
                  <c:v>41607</c:v>
                </c:pt>
                <c:pt idx="3">
                  <c:v>41690</c:v>
                </c:pt>
                <c:pt idx="4">
                  <c:v>41732</c:v>
                </c:pt>
                <c:pt idx="5">
                  <c:v>41767</c:v>
                </c:pt>
                <c:pt idx="6">
                  <c:v>41796</c:v>
                </c:pt>
              </c:numCache>
            </c:numRef>
          </c:cat>
          <c:val>
            <c:numRef>
              <c:f>Sheet2!$D$15:$J$15</c:f>
              <c:numCache>
                <c:formatCode>#,##0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216000"/>
        <c:axId val="99217792"/>
      </c:lineChart>
      <c:dateAx>
        <c:axId val="992160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9217792"/>
        <c:crosses val="autoZero"/>
        <c:auto val="1"/>
        <c:lblOffset val="100"/>
        <c:baseTimeUnit val="months"/>
      </c:dateAx>
      <c:valAx>
        <c:axId val="992177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92160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40404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Bolsa Família - % do total por faixa de renda</a:t>
            </a:r>
          </a:p>
        </c:rich>
      </c:tx>
      <c:layout/>
      <c:overlay val="0"/>
      <c:spPr>
        <a:noFill/>
      </c:spPr>
    </c:title>
    <c:autoTitleDeleted val="0"/>
    <c:plotArea>
      <c:layout>
        <c:manualLayout>
          <c:xMode val="edge"/>
          <c:yMode val="edge"/>
          <c:x val="6.993006993006993E-3"/>
          <c:y val="5.9553349875930521E-2"/>
          <c:w val="0.99300699300699302"/>
          <c:h val="0.880893300248138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'Bolsa Família'!$B$4</c:f>
              <c:strCache>
                <c:ptCount val="1"/>
                <c:pt idx="0">
                  <c:v>Recebe (quem respondeu a pesquisa)</c:v>
                </c:pt>
              </c:strCache>
            </c:strRef>
          </c:tx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'Bolsa Família'!$D$2:$H$2</c:f>
              <c:strCache>
                <c:ptCount val="5"/>
                <c:pt idx="0">
                  <c:v>&lt; 1</c:v>
                </c:pt>
                <c:pt idx="1">
                  <c:v>1 -- 2</c:v>
                </c:pt>
                <c:pt idx="2">
                  <c:v>2 -- 5</c:v>
                </c:pt>
                <c:pt idx="3">
                  <c:v>&gt; 5</c:v>
                </c:pt>
                <c:pt idx="4">
                  <c:v>Total da amostra</c:v>
                </c:pt>
              </c:strCache>
            </c:strRef>
          </c:cat>
          <c:val>
            <c:numRef>
              <c:f>'Bolsa Família'!$D$8:$H$8</c:f>
              <c:numCache>
                <c:formatCode>0%</c:formatCode>
                <c:ptCount val="5"/>
                <c:pt idx="0">
                  <c:v>0.36351165980795608</c:v>
                </c:pt>
                <c:pt idx="1">
                  <c:v>0.40842641583382328</c:v>
                </c:pt>
                <c:pt idx="2">
                  <c:v>0.19396433470507546</c:v>
                </c:pt>
                <c:pt idx="3">
                  <c:v>3.4097589653145202E-2</c:v>
                </c:pt>
                <c:pt idx="4">
                  <c:v>0.13</c:v>
                </c:pt>
              </c:numCache>
            </c:numRef>
          </c:val>
        </c:ser>
        <c:ser>
          <c:idx val="1"/>
          <c:order val="1"/>
          <c:tx>
            <c:strRef>
              <c:f>'Bolsa Família'!$B$5</c:f>
              <c:strCache>
                <c:ptCount val="1"/>
                <c:pt idx="0">
                  <c:v>Alguém de casa recebe (excluíndo quem respondeu a pergunta)</c:v>
                </c:pt>
              </c:strCache>
            </c:strRef>
          </c:tx>
          <c:spPr>
            <a:solidFill>
              <a:srgbClr val="64B400"/>
            </a:solidFill>
            <a:ln w="25400"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'Bolsa Família'!$D$11:$H$11</c:f>
              <c:numCache>
                <c:formatCode>0%</c:formatCode>
                <c:ptCount val="5"/>
                <c:pt idx="0">
                  <c:v>0.20381764788141515</c:v>
                </c:pt>
                <c:pt idx="1">
                  <c:v>0.42861138302335339</c:v>
                </c:pt>
                <c:pt idx="2">
                  <c:v>0.29660187386379527</c:v>
                </c:pt>
                <c:pt idx="3">
                  <c:v>7.0969095231436158E-2</c:v>
                </c:pt>
                <c:pt idx="4">
                  <c:v>0.15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75744"/>
        <c:axId val="99385728"/>
      </c:barChart>
      <c:catAx>
        <c:axId val="99375744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99385728"/>
        <c:crosses val="autoZero"/>
        <c:auto val="1"/>
        <c:lblAlgn val="ctr"/>
        <c:lblOffset val="100"/>
        <c:noMultiLvlLbl val="0"/>
      </c:catAx>
      <c:valAx>
        <c:axId val="9938572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9937574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800" b="1" i="0" baseline="0">
                <a:effectLst/>
              </a:rPr>
              <a:t>Informações que influenciam o voto</a:t>
            </a:r>
            <a:endParaRPr lang="pt-BR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5903419415230438E-2"/>
          <c:y val="0.13782868642660362"/>
          <c:w val="0.93409658058476952"/>
          <c:h val="0.5561899923799847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195A50"/>
            </a:solidFill>
            <a:ln w="25400">
              <a:noFill/>
            </a:ln>
            <a:effectLst/>
          </c:spPr>
          <c:invertIfNegative val="0"/>
          <c:cat>
            <c:strRef>
              <c:f>'Decidir voto'!$D$2:$D$14</c:f>
              <c:strCache>
                <c:ptCount val="13"/>
                <c:pt idx="0">
                  <c:v>Notícias na TV</c:v>
                </c:pt>
                <c:pt idx="1">
                  <c:v>Conversa com amigos</c:v>
                </c:pt>
                <c:pt idx="2">
                  <c:v>Debate entre candidatos</c:v>
                </c:pt>
                <c:pt idx="3">
                  <c:v>Propaganda</c:v>
                </c:pt>
                <c:pt idx="4">
                  <c:v>Notícias nos jornais</c:v>
                </c:pt>
                <c:pt idx="5">
                  <c:v>Notícias no rádio</c:v>
                </c:pt>
                <c:pt idx="6">
                  <c:v>Notícias na internet</c:v>
                </c:pt>
                <c:pt idx="7">
                  <c:v>Notícias nas redes sociais</c:v>
                </c:pt>
                <c:pt idx="8">
                  <c:v>Resultado de pesquisas</c:v>
                </c:pt>
                <c:pt idx="9">
                  <c:v>Líderes religiosos</c:v>
                </c:pt>
                <c:pt idx="10">
                  <c:v>Associações de moradores</c:v>
                </c:pt>
                <c:pt idx="11">
                  <c:v>Notícias de revistas</c:v>
                </c:pt>
                <c:pt idx="12">
                  <c:v>Líderes sindicalistas</c:v>
                </c:pt>
              </c:strCache>
            </c:strRef>
          </c:cat>
          <c:val>
            <c:numRef>
              <c:f>'Decidir voto'!$E$2:$E$14</c:f>
              <c:numCache>
                <c:formatCode>0%</c:formatCode>
                <c:ptCount val="13"/>
                <c:pt idx="0">
                  <c:v>0.55000000000000004</c:v>
                </c:pt>
                <c:pt idx="1">
                  <c:v>0.48</c:v>
                </c:pt>
                <c:pt idx="2">
                  <c:v>0.26</c:v>
                </c:pt>
                <c:pt idx="3">
                  <c:v>0.26</c:v>
                </c:pt>
                <c:pt idx="4">
                  <c:v>0.26</c:v>
                </c:pt>
                <c:pt idx="5">
                  <c:v>0.16</c:v>
                </c:pt>
                <c:pt idx="6">
                  <c:v>0.12</c:v>
                </c:pt>
                <c:pt idx="7">
                  <c:v>0.09</c:v>
                </c:pt>
                <c:pt idx="8">
                  <c:v>7.0000000000000007E-2</c:v>
                </c:pt>
                <c:pt idx="9">
                  <c:v>0.04</c:v>
                </c:pt>
                <c:pt idx="10">
                  <c:v>0.04</c:v>
                </c:pt>
                <c:pt idx="11">
                  <c:v>0.03</c:v>
                </c:pt>
                <c:pt idx="12">
                  <c:v>0.02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418176"/>
        <c:axId val="108419712"/>
      </c:barChart>
      <c:catAx>
        <c:axId val="108418176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-2400000" vert="horz"/>
          <a:lstStyle/>
          <a:p>
            <a:pPr>
              <a:defRPr/>
            </a:pPr>
            <a:endParaRPr lang="pt-BR"/>
          </a:p>
        </c:txPr>
        <c:crossAx val="108419712"/>
        <c:crosses val="autoZero"/>
        <c:auto val="1"/>
        <c:lblAlgn val="ctr"/>
        <c:lblOffset val="100"/>
        <c:noMultiLvlLbl val="0"/>
      </c:catAx>
      <c:valAx>
        <c:axId val="10841971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404040"/>
            </a:solidFill>
            <a:prstDash val="solid"/>
          </a:ln>
        </c:spPr>
        <c:crossAx val="1084181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14" workbookViewId="0" zoomToFit="1"/>
    <sheetView zoomScale="114" workbookViewId="1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114" workbookViewId="0" zoomToFit="1"/>
    <sheetView zoomScale="114" workbookViewId="1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4" Type="http://schemas.openxmlformats.org/officeDocument/2006/relationships/chart" Target="../charts/chart2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10" Type="http://schemas.openxmlformats.org/officeDocument/2006/relationships/chart" Target="../charts/chart46.xml"/><Relationship Id="rId4" Type="http://schemas.openxmlformats.org/officeDocument/2006/relationships/chart" Target="../charts/chart40.xml"/><Relationship Id="rId9" Type="http://schemas.openxmlformats.org/officeDocument/2006/relationships/chart" Target="../charts/chart45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748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748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862012</xdr:colOff>
      <xdr:row>42</xdr:row>
      <xdr:rowOff>28575</xdr:rowOff>
    </xdr:from>
    <xdr:to>
      <xdr:col>19</xdr:col>
      <xdr:colOff>588962</xdr:colOff>
      <xdr:row>69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404812</xdr:colOff>
      <xdr:row>69</xdr:row>
      <xdr:rowOff>142875</xdr:rowOff>
    </xdr:from>
    <xdr:to>
      <xdr:col>18</xdr:col>
      <xdr:colOff>446087</xdr:colOff>
      <xdr:row>96</xdr:row>
      <xdr:rowOff>117475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42862</xdr:colOff>
      <xdr:row>32</xdr:row>
      <xdr:rowOff>161925</xdr:rowOff>
    </xdr:from>
    <xdr:to>
      <xdr:col>23</xdr:col>
      <xdr:colOff>484187</xdr:colOff>
      <xdr:row>59</xdr:row>
      <xdr:rowOff>117475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890587</xdr:colOff>
      <xdr:row>42</xdr:row>
      <xdr:rowOff>76200</xdr:rowOff>
    </xdr:from>
    <xdr:to>
      <xdr:col>26</xdr:col>
      <xdr:colOff>26987</xdr:colOff>
      <xdr:row>69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566737</xdr:colOff>
      <xdr:row>69</xdr:row>
      <xdr:rowOff>19050</xdr:rowOff>
    </xdr:from>
    <xdr:to>
      <xdr:col>24</xdr:col>
      <xdr:colOff>312737</xdr:colOff>
      <xdr:row>95</xdr:row>
      <xdr:rowOff>184150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42862</xdr:colOff>
      <xdr:row>32</xdr:row>
      <xdr:rowOff>161925</xdr:rowOff>
    </xdr:from>
    <xdr:to>
      <xdr:col>23</xdr:col>
      <xdr:colOff>484187</xdr:colOff>
      <xdr:row>59</xdr:row>
      <xdr:rowOff>117475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452437</xdr:colOff>
      <xdr:row>108</xdr:row>
      <xdr:rowOff>90487</xdr:rowOff>
    </xdr:from>
    <xdr:to>
      <xdr:col>18</xdr:col>
      <xdr:colOff>350837</xdr:colOff>
      <xdr:row>135</xdr:row>
      <xdr:rowOff>65087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314325</xdr:colOff>
      <xdr:row>93</xdr:row>
      <xdr:rowOff>171450</xdr:rowOff>
    </xdr:from>
    <xdr:to>
      <xdr:col>27</xdr:col>
      <xdr:colOff>574675</xdr:colOff>
      <xdr:row>120</xdr:row>
      <xdr:rowOff>146050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576262</xdr:colOff>
      <xdr:row>95</xdr:row>
      <xdr:rowOff>138112</xdr:rowOff>
    </xdr:from>
    <xdr:to>
      <xdr:col>20</xdr:col>
      <xdr:colOff>474662</xdr:colOff>
      <xdr:row>122</xdr:row>
      <xdr:rowOff>112712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123825</xdr:colOff>
      <xdr:row>44</xdr:row>
      <xdr:rowOff>0</xdr:rowOff>
    </xdr:from>
    <xdr:to>
      <xdr:col>39</xdr:col>
      <xdr:colOff>60325</xdr:colOff>
      <xdr:row>76</xdr:row>
      <xdr:rowOff>103187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152400</xdr:colOff>
      <xdr:row>0</xdr:row>
      <xdr:rowOff>147637</xdr:rowOff>
    </xdr:from>
    <xdr:to>
      <xdr:col>39</xdr:col>
      <xdr:colOff>88900</xdr:colOff>
      <xdr:row>43</xdr:row>
      <xdr:rowOff>131762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247650</xdr:colOff>
      <xdr:row>105</xdr:row>
      <xdr:rowOff>52387</xdr:rowOff>
    </xdr:from>
    <xdr:to>
      <xdr:col>39</xdr:col>
      <xdr:colOff>184150</xdr:colOff>
      <xdr:row>132</xdr:row>
      <xdr:rowOff>26987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85725</xdr:colOff>
      <xdr:row>77</xdr:row>
      <xdr:rowOff>66675</xdr:rowOff>
    </xdr:from>
    <xdr:to>
      <xdr:col>39</xdr:col>
      <xdr:colOff>22225</xdr:colOff>
      <xdr:row>103</xdr:row>
      <xdr:rowOff>136525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523874</xdr:colOff>
      <xdr:row>114</xdr:row>
      <xdr:rowOff>180293</xdr:rowOff>
    </xdr:from>
    <xdr:to>
      <xdr:col>19</xdr:col>
      <xdr:colOff>310696</xdr:colOff>
      <xdr:row>141</xdr:row>
      <xdr:rowOff>175304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259897</xdr:colOff>
      <xdr:row>90</xdr:row>
      <xdr:rowOff>25853</xdr:rowOff>
    </xdr:from>
    <xdr:to>
      <xdr:col>23</xdr:col>
      <xdr:colOff>604612</xdr:colOff>
      <xdr:row>116</xdr:row>
      <xdr:rowOff>150132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47625</xdr:colOff>
      <xdr:row>22</xdr:row>
      <xdr:rowOff>157162</xdr:rowOff>
    </xdr:from>
    <xdr:to>
      <xdr:col>40</xdr:col>
      <xdr:colOff>593725</xdr:colOff>
      <xdr:row>48</xdr:row>
      <xdr:rowOff>141287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133350</xdr:colOff>
      <xdr:row>68</xdr:row>
      <xdr:rowOff>176212</xdr:rowOff>
    </xdr:from>
    <xdr:to>
      <xdr:col>31</xdr:col>
      <xdr:colOff>69850</xdr:colOff>
      <xdr:row>95</xdr:row>
      <xdr:rowOff>55562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304800</xdr:colOff>
      <xdr:row>32</xdr:row>
      <xdr:rowOff>57150</xdr:rowOff>
    </xdr:from>
    <xdr:to>
      <xdr:col>24</xdr:col>
      <xdr:colOff>41275</xdr:colOff>
      <xdr:row>58</xdr:row>
      <xdr:rowOff>41275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481012</xdr:colOff>
      <xdr:row>34</xdr:row>
      <xdr:rowOff>166687</xdr:rowOff>
    </xdr:from>
    <xdr:to>
      <xdr:col>27</xdr:col>
      <xdr:colOff>93662</xdr:colOff>
      <xdr:row>61</xdr:row>
      <xdr:rowOff>84137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</xdr:colOff>
      <xdr:row>4</xdr:row>
      <xdr:rowOff>138112</xdr:rowOff>
    </xdr:from>
    <xdr:to>
      <xdr:col>23</xdr:col>
      <xdr:colOff>36512</xdr:colOff>
      <xdr:row>31</xdr:row>
      <xdr:rowOff>55562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328612</xdr:colOff>
      <xdr:row>88</xdr:row>
      <xdr:rowOff>109537</xdr:rowOff>
    </xdr:from>
    <xdr:to>
      <xdr:col>17</xdr:col>
      <xdr:colOff>131762</xdr:colOff>
      <xdr:row>115</xdr:row>
      <xdr:rowOff>84137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60</xdr:row>
      <xdr:rowOff>133350</xdr:rowOff>
    </xdr:from>
    <xdr:to>
      <xdr:col>17</xdr:col>
      <xdr:colOff>31750</xdr:colOff>
      <xdr:row>87</xdr:row>
      <xdr:rowOff>107950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414337</xdr:colOff>
      <xdr:row>117</xdr:row>
      <xdr:rowOff>71437</xdr:rowOff>
    </xdr:from>
    <xdr:to>
      <xdr:col>17</xdr:col>
      <xdr:colOff>217487</xdr:colOff>
      <xdr:row>144</xdr:row>
      <xdr:rowOff>46037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600075</xdr:colOff>
      <xdr:row>145</xdr:row>
      <xdr:rowOff>114300</xdr:rowOff>
    </xdr:from>
    <xdr:to>
      <xdr:col>17</xdr:col>
      <xdr:colOff>403225</xdr:colOff>
      <xdr:row>172</xdr:row>
      <xdr:rowOff>88900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128587</xdr:colOff>
      <xdr:row>40</xdr:row>
      <xdr:rowOff>80962</xdr:rowOff>
    </xdr:from>
    <xdr:to>
      <xdr:col>35</xdr:col>
      <xdr:colOff>65087</xdr:colOff>
      <xdr:row>67</xdr:row>
      <xdr:rowOff>55562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114300</xdr:colOff>
      <xdr:row>60</xdr:row>
      <xdr:rowOff>171450</xdr:rowOff>
    </xdr:from>
    <xdr:to>
      <xdr:col>37</xdr:col>
      <xdr:colOff>50800</xdr:colOff>
      <xdr:row>87</xdr:row>
      <xdr:rowOff>146050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385762</xdr:colOff>
      <xdr:row>13</xdr:row>
      <xdr:rowOff>100012</xdr:rowOff>
    </xdr:from>
    <xdr:to>
      <xdr:col>38</xdr:col>
      <xdr:colOff>322262</xdr:colOff>
      <xdr:row>40</xdr:row>
      <xdr:rowOff>55562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219075</xdr:colOff>
      <xdr:row>14</xdr:row>
      <xdr:rowOff>119062</xdr:rowOff>
    </xdr:from>
    <xdr:to>
      <xdr:col>23</xdr:col>
      <xdr:colOff>579437</xdr:colOff>
      <xdr:row>24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247650</xdr:colOff>
      <xdr:row>25</xdr:row>
      <xdr:rowOff>176212</xdr:rowOff>
    </xdr:from>
    <xdr:to>
      <xdr:col>24</xdr:col>
      <xdr:colOff>246061</xdr:colOff>
      <xdr:row>36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133350</xdr:colOff>
      <xdr:row>37</xdr:row>
      <xdr:rowOff>33337</xdr:rowOff>
    </xdr:from>
    <xdr:to>
      <xdr:col>24</xdr:col>
      <xdr:colOff>428626</xdr:colOff>
      <xdr:row>47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71</xdr:row>
      <xdr:rowOff>100012</xdr:rowOff>
    </xdr:from>
    <xdr:to>
      <xdr:col>18</xdr:col>
      <xdr:colOff>179387</xdr:colOff>
      <xdr:row>98</xdr:row>
      <xdr:rowOff>74612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64634</xdr:colOff>
      <xdr:row>60</xdr:row>
      <xdr:rowOff>90487</xdr:rowOff>
    </xdr:from>
    <xdr:to>
      <xdr:col>16</xdr:col>
      <xdr:colOff>1133</xdr:colOff>
      <xdr:row>87</xdr:row>
      <xdr:rowOff>65087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257175</xdr:colOff>
      <xdr:row>32</xdr:row>
      <xdr:rowOff>85725</xdr:rowOff>
    </xdr:from>
    <xdr:to>
      <xdr:col>15</xdr:col>
      <xdr:colOff>193675</xdr:colOff>
      <xdr:row>59</xdr:row>
      <xdr:rowOff>60325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313765</xdr:colOff>
      <xdr:row>88</xdr:row>
      <xdr:rowOff>179294</xdr:rowOff>
    </xdr:from>
    <xdr:to>
      <xdr:col>16</xdr:col>
      <xdr:colOff>250264</xdr:colOff>
      <xdr:row>115</xdr:row>
      <xdr:rowOff>153894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147637</xdr:colOff>
      <xdr:row>34</xdr:row>
      <xdr:rowOff>33337</xdr:rowOff>
    </xdr:from>
    <xdr:to>
      <xdr:col>16</xdr:col>
      <xdr:colOff>436562</xdr:colOff>
      <xdr:row>61</xdr:row>
      <xdr:rowOff>7937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271463</xdr:colOff>
      <xdr:row>59</xdr:row>
      <xdr:rowOff>33338</xdr:rowOff>
    </xdr:from>
    <xdr:to>
      <xdr:col>16</xdr:col>
      <xdr:colOff>560388</xdr:colOff>
      <xdr:row>86</xdr:row>
      <xdr:rowOff>7938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266700</xdr:colOff>
      <xdr:row>87</xdr:row>
      <xdr:rowOff>114300</xdr:rowOff>
    </xdr:from>
    <xdr:to>
      <xdr:col>16</xdr:col>
      <xdr:colOff>660400</xdr:colOff>
      <xdr:row>114</xdr:row>
      <xdr:rowOff>88900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319087</xdr:colOff>
      <xdr:row>75</xdr:row>
      <xdr:rowOff>138112</xdr:rowOff>
    </xdr:from>
    <xdr:to>
      <xdr:col>40</xdr:col>
      <xdr:colOff>93662</xdr:colOff>
      <xdr:row>102</xdr:row>
      <xdr:rowOff>112712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561975</xdr:colOff>
      <xdr:row>99</xdr:row>
      <xdr:rowOff>28575</xdr:rowOff>
    </xdr:from>
    <xdr:to>
      <xdr:col>40</xdr:col>
      <xdr:colOff>441325</xdr:colOff>
      <xdr:row>126</xdr:row>
      <xdr:rowOff>3175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433386</xdr:colOff>
      <xdr:row>10</xdr:row>
      <xdr:rowOff>119062</xdr:rowOff>
    </xdr:from>
    <xdr:to>
      <xdr:col>48</xdr:col>
      <xdr:colOff>288924</xdr:colOff>
      <xdr:row>37</xdr:row>
      <xdr:rowOff>93662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128587</xdr:colOff>
      <xdr:row>43</xdr:row>
      <xdr:rowOff>23813</xdr:rowOff>
    </xdr:from>
    <xdr:to>
      <xdr:col>45</xdr:col>
      <xdr:colOff>384175</xdr:colOff>
      <xdr:row>69</xdr:row>
      <xdr:rowOff>188913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357187</xdr:colOff>
      <xdr:row>33</xdr:row>
      <xdr:rowOff>123825</xdr:rowOff>
    </xdr:from>
    <xdr:to>
      <xdr:col>15</xdr:col>
      <xdr:colOff>169862</xdr:colOff>
      <xdr:row>60</xdr:row>
      <xdr:rowOff>98425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628649</xdr:colOff>
      <xdr:row>47</xdr:row>
      <xdr:rowOff>161926</xdr:rowOff>
    </xdr:from>
    <xdr:to>
      <xdr:col>30</xdr:col>
      <xdr:colOff>593724</xdr:colOff>
      <xdr:row>74</xdr:row>
      <xdr:rowOff>136526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614362</xdr:colOff>
      <xdr:row>19</xdr:row>
      <xdr:rowOff>76200</xdr:rowOff>
    </xdr:from>
    <xdr:to>
      <xdr:col>30</xdr:col>
      <xdr:colOff>574675</xdr:colOff>
      <xdr:row>46</xdr:row>
      <xdr:rowOff>50800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147637</xdr:rowOff>
    </xdr:from>
    <xdr:to>
      <xdr:col>14</xdr:col>
      <xdr:colOff>441325</xdr:colOff>
      <xdr:row>54</xdr:row>
      <xdr:rowOff>122237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16</xdr:row>
      <xdr:rowOff>166687</xdr:rowOff>
    </xdr:from>
    <xdr:to>
      <xdr:col>16</xdr:col>
      <xdr:colOff>50800</xdr:colOff>
      <xdr:row>43</xdr:row>
      <xdr:rowOff>141287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481012</xdr:colOff>
      <xdr:row>14</xdr:row>
      <xdr:rowOff>185737</xdr:rowOff>
    </xdr:from>
    <xdr:to>
      <xdr:col>16</xdr:col>
      <xdr:colOff>417512</xdr:colOff>
      <xdr:row>41</xdr:row>
      <xdr:rowOff>160337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F36" sqref="F36"/>
    </sheetView>
    <sheetView workbookViewId="1"/>
  </sheetViews>
  <sheetFormatPr defaultRowHeight="15" x14ac:dyDescent="0.25"/>
  <cols>
    <col min="7" max="7" width="15.140625" bestFit="1" customWidth="1"/>
    <col min="8" max="8" width="13.85546875" bestFit="1" customWidth="1"/>
  </cols>
  <sheetData>
    <row r="1" spans="1:16" x14ac:dyDescent="0.25">
      <c r="C1" s="196" t="s">
        <v>4</v>
      </c>
      <c r="D1" s="196" t="s">
        <v>5</v>
      </c>
      <c r="E1" s="196" t="s">
        <v>127</v>
      </c>
      <c r="F1" s="196" t="s">
        <v>89</v>
      </c>
      <c r="G1" s="196" t="s">
        <v>14</v>
      </c>
      <c r="H1" s="196" t="s">
        <v>9</v>
      </c>
      <c r="I1" s="196" t="s">
        <v>232</v>
      </c>
    </row>
    <row r="3" spans="1:16" x14ac:dyDescent="0.25">
      <c r="A3" s="196" t="s">
        <v>129</v>
      </c>
      <c r="B3" s="196" t="s">
        <v>230</v>
      </c>
      <c r="C3" s="49">
        <v>0.41589999999999999</v>
      </c>
      <c r="D3" s="49">
        <v>0.33550000000000002</v>
      </c>
      <c r="E3" s="49">
        <v>0.2132</v>
      </c>
      <c r="F3" s="49">
        <f>(1-SUM(C3:E3))</f>
        <v>3.5399999999999876E-2</v>
      </c>
      <c r="G3" s="200"/>
      <c r="H3" s="178">
        <f>43267438/C3</f>
        <v>104033272.42125511</v>
      </c>
    </row>
    <row r="4" spans="1:16" x14ac:dyDescent="0.25">
      <c r="B4" s="200" t="s">
        <v>231</v>
      </c>
      <c r="C4" s="102">
        <f>C3*(1-$G$4)</f>
        <v>0.37580723999999999</v>
      </c>
      <c r="D4" s="102">
        <f>D3*(1-$G$4)</f>
        <v>0.30315779999999998</v>
      </c>
      <c r="E4" s="102">
        <f>E3*(1-$G$4)</f>
        <v>0.19264751999999999</v>
      </c>
      <c r="F4" s="102">
        <f>(1-SUM(C3:E3))*(1-G4)</f>
        <v>3.1987439999999888E-2</v>
      </c>
      <c r="G4" s="19">
        <f>5.8%+3.84%</f>
        <v>9.6399999999999986E-2</v>
      </c>
    </row>
    <row r="6" spans="1:16" x14ac:dyDescent="0.25">
      <c r="A6" t="s">
        <v>240</v>
      </c>
      <c r="B6" t="s">
        <v>238</v>
      </c>
      <c r="C6" s="222">
        <v>0.39621187093932386</v>
      </c>
      <c r="D6" s="222">
        <v>0.27651139742319125</v>
      </c>
      <c r="E6" s="222">
        <v>0.17046580773042616</v>
      </c>
      <c r="F6" s="222">
        <v>9.8000000000000004E-2</v>
      </c>
      <c r="G6" s="222">
        <v>5.9244576588481444E-2</v>
      </c>
      <c r="H6" s="103"/>
      <c r="I6" s="201"/>
    </row>
    <row r="8" spans="1:16" x14ac:dyDescent="0.25">
      <c r="A8" t="s">
        <v>234</v>
      </c>
      <c r="C8" s="102">
        <f>C$4-C6</f>
        <v>-2.0404630939323876E-2</v>
      </c>
      <c r="D8" s="102">
        <f>D$4-D6</f>
        <v>2.6646402576808725E-2</v>
      </c>
      <c r="E8" s="102">
        <f>E$4-E6</f>
        <v>2.2181712269573828E-2</v>
      </c>
      <c r="F8" s="102">
        <f>F$4-F6</f>
        <v>-6.6012560000000109E-2</v>
      </c>
      <c r="G8" s="102">
        <f>G$4-G6</f>
        <v>3.7155423411518541E-2</v>
      </c>
    </row>
    <row r="10" spans="1:16" x14ac:dyDescent="0.25">
      <c r="A10" t="s">
        <v>215</v>
      </c>
      <c r="C10" s="200" t="s">
        <v>4</v>
      </c>
      <c r="D10" s="200" t="s">
        <v>5</v>
      </c>
      <c r="E10" s="90" t="s">
        <v>235</v>
      </c>
    </row>
    <row r="11" spans="1:16" x14ac:dyDescent="0.25">
      <c r="B11" t="s">
        <v>113</v>
      </c>
      <c r="C11" s="201">
        <v>0.03</v>
      </c>
      <c r="D11" s="201">
        <v>0.94</v>
      </c>
      <c r="E11" s="201">
        <v>0.03</v>
      </c>
    </row>
    <row r="12" spans="1:16" x14ac:dyDescent="0.25">
      <c r="B12" t="s">
        <v>4</v>
      </c>
      <c r="C12" s="201">
        <v>0.88</v>
      </c>
      <c r="D12" s="201">
        <v>0.06</v>
      </c>
      <c r="E12" s="201">
        <v>0.06</v>
      </c>
    </row>
    <row r="13" spans="1:16" x14ac:dyDescent="0.25">
      <c r="B13" t="s">
        <v>127</v>
      </c>
      <c r="C13" s="201">
        <v>0.19</v>
      </c>
      <c r="D13" s="201">
        <v>0.66</v>
      </c>
      <c r="E13" s="201">
        <v>0.15</v>
      </c>
    </row>
    <row r="14" spans="1:16" x14ac:dyDescent="0.25">
      <c r="B14" t="s">
        <v>235</v>
      </c>
      <c r="C14" s="201">
        <v>0.12</v>
      </c>
      <c r="D14" s="201">
        <v>0.22</v>
      </c>
      <c r="E14" s="201">
        <v>0.66</v>
      </c>
    </row>
    <row r="15" spans="1:16" x14ac:dyDescent="0.25">
      <c r="B15" t="s">
        <v>89</v>
      </c>
      <c r="C15" s="201">
        <f>1/3</f>
        <v>0.33333333333333331</v>
      </c>
      <c r="D15" s="201">
        <f>1/3</f>
        <v>0.33333333333333331</v>
      </c>
      <c r="E15" s="201">
        <f>1/3</f>
        <v>0.33333333333333331</v>
      </c>
      <c r="K15" t="s">
        <v>4</v>
      </c>
      <c r="L15">
        <v>3598</v>
      </c>
      <c r="M15" s="124">
        <f t="shared" ref="M15:M20" si="0">L15/$L$20</f>
        <v>0.39621187093932386</v>
      </c>
      <c r="P15" s="124"/>
    </row>
    <row r="16" spans="1:16" x14ac:dyDescent="0.25">
      <c r="K16" t="s">
        <v>113</v>
      </c>
      <c r="L16">
        <v>2511</v>
      </c>
      <c r="M16" s="124">
        <f t="shared" si="0"/>
        <v>0.27651139742319125</v>
      </c>
      <c r="P16" s="124"/>
    </row>
    <row r="17" spans="1:17" x14ac:dyDescent="0.25">
      <c r="C17" s="10" t="s">
        <v>4</v>
      </c>
      <c r="D17" s="10" t="s">
        <v>113</v>
      </c>
      <c r="E17" s="10" t="s">
        <v>235</v>
      </c>
      <c r="K17" t="s">
        <v>127</v>
      </c>
      <c r="L17">
        <v>1548</v>
      </c>
      <c r="M17" s="124">
        <f t="shared" si="0"/>
        <v>0.17046580773042616</v>
      </c>
      <c r="P17" s="124"/>
    </row>
    <row r="18" spans="1:17" x14ac:dyDescent="0.25">
      <c r="A18" t="s">
        <v>240</v>
      </c>
      <c r="C18" s="201">
        <v>0.43</v>
      </c>
      <c r="D18" s="201">
        <v>0.45</v>
      </c>
      <c r="E18" s="201">
        <v>0.12</v>
      </c>
      <c r="K18" t="s">
        <v>29</v>
      </c>
      <c r="L18">
        <v>538</v>
      </c>
      <c r="M18" s="124">
        <f t="shared" si="0"/>
        <v>5.9244576588481444E-2</v>
      </c>
      <c r="P18" s="124"/>
    </row>
    <row r="19" spans="1:17" x14ac:dyDescent="0.25">
      <c r="B19" s="8" t="s">
        <v>236</v>
      </c>
      <c r="C19" s="102">
        <f>C8*C12+D8*C11+E8*C13+G8*C14+C15*F8</f>
        <v>-3.0487693675366197E-2</v>
      </c>
      <c r="D19" s="102">
        <f>C8*D12+D8*D11+E8*D13+G8*D14+D15*F8</f>
        <v>2.4633277147626871E-2</v>
      </c>
      <c r="E19" s="102">
        <f>C8*E12+D8*E11+E8*E13+G8*E14+E15*F8</f>
        <v>5.4207638463164391E-3</v>
      </c>
      <c r="G19" s="3"/>
      <c r="K19" t="s">
        <v>89</v>
      </c>
      <c r="L19">
        <f>L20-SUM(L15:L18)</f>
        <v>886</v>
      </c>
      <c r="M19" s="124">
        <f t="shared" si="0"/>
        <v>9.7566347318577246E-2</v>
      </c>
      <c r="P19" s="124"/>
    </row>
    <row r="20" spans="1:17" ht="15.75" thickBot="1" x14ac:dyDescent="0.3">
      <c r="B20" s="8"/>
      <c r="C20" s="200"/>
      <c r="D20" s="200"/>
      <c r="E20" s="200"/>
      <c r="K20" t="s">
        <v>9</v>
      </c>
      <c r="L20">
        <v>9081</v>
      </c>
      <c r="M20" s="124">
        <f t="shared" si="0"/>
        <v>1</v>
      </c>
      <c r="P20" s="124"/>
    </row>
    <row r="21" spans="1:17" x14ac:dyDescent="0.25">
      <c r="A21" s="152"/>
      <c r="B21" s="202" t="s">
        <v>237</v>
      </c>
      <c r="C21" s="223">
        <f>SUM(C18:C19)</f>
        <v>0.3995123063246338</v>
      </c>
      <c r="D21" s="223">
        <f>SUM(D18:D19)</f>
        <v>0.47463327714762688</v>
      </c>
      <c r="E21" s="224">
        <f>SUM(E18:E19)</f>
        <v>0.12542076384631642</v>
      </c>
      <c r="G21" s="124">
        <f>D21-C21</f>
        <v>7.5120970822993072E-2</v>
      </c>
    </row>
    <row r="22" spans="1:17" ht="15.75" thickBot="1" x14ac:dyDescent="0.3">
      <c r="A22" s="43"/>
      <c r="B22" s="205" t="s">
        <v>239</v>
      </c>
      <c r="C22" s="187">
        <f>C21/SUM($C$21:$D$21)</f>
        <v>0.45703177351500235</v>
      </c>
      <c r="D22" s="187">
        <f>D21/SUM($C$21:$D$21)</f>
        <v>0.54296822648499765</v>
      </c>
      <c r="E22" s="192"/>
    </row>
    <row r="23" spans="1:17" x14ac:dyDescent="0.25">
      <c r="K23" s="200" t="s">
        <v>4</v>
      </c>
      <c r="L23" s="200" t="s">
        <v>113</v>
      </c>
      <c r="M23" s="200" t="s">
        <v>127</v>
      </c>
      <c r="N23" s="200" t="s">
        <v>89</v>
      </c>
      <c r="O23" s="200" t="s">
        <v>29</v>
      </c>
      <c r="P23" s="200"/>
      <c r="Q23" s="200" t="s">
        <v>9</v>
      </c>
    </row>
    <row r="24" spans="1:17" x14ac:dyDescent="0.25">
      <c r="A24" s="58" t="s">
        <v>240</v>
      </c>
      <c r="B24" s="58" t="s">
        <v>238</v>
      </c>
      <c r="C24" s="207">
        <v>0.40048627995831887</v>
      </c>
      <c r="D24" s="207">
        <v>0.30114623133032303</v>
      </c>
      <c r="E24" s="207">
        <v>0.16672455713789511</v>
      </c>
      <c r="F24" s="207">
        <v>8.1278221604723866E-2</v>
      </c>
      <c r="G24" s="207">
        <v>5.0364709968739145E-2</v>
      </c>
      <c r="H24" s="208"/>
      <c r="I24" s="207"/>
      <c r="K24" s="200">
        <v>1153</v>
      </c>
      <c r="L24" s="200">
        <v>867</v>
      </c>
      <c r="M24" s="200">
        <v>480</v>
      </c>
      <c r="N24" s="200">
        <f>Q24-SUM(K24:M24,O24)</f>
        <v>234</v>
      </c>
      <c r="O24" s="200">
        <v>145</v>
      </c>
      <c r="P24" s="200"/>
      <c r="Q24" s="200">
        <v>2879</v>
      </c>
    </row>
    <row r="25" spans="1:17" x14ac:dyDescent="0.25">
      <c r="A25" s="58"/>
      <c r="B25" s="58"/>
      <c r="C25" s="58"/>
      <c r="D25" s="58"/>
      <c r="E25" s="58"/>
      <c r="F25" s="58"/>
      <c r="G25" s="58"/>
      <c r="H25" s="58"/>
      <c r="I25" s="58"/>
      <c r="K25" s="121">
        <f>K24/$Q$24</f>
        <v>0.40048627995831887</v>
      </c>
      <c r="L25" s="121">
        <f>L24/$Q$24</f>
        <v>0.30114623133032303</v>
      </c>
      <c r="M25" s="121">
        <f>M24/$Q$24</f>
        <v>0.16672455713789511</v>
      </c>
      <c r="N25" s="121">
        <f>N24/$Q$24</f>
        <v>8.1278221604723866E-2</v>
      </c>
      <c r="O25" s="121">
        <f>O24/$Q$24</f>
        <v>5.0364709968739145E-2</v>
      </c>
      <c r="P25" s="200"/>
      <c r="Q25" s="121">
        <f>Q24/$Q$24</f>
        <v>1</v>
      </c>
    </row>
    <row r="26" spans="1:17" x14ac:dyDescent="0.25">
      <c r="A26" s="58" t="s">
        <v>234</v>
      </c>
      <c r="B26" s="58"/>
      <c r="C26" s="209">
        <v>-2.4679039958318882E-2</v>
      </c>
      <c r="D26" s="209">
        <v>2.0115686696769441E-3</v>
      </c>
      <c r="E26" s="209">
        <v>2.5922962862104881E-2</v>
      </c>
      <c r="F26" s="209">
        <v>-4.9290781604723978E-2</v>
      </c>
      <c r="G26" s="209">
        <v>4.6035290031260841E-2</v>
      </c>
      <c r="H26" s="58"/>
      <c r="I26" s="58"/>
      <c r="K26" s="200"/>
      <c r="L26" s="200"/>
      <c r="M26" s="200"/>
      <c r="N26" s="200"/>
      <c r="O26" s="200"/>
      <c r="P26" s="200"/>
      <c r="Q26" s="200"/>
    </row>
    <row r="27" spans="1:17" x14ac:dyDescent="0.25">
      <c r="A27" s="58"/>
      <c r="B27" s="58"/>
      <c r="C27" s="58"/>
      <c r="D27" s="58"/>
      <c r="E27" s="58"/>
      <c r="F27" s="58"/>
      <c r="G27" s="58"/>
      <c r="H27" s="58"/>
      <c r="I27" s="58"/>
      <c r="K27" s="102">
        <f>C4-K25</f>
        <v>-2.4679039958318882E-2</v>
      </c>
      <c r="L27" s="102">
        <f t="shared" ref="L27:O27" si="1">D4-L25</f>
        <v>2.0115686696769441E-3</v>
      </c>
      <c r="M27" s="102">
        <f t="shared" si="1"/>
        <v>2.5922962862104881E-2</v>
      </c>
      <c r="N27" s="102">
        <f>F4-N25</f>
        <v>-4.9290781604723978E-2</v>
      </c>
      <c r="O27" s="102">
        <f t="shared" si="1"/>
        <v>4.6035290031260841E-2</v>
      </c>
      <c r="P27" s="200"/>
      <c r="Q27" s="200"/>
    </row>
    <row r="28" spans="1:17" x14ac:dyDescent="0.25">
      <c r="A28" s="58" t="s">
        <v>215</v>
      </c>
      <c r="B28" s="58"/>
      <c r="C28" s="208" t="s">
        <v>4</v>
      </c>
      <c r="D28" s="208" t="s">
        <v>5</v>
      </c>
      <c r="E28" s="210" t="s">
        <v>235</v>
      </c>
      <c r="F28" s="58"/>
      <c r="G28" s="58"/>
      <c r="H28" s="58"/>
      <c r="I28" s="58"/>
      <c r="N28" s="3"/>
    </row>
    <row r="29" spans="1:17" x14ac:dyDescent="0.25">
      <c r="A29" s="58"/>
      <c r="B29" s="58" t="s">
        <v>113</v>
      </c>
      <c r="C29" s="207">
        <v>0.02</v>
      </c>
      <c r="D29" s="207">
        <v>0.95</v>
      </c>
      <c r="E29" s="207">
        <v>0.03</v>
      </c>
      <c r="F29" s="58"/>
      <c r="G29" s="58"/>
      <c r="H29" s="58"/>
      <c r="I29" s="58"/>
      <c r="N29" s="3"/>
    </row>
    <row r="30" spans="1:17" x14ac:dyDescent="0.25">
      <c r="A30" s="58"/>
      <c r="B30" s="58" t="s">
        <v>4</v>
      </c>
      <c r="C30" s="207">
        <v>0.9</v>
      </c>
      <c r="D30" s="207">
        <v>0.06</v>
      </c>
      <c r="E30" s="207">
        <v>0.04</v>
      </c>
      <c r="F30" s="58"/>
      <c r="G30" s="58"/>
      <c r="H30" s="58"/>
      <c r="I30" s="58"/>
    </row>
    <row r="31" spans="1:17" x14ac:dyDescent="0.25">
      <c r="A31" s="58"/>
      <c r="B31" s="58" t="s">
        <v>127</v>
      </c>
      <c r="C31" s="207">
        <v>0.18</v>
      </c>
      <c r="D31" s="207">
        <v>0.66</v>
      </c>
      <c r="E31" s="207">
        <v>0.16</v>
      </c>
      <c r="F31" s="58"/>
      <c r="G31" s="58"/>
      <c r="H31" s="58"/>
      <c r="I31" s="58"/>
    </row>
    <row r="32" spans="1:17" x14ac:dyDescent="0.25">
      <c r="A32" s="58"/>
      <c r="B32" s="58" t="s">
        <v>235</v>
      </c>
      <c r="C32" s="207">
        <v>0.11</v>
      </c>
      <c r="D32" s="207">
        <v>0.28000000000000003</v>
      </c>
      <c r="E32" s="207">
        <v>0.61</v>
      </c>
      <c r="F32" s="58"/>
      <c r="G32" s="58"/>
      <c r="H32" s="58"/>
      <c r="I32" s="58"/>
    </row>
    <row r="33" spans="1:9" x14ac:dyDescent="0.25">
      <c r="A33" s="58"/>
      <c r="B33" s="58" t="s">
        <v>89</v>
      </c>
      <c r="C33" s="207">
        <v>0.33333333333333331</v>
      </c>
      <c r="D33" s="207">
        <v>0.33333333333333331</v>
      </c>
      <c r="E33" s="207">
        <v>0.33333333333333331</v>
      </c>
      <c r="F33" s="58"/>
      <c r="G33" s="58"/>
      <c r="H33" s="58"/>
      <c r="I33" s="58"/>
    </row>
    <row r="34" spans="1:9" x14ac:dyDescent="0.25">
      <c r="A34" s="58"/>
      <c r="B34" s="58"/>
      <c r="C34" s="58"/>
      <c r="D34" s="58"/>
      <c r="E34" s="58"/>
      <c r="F34" s="58"/>
      <c r="G34" s="58"/>
      <c r="H34" s="58"/>
      <c r="I34" s="58"/>
    </row>
    <row r="35" spans="1:9" x14ac:dyDescent="0.25">
      <c r="A35" s="58"/>
      <c r="B35" s="58"/>
      <c r="C35" s="211" t="s">
        <v>4</v>
      </c>
      <c r="D35" s="211" t="s">
        <v>113</v>
      </c>
      <c r="E35" s="211" t="s">
        <v>235</v>
      </c>
      <c r="F35" s="58"/>
      <c r="G35" s="58"/>
      <c r="H35" s="58"/>
      <c r="I35" s="58"/>
    </row>
    <row r="36" spans="1:9" x14ac:dyDescent="0.25">
      <c r="A36" s="58" t="s">
        <v>240</v>
      </c>
      <c r="B36" s="58"/>
      <c r="C36" s="207">
        <v>0.44</v>
      </c>
      <c r="D36" s="207">
        <v>0.46</v>
      </c>
      <c r="E36" s="207">
        <v>0.1</v>
      </c>
      <c r="F36" s="58"/>
      <c r="G36" s="58"/>
      <c r="H36" s="58"/>
      <c r="I36" s="58"/>
    </row>
    <row r="37" spans="1:9" x14ac:dyDescent="0.25">
      <c r="A37" s="58"/>
      <c r="B37" s="212" t="s">
        <v>236</v>
      </c>
      <c r="C37" s="209">
        <v>-2.8871149905383878E-2</v>
      </c>
      <c r="D37" s="209">
        <v>1.3999024001528231E-2</v>
      </c>
      <c r="E37" s="209">
        <v>1.4872125903855452E-2</v>
      </c>
      <c r="F37" s="58"/>
      <c r="G37" s="213"/>
      <c r="H37" s="58"/>
      <c r="I37" s="58"/>
    </row>
    <row r="38" spans="1:9" ht="15.75" thickBot="1" x14ac:dyDescent="0.3">
      <c r="A38" s="58"/>
      <c r="B38" s="212"/>
      <c r="C38" s="208"/>
      <c r="D38" s="208"/>
      <c r="E38" s="208"/>
      <c r="F38" s="58"/>
      <c r="G38" s="58"/>
      <c r="H38" s="58"/>
      <c r="I38" s="58"/>
    </row>
    <row r="39" spans="1:9" x14ac:dyDescent="0.25">
      <c r="A39" s="214"/>
      <c r="B39" s="215" t="s">
        <v>237</v>
      </c>
      <c r="C39" s="216">
        <v>0.41112885009461614</v>
      </c>
      <c r="D39" s="216">
        <v>0.47399902400152827</v>
      </c>
      <c r="E39" s="217">
        <v>0.11487212590385545</v>
      </c>
      <c r="F39" s="58"/>
      <c r="G39" s="58"/>
      <c r="H39" s="58"/>
      <c r="I39" s="58"/>
    </row>
    <row r="40" spans="1:9" ht="15.75" thickBot="1" x14ac:dyDescent="0.3">
      <c r="A40" s="218"/>
      <c r="B40" s="219" t="s">
        <v>239</v>
      </c>
      <c r="C40" s="220">
        <v>0.46448525927899825</v>
      </c>
      <c r="D40" s="220">
        <v>0.5355147407210018</v>
      </c>
      <c r="E40" s="221"/>
      <c r="F40" s="58"/>
      <c r="G40" s="58"/>
      <c r="H40" s="58"/>
      <c r="I40" s="5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D6" sqref="D6"/>
    </sheetView>
    <sheetView workbookViewId="1"/>
  </sheetViews>
  <sheetFormatPr defaultRowHeight="15" x14ac:dyDescent="0.25"/>
  <cols>
    <col min="7" max="7" width="15.140625" bestFit="1" customWidth="1"/>
    <col min="8" max="8" width="13.85546875" bestFit="1" customWidth="1"/>
  </cols>
  <sheetData>
    <row r="1" spans="1:16" x14ac:dyDescent="0.25">
      <c r="C1" s="194" t="s">
        <v>4</v>
      </c>
      <c r="D1" s="194" t="s">
        <v>5</v>
      </c>
      <c r="E1" s="194" t="s">
        <v>127</v>
      </c>
      <c r="F1" s="194" t="s">
        <v>89</v>
      </c>
      <c r="G1" s="194" t="s">
        <v>14</v>
      </c>
      <c r="H1" s="194" t="s">
        <v>9</v>
      </c>
      <c r="I1" s="194" t="s">
        <v>232</v>
      </c>
    </row>
    <row r="3" spans="1:16" x14ac:dyDescent="0.25">
      <c r="A3" s="194" t="s">
        <v>129</v>
      </c>
      <c r="B3" s="194" t="s">
        <v>230</v>
      </c>
      <c r="C3" s="49">
        <v>0.41589999999999999</v>
      </c>
      <c r="D3" s="49">
        <v>0.33550000000000002</v>
      </c>
      <c r="E3" s="49">
        <v>0.2132</v>
      </c>
      <c r="F3" s="49">
        <f>(1-SUM(C3:E3))</f>
        <v>3.5399999999999876E-2</v>
      </c>
      <c r="G3" s="195"/>
      <c r="H3" s="178">
        <f>43267438/C3</f>
        <v>104033272.42125511</v>
      </c>
    </row>
    <row r="4" spans="1:16" x14ac:dyDescent="0.25">
      <c r="B4" s="195" t="s">
        <v>231</v>
      </c>
      <c r="C4" s="102">
        <f>C3*(1-$G$4)</f>
        <v>0.37580723999999999</v>
      </c>
      <c r="D4" s="102">
        <f>D3*(1-$G$4)</f>
        <v>0.30315779999999998</v>
      </c>
      <c r="E4" s="102">
        <f>E3*(1-$G$4)</f>
        <v>0.19264751999999999</v>
      </c>
      <c r="F4" s="102">
        <f>(1-SUM(C3:E3))*(1-G4)</f>
        <v>3.1987439999999888E-2</v>
      </c>
      <c r="G4" s="19">
        <f>5.8%+3.84%</f>
        <v>9.6399999999999986E-2</v>
      </c>
    </row>
    <row r="6" spans="1:16" x14ac:dyDescent="0.25">
      <c r="A6" t="s">
        <v>240</v>
      </c>
      <c r="B6" t="s">
        <v>238</v>
      </c>
      <c r="C6" s="222">
        <v>0.40048627995831887</v>
      </c>
      <c r="D6" s="222">
        <v>0.30114623133032303</v>
      </c>
      <c r="E6" s="222">
        <v>0.16672455713789511</v>
      </c>
      <c r="F6" s="222">
        <v>8.1278221604723866E-2</v>
      </c>
      <c r="G6" s="222">
        <v>5.0364709968739145E-2</v>
      </c>
      <c r="H6" s="103"/>
      <c r="I6" s="201"/>
    </row>
    <row r="8" spans="1:16" x14ac:dyDescent="0.25">
      <c r="A8" t="s">
        <v>234</v>
      </c>
      <c r="C8" s="102">
        <f>C$4-C6</f>
        <v>-2.4679039958318882E-2</v>
      </c>
      <c r="D8" s="102">
        <f>D$4-D6</f>
        <v>2.0115686696769441E-3</v>
      </c>
      <c r="E8" s="102">
        <f>E$4-E6</f>
        <v>2.5922962862104881E-2</v>
      </c>
      <c r="F8" s="102">
        <f>F$4-F6</f>
        <v>-4.9290781604723978E-2</v>
      </c>
      <c r="G8" s="102">
        <f>G$4-G6</f>
        <v>4.6035290031260841E-2</v>
      </c>
    </row>
    <row r="10" spans="1:16" x14ac:dyDescent="0.25">
      <c r="A10" t="s">
        <v>215</v>
      </c>
      <c r="C10" s="195" t="s">
        <v>4</v>
      </c>
      <c r="D10" s="195" t="s">
        <v>5</v>
      </c>
      <c r="E10" s="90" t="s">
        <v>235</v>
      </c>
    </row>
    <row r="11" spans="1:16" x14ac:dyDescent="0.25">
      <c r="B11" t="s">
        <v>113</v>
      </c>
      <c r="C11" s="201">
        <v>0.02</v>
      </c>
      <c r="D11" s="201">
        <v>0.95</v>
      </c>
      <c r="E11" s="201">
        <v>0.03</v>
      </c>
    </row>
    <row r="12" spans="1:16" x14ac:dyDescent="0.25">
      <c r="B12" t="s">
        <v>4</v>
      </c>
      <c r="C12" s="201">
        <v>0.9</v>
      </c>
      <c r="D12" s="201">
        <v>0.06</v>
      </c>
      <c r="E12" s="201">
        <v>0.04</v>
      </c>
    </row>
    <row r="13" spans="1:16" x14ac:dyDescent="0.25">
      <c r="B13" t="s">
        <v>127</v>
      </c>
      <c r="C13" s="201">
        <v>0.18</v>
      </c>
      <c r="D13" s="201">
        <v>0.66</v>
      </c>
      <c r="E13" s="201">
        <v>0.16</v>
      </c>
    </row>
    <row r="14" spans="1:16" x14ac:dyDescent="0.25">
      <c r="B14" t="s">
        <v>235</v>
      </c>
      <c r="C14" s="201">
        <v>0.11</v>
      </c>
      <c r="D14" s="201">
        <v>0.28000000000000003</v>
      </c>
      <c r="E14" s="201">
        <v>0.61</v>
      </c>
    </row>
    <row r="15" spans="1:16" x14ac:dyDescent="0.25">
      <c r="B15" t="s">
        <v>89</v>
      </c>
      <c r="C15" s="201">
        <f>1/3</f>
        <v>0.33333333333333331</v>
      </c>
      <c r="D15" s="201">
        <f>1/3</f>
        <v>0.33333333333333331</v>
      </c>
      <c r="E15" s="201">
        <f>1/3</f>
        <v>0.33333333333333331</v>
      </c>
      <c r="K15" t="s">
        <v>4</v>
      </c>
      <c r="L15">
        <v>1153</v>
      </c>
      <c r="M15" s="124">
        <f t="shared" ref="M15:M20" si="0">L15/$L$20</f>
        <v>0.40048627995831887</v>
      </c>
      <c r="P15" s="124"/>
    </row>
    <row r="16" spans="1:16" x14ac:dyDescent="0.25">
      <c r="K16" t="s">
        <v>113</v>
      </c>
      <c r="L16">
        <v>867</v>
      </c>
      <c r="M16" s="124">
        <f t="shared" si="0"/>
        <v>0.30114623133032303</v>
      </c>
      <c r="P16" s="124"/>
    </row>
    <row r="17" spans="1:17" x14ac:dyDescent="0.25">
      <c r="C17" s="10" t="s">
        <v>4</v>
      </c>
      <c r="D17" s="10" t="s">
        <v>113</v>
      </c>
      <c r="E17" s="10" t="s">
        <v>235</v>
      </c>
      <c r="K17" t="s">
        <v>127</v>
      </c>
      <c r="L17">
        <v>480</v>
      </c>
      <c r="M17" s="124">
        <f t="shared" si="0"/>
        <v>0.16672455713789511</v>
      </c>
      <c r="P17" s="124"/>
    </row>
    <row r="18" spans="1:17" x14ac:dyDescent="0.25">
      <c r="A18" t="s">
        <v>240</v>
      </c>
      <c r="C18" s="201">
        <v>0.44</v>
      </c>
      <c r="D18" s="201">
        <v>0.46</v>
      </c>
      <c r="E18" s="201">
        <v>0.1</v>
      </c>
      <c r="K18" t="s">
        <v>29</v>
      </c>
      <c r="L18">
        <v>145</v>
      </c>
      <c r="M18" s="124">
        <f t="shared" si="0"/>
        <v>5.0364709968739145E-2</v>
      </c>
      <c r="P18" s="124"/>
    </row>
    <row r="19" spans="1:17" x14ac:dyDescent="0.25">
      <c r="B19" s="8" t="s">
        <v>236</v>
      </c>
      <c r="C19" s="102">
        <f>C8*C12+D8*C11+E8*C13+G8*C14+C15*F8</f>
        <v>-2.8871149905383878E-2</v>
      </c>
      <c r="D19" s="102">
        <f>C8*D12+D8*D11+E8*D13+G8*D14+D15*F8</f>
        <v>1.3999024001528231E-2</v>
      </c>
      <c r="E19" s="102">
        <f>C8*E12+D8*E11+E8*E13+G8*E14+E15*F8</f>
        <v>1.4872125903855452E-2</v>
      </c>
      <c r="G19" s="3"/>
      <c r="K19" t="s">
        <v>89</v>
      </c>
      <c r="L19">
        <f>L20-SUM(L15:L18)</f>
        <v>234</v>
      </c>
      <c r="M19" s="124">
        <f t="shared" si="0"/>
        <v>8.1278221604723866E-2</v>
      </c>
      <c r="P19" s="124"/>
    </row>
    <row r="20" spans="1:17" ht="15.75" thickBot="1" x14ac:dyDescent="0.3">
      <c r="B20" s="8"/>
      <c r="C20" s="195"/>
      <c r="D20" s="195"/>
      <c r="E20" s="195"/>
      <c r="K20" t="s">
        <v>9</v>
      </c>
      <c r="L20">
        <v>2879</v>
      </c>
      <c r="M20" s="124">
        <f t="shared" si="0"/>
        <v>1</v>
      </c>
      <c r="P20" s="124"/>
    </row>
    <row r="21" spans="1:17" x14ac:dyDescent="0.25">
      <c r="A21" s="152"/>
      <c r="B21" s="202" t="s">
        <v>237</v>
      </c>
      <c r="C21" s="223">
        <f>SUM(C18:C19)</f>
        <v>0.41112885009461614</v>
      </c>
      <c r="D21" s="223">
        <f>SUM(D18:D19)</f>
        <v>0.47399902400152827</v>
      </c>
      <c r="E21" s="224">
        <f>SUM(E18:E19)</f>
        <v>0.11487212590385545</v>
      </c>
      <c r="G21" s="124">
        <f>D21-C21</f>
        <v>6.287017390691213E-2</v>
      </c>
    </row>
    <row r="22" spans="1:17" ht="15.75" thickBot="1" x14ac:dyDescent="0.3">
      <c r="A22" s="43"/>
      <c r="B22" s="205" t="s">
        <v>239</v>
      </c>
      <c r="C22" s="187">
        <f>C21/SUM($C$21:$D$21)</f>
        <v>0.46448525927899825</v>
      </c>
      <c r="D22" s="187">
        <f>D21/SUM($C$21:$D$21)</f>
        <v>0.5355147407210018</v>
      </c>
      <c r="E22" s="192"/>
    </row>
    <row r="23" spans="1:17" x14ac:dyDescent="0.25">
      <c r="K23" s="195" t="s">
        <v>4</v>
      </c>
      <c r="L23" s="195" t="s">
        <v>113</v>
      </c>
      <c r="M23" s="195" t="s">
        <v>127</v>
      </c>
      <c r="N23" s="195" t="s">
        <v>89</v>
      </c>
      <c r="O23" s="195" t="s">
        <v>29</v>
      </c>
      <c r="P23" s="195"/>
      <c r="Q23" s="195" t="s">
        <v>9</v>
      </c>
    </row>
    <row r="24" spans="1:17" x14ac:dyDescent="0.25">
      <c r="A24" s="58" t="s">
        <v>240</v>
      </c>
      <c r="B24" s="58" t="s">
        <v>238</v>
      </c>
      <c r="C24" s="207">
        <v>0.40048627995831887</v>
      </c>
      <c r="D24" s="207">
        <v>0.30114623133032303</v>
      </c>
      <c r="E24" s="207">
        <v>0.16672455713789511</v>
      </c>
      <c r="F24" s="207">
        <v>8.1278221604723866E-2</v>
      </c>
      <c r="G24" s="207">
        <v>5.0364709968739145E-2</v>
      </c>
      <c r="H24" s="208"/>
      <c r="I24" s="207"/>
      <c r="K24" s="195">
        <v>1153</v>
      </c>
      <c r="L24" s="195">
        <v>867</v>
      </c>
      <c r="M24" s="195">
        <v>480</v>
      </c>
      <c r="N24" s="195">
        <f>Q24-SUM(K24:M24,O24)</f>
        <v>234</v>
      </c>
      <c r="O24" s="195">
        <v>145</v>
      </c>
      <c r="P24" s="195"/>
      <c r="Q24" s="195">
        <v>2879</v>
      </c>
    </row>
    <row r="25" spans="1:17" x14ac:dyDescent="0.25">
      <c r="A25" s="58"/>
      <c r="B25" s="58"/>
      <c r="C25" s="58"/>
      <c r="D25" s="58"/>
      <c r="E25" s="58"/>
      <c r="F25" s="58"/>
      <c r="G25" s="58"/>
      <c r="H25" s="58"/>
      <c r="I25" s="58"/>
      <c r="K25" s="121">
        <f>K24/$Q$24</f>
        <v>0.40048627995831887</v>
      </c>
      <c r="L25" s="121">
        <f>L24/$Q$24</f>
        <v>0.30114623133032303</v>
      </c>
      <c r="M25" s="121">
        <f>M24/$Q$24</f>
        <v>0.16672455713789511</v>
      </c>
      <c r="N25" s="121">
        <f>N24/$Q$24</f>
        <v>8.1278221604723866E-2</v>
      </c>
      <c r="O25" s="121">
        <f>O24/$Q$24</f>
        <v>5.0364709968739145E-2</v>
      </c>
      <c r="P25" s="195"/>
      <c r="Q25" s="121">
        <f>Q24/$Q$24</f>
        <v>1</v>
      </c>
    </row>
    <row r="26" spans="1:17" x14ac:dyDescent="0.25">
      <c r="A26" s="58" t="s">
        <v>234</v>
      </c>
      <c r="B26" s="58"/>
      <c r="C26" s="209">
        <v>-2.4679039958318882E-2</v>
      </c>
      <c r="D26" s="209">
        <v>2.0115686696769441E-3</v>
      </c>
      <c r="E26" s="209">
        <v>2.5922962862104881E-2</v>
      </c>
      <c r="F26" s="209">
        <v>-4.9290781604723978E-2</v>
      </c>
      <c r="G26" s="209">
        <v>4.6035290031260841E-2</v>
      </c>
      <c r="H26" s="58"/>
      <c r="I26" s="58"/>
      <c r="K26" s="195"/>
      <c r="L26" s="195"/>
      <c r="M26" s="195"/>
      <c r="N26" s="195"/>
      <c r="O26" s="195"/>
      <c r="P26" s="195"/>
      <c r="Q26" s="195"/>
    </row>
    <row r="27" spans="1:17" x14ac:dyDescent="0.25">
      <c r="A27" s="58"/>
      <c r="B27" s="58"/>
      <c r="C27" s="58"/>
      <c r="D27" s="58"/>
      <c r="E27" s="58"/>
      <c r="F27" s="58"/>
      <c r="G27" s="58"/>
      <c r="H27" s="58"/>
      <c r="I27" s="58"/>
      <c r="K27" s="102">
        <f>C4-K25</f>
        <v>-2.4679039958318882E-2</v>
      </c>
      <c r="L27" s="102">
        <f t="shared" ref="L27:O27" si="1">D4-L25</f>
        <v>2.0115686696769441E-3</v>
      </c>
      <c r="M27" s="102">
        <f t="shared" si="1"/>
        <v>2.5922962862104881E-2</v>
      </c>
      <c r="N27" s="102">
        <f>F4-N25</f>
        <v>-4.9290781604723978E-2</v>
      </c>
      <c r="O27" s="102">
        <f t="shared" si="1"/>
        <v>4.6035290031260841E-2</v>
      </c>
      <c r="P27" s="195"/>
      <c r="Q27" s="195"/>
    </row>
    <row r="28" spans="1:17" x14ac:dyDescent="0.25">
      <c r="A28" s="58" t="s">
        <v>215</v>
      </c>
      <c r="B28" s="58"/>
      <c r="C28" s="208" t="s">
        <v>4</v>
      </c>
      <c r="D28" s="208" t="s">
        <v>5</v>
      </c>
      <c r="E28" s="210" t="s">
        <v>235</v>
      </c>
      <c r="F28" s="58"/>
      <c r="G28" s="58"/>
      <c r="H28" s="58"/>
      <c r="I28" s="58"/>
      <c r="N28" s="3"/>
    </row>
    <row r="29" spans="1:17" x14ac:dyDescent="0.25">
      <c r="A29" s="58"/>
      <c r="B29" s="58" t="s">
        <v>113</v>
      </c>
      <c r="C29" s="207">
        <v>0.02</v>
      </c>
      <c r="D29" s="207">
        <v>0.95</v>
      </c>
      <c r="E29" s="207">
        <v>0.03</v>
      </c>
      <c r="F29" s="58"/>
      <c r="G29" s="58"/>
      <c r="H29" s="58"/>
      <c r="I29" s="58"/>
      <c r="N29" s="3"/>
    </row>
    <row r="30" spans="1:17" x14ac:dyDescent="0.25">
      <c r="A30" s="58"/>
      <c r="B30" s="58" t="s">
        <v>4</v>
      </c>
      <c r="C30" s="207">
        <v>0.9</v>
      </c>
      <c r="D30" s="207">
        <v>0.06</v>
      </c>
      <c r="E30" s="207">
        <v>0.04</v>
      </c>
      <c r="F30" s="58"/>
      <c r="G30" s="58"/>
      <c r="H30" s="58"/>
      <c r="I30" s="58"/>
    </row>
    <row r="31" spans="1:17" x14ac:dyDescent="0.25">
      <c r="A31" s="58"/>
      <c r="B31" s="58" t="s">
        <v>127</v>
      </c>
      <c r="C31" s="207">
        <v>0.18</v>
      </c>
      <c r="D31" s="207">
        <v>0.66</v>
      </c>
      <c r="E31" s="207">
        <v>0.16</v>
      </c>
      <c r="F31" s="58"/>
      <c r="G31" s="58"/>
      <c r="H31" s="58"/>
      <c r="I31" s="58"/>
    </row>
    <row r="32" spans="1:17" x14ac:dyDescent="0.25">
      <c r="A32" s="58"/>
      <c r="B32" s="58" t="s">
        <v>235</v>
      </c>
      <c r="C32" s="207">
        <v>0.11</v>
      </c>
      <c r="D32" s="207">
        <v>0.28000000000000003</v>
      </c>
      <c r="E32" s="207">
        <v>0.61</v>
      </c>
      <c r="F32" s="58"/>
      <c r="G32" s="58"/>
      <c r="H32" s="58"/>
      <c r="I32" s="58"/>
    </row>
    <row r="33" spans="1:9" x14ac:dyDescent="0.25">
      <c r="A33" s="58"/>
      <c r="B33" s="58" t="s">
        <v>89</v>
      </c>
      <c r="C33" s="207">
        <v>0.33333333333333331</v>
      </c>
      <c r="D33" s="207">
        <v>0.33333333333333331</v>
      </c>
      <c r="E33" s="207">
        <v>0.33333333333333331</v>
      </c>
      <c r="F33" s="58"/>
      <c r="G33" s="58"/>
      <c r="H33" s="58"/>
      <c r="I33" s="58"/>
    </row>
    <row r="34" spans="1:9" x14ac:dyDescent="0.25">
      <c r="A34" s="58"/>
      <c r="B34" s="58"/>
      <c r="C34" s="58"/>
      <c r="D34" s="58"/>
      <c r="E34" s="58"/>
      <c r="F34" s="58"/>
      <c r="G34" s="58"/>
      <c r="H34" s="58"/>
      <c r="I34" s="58"/>
    </row>
    <row r="35" spans="1:9" x14ac:dyDescent="0.25">
      <c r="A35" s="58"/>
      <c r="B35" s="58"/>
      <c r="C35" s="211" t="s">
        <v>4</v>
      </c>
      <c r="D35" s="211" t="s">
        <v>113</v>
      </c>
      <c r="E35" s="211" t="s">
        <v>235</v>
      </c>
      <c r="F35" s="58"/>
      <c r="G35" s="58"/>
      <c r="H35" s="58"/>
      <c r="I35" s="58"/>
    </row>
    <row r="36" spans="1:9" x14ac:dyDescent="0.25">
      <c r="A36" s="58" t="s">
        <v>240</v>
      </c>
      <c r="B36" s="58"/>
      <c r="C36" s="207">
        <v>0.44</v>
      </c>
      <c r="D36" s="207">
        <v>0.46</v>
      </c>
      <c r="E36" s="207">
        <v>0.1</v>
      </c>
      <c r="F36" s="58"/>
      <c r="G36" s="58"/>
      <c r="H36" s="58"/>
      <c r="I36" s="58"/>
    </row>
    <row r="37" spans="1:9" x14ac:dyDescent="0.25">
      <c r="A37" s="58"/>
      <c r="B37" s="212" t="s">
        <v>236</v>
      </c>
      <c r="C37" s="209">
        <v>-2.8871149905383878E-2</v>
      </c>
      <c r="D37" s="209">
        <v>1.3999024001528231E-2</v>
      </c>
      <c r="E37" s="209">
        <v>1.4872125903855452E-2</v>
      </c>
      <c r="F37" s="58"/>
      <c r="G37" s="213"/>
      <c r="H37" s="58"/>
      <c r="I37" s="58"/>
    </row>
    <row r="38" spans="1:9" ht="15.75" thickBot="1" x14ac:dyDescent="0.3">
      <c r="A38" s="58"/>
      <c r="B38" s="212"/>
      <c r="C38" s="208"/>
      <c r="D38" s="208"/>
      <c r="E38" s="208"/>
      <c r="F38" s="58"/>
      <c r="G38" s="58"/>
      <c r="H38" s="58"/>
      <c r="I38" s="58"/>
    </row>
    <row r="39" spans="1:9" x14ac:dyDescent="0.25">
      <c r="A39" s="214"/>
      <c r="B39" s="215" t="s">
        <v>237</v>
      </c>
      <c r="C39" s="216">
        <v>0.41112885009461614</v>
      </c>
      <c r="D39" s="216">
        <v>0.47399902400152827</v>
      </c>
      <c r="E39" s="217">
        <v>0.11487212590385545</v>
      </c>
      <c r="F39" s="58"/>
      <c r="G39" s="58"/>
      <c r="H39" s="58"/>
      <c r="I39" s="58"/>
    </row>
    <row r="40" spans="1:9" ht="15.75" thickBot="1" x14ac:dyDescent="0.3">
      <c r="A40" s="218"/>
      <c r="B40" s="219" t="s">
        <v>239</v>
      </c>
      <c r="C40" s="220">
        <v>0.46448525927899825</v>
      </c>
      <c r="D40" s="220">
        <v>0.5355147407210018</v>
      </c>
      <c r="E40" s="221"/>
      <c r="F40" s="58"/>
      <c r="G40" s="58"/>
      <c r="H40" s="58"/>
      <c r="I40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opLeftCell="B1" workbookViewId="0">
      <selection activeCell="N11" sqref="N11:P14"/>
    </sheetView>
    <sheetView workbookViewId="1"/>
  </sheetViews>
  <sheetFormatPr defaultRowHeight="15" x14ac:dyDescent="0.25"/>
  <cols>
    <col min="7" max="7" width="15.140625" bestFit="1" customWidth="1"/>
    <col min="8" max="8" width="13.85546875" bestFit="1" customWidth="1"/>
    <col min="12" max="12" width="16.5703125" bestFit="1" customWidth="1"/>
    <col min="13" max="13" width="16.85546875" bestFit="1" customWidth="1"/>
    <col min="14" max="14" width="7.140625" bestFit="1" customWidth="1"/>
    <col min="18" max="18" width="15.140625" bestFit="1" customWidth="1"/>
    <col min="19" max="19" width="13.85546875" bestFit="1" customWidth="1"/>
    <col min="20" max="20" width="10.42578125" bestFit="1" customWidth="1"/>
  </cols>
  <sheetData>
    <row r="1" spans="1:20" x14ac:dyDescent="0.25">
      <c r="C1" s="194" t="s">
        <v>4</v>
      </c>
      <c r="D1" s="194" t="s">
        <v>5</v>
      </c>
      <c r="E1" s="194" t="s">
        <v>127</v>
      </c>
      <c r="F1" s="194" t="s">
        <v>89</v>
      </c>
      <c r="G1" s="194" t="s">
        <v>14</v>
      </c>
      <c r="H1" s="194" t="s">
        <v>9</v>
      </c>
      <c r="I1" s="194" t="s">
        <v>232</v>
      </c>
      <c r="N1" s="196" t="s">
        <v>4</v>
      </c>
      <c r="O1" s="196" t="s">
        <v>5</v>
      </c>
      <c r="P1" s="196" t="s">
        <v>127</v>
      </c>
      <c r="Q1" s="196" t="s">
        <v>89</v>
      </c>
      <c r="R1" s="196" t="s">
        <v>14</v>
      </c>
      <c r="S1" s="196" t="s">
        <v>9</v>
      </c>
      <c r="T1" s="196" t="s">
        <v>232</v>
      </c>
    </row>
    <row r="3" spans="1:20" x14ac:dyDescent="0.25">
      <c r="A3" s="194" t="s">
        <v>129</v>
      </c>
      <c r="B3" s="194" t="s">
        <v>230</v>
      </c>
      <c r="C3" s="49">
        <v>0.41589999999999999</v>
      </c>
      <c r="D3" s="49">
        <v>0.33550000000000002</v>
      </c>
      <c r="E3" s="49">
        <v>0.2132</v>
      </c>
      <c r="F3" s="49">
        <f>(1-SUM(C3:E3))</f>
        <v>3.5399999999999876E-2</v>
      </c>
      <c r="G3" s="195"/>
      <c r="H3" s="178">
        <f>43267438/C3</f>
        <v>104033272.42125511</v>
      </c>
      <c r="L3" s="196" t="s">
        <v>129</v>
      </c>
      <c r="M3" s="196" t="s">
        <v>230</v>
      </c>
      <c r="N3" s="49">
        <v>0.41589999999999999</v>
      </c>
      <c r="O3" s="49">
        <v>0.33550000000000002</v>
      </c>
      <c r="P3" s="49">
        <v>0.2132</v>
      </c>
      <c r="Q3" s="49">
        <f>(1-SUM(N3:P3))</f>
        <v>3.5399999999999876E-2</v>
      </c>
      <c r="R3" s="200"/>
      <c r="S3" s="178">
        <f>43267438/N3</f>
        <v>104033272.42125511</v>
      </c>
    </row>
    <row r="4" spans="1:20" x14ac:dyDescent="0.25">
      <c r="B4" s="195" t="s">
        <v>231</v>
      </c>
      <c r="C4" s="102">
        <f>C3*(1-$G$4)</f>
        <v>0.37580723999999999</v>
      </c>
      <c r="D4" s="102">
        <f>D3*(1-$G$4)</f>
        <v>0.30315779999999998</v>
      </c>
      <c r="E4" s="102">
        <f>E3*(1-$G$4)</f>
        <v>0.19264751999999999</v>
      </c>
      <c r="F4" s="102">
        <f>(1-SUM(C3:E3))*(1-G4)</f>
        <v>3.1987439999999888E-2</v>
      </c>
      <c r="G4" s="19">
        <f>5.8%+3.84%</f>
        <v>9.6399999999999986E-2</v>
      </c>
      <c r="M4" s="200" t="s">
        <v>231</v>
      </c>
      <c r="N4" s="121">
        <f>N3*(1-$G$4)</f>
        <v>0.37580723999999999</v>
      </c>
      <c r="O4" s="121">
        <f>O3*(1-$G$4)</f>
        <v>0.30315779999999998</v>
      </c>
      <c r="P4" s="121">
        <f>P3*(1-$G$4)</f>
        <v>0.19264751999999999</v>
      </c>
      <c r="Q4" s="121">
        <f>(1-SUM(N3:P3))*(1-R4)</f>
        <v>3.1987439999999888E-2</v>
      </c>
      <c r="R4" s="226">
        <f>5.8%+3.84%</f>
        <v>9.6399999999999986E-2</v>
      </c>
    </row>
    <row r="6" spans="1:20" x14ac:dyDescent="0.25">
      <c r="A6" t="s">
        <v>233</v>
      </c>
      <c r="B6" t="s">
        <v>238</v>
      </c>
      <c r="C6" s="201">
        <v>0.4</v>
      </c>
      <c r="D6" s="201">
        <v>0.28999999999999998</v>
      </c>
      <c r="E6" s="201">
        <v>0.18</v>
      </c>
      <c r="F6" s="201">
        <v>0.04</v>
      </c>
      <c r="G6" s="201">
        <v>0.09</v>
      </c>
      <c r="H6" s="103"/>
      <c r="I6" s="201">
        <v>0.02</v>
      </c>
      <c r="L6" t="s">
        <v>233</v>
      </c>
      <c r="M6" t="s">
        <v>238</v>
      </c>
      <c r="N6" s="201">
        <v>0.4</v>
      </c>
      <c r="O6" s="201">
        <v>0.28999999999999998</v>
      </c>
      <c r="P6" s="201">
        <v>0.18</v>
      </c>
      <c r="Q6" s="201">
        <v>0.04</v>
      </c>
      <c r="R6" s="201">
        <v>0.09</v>
      </c>
      <c r="S6" s="103"/>
      <c r="T6" s="201">
        <v>0.01</v>
      </c>
    </row>
    <row r="8" spans="1:20" x14ac:dyDescent="0.25">
      <c r="A8" t="s">
        <v>234</v>
      </c>
      <c r="C8" s="102">
        <f>C$4-C6</f>
        <v>-2.4192760000000035E-2</v>
      </c>
      <c r="D8" s="102">
        <f>D$4-D6</f>
        <v>1.3157799999999997E-2</v>
      </c>
      <c r="E8" s="102">
        <f>E$4-E6</f>
        <v>1.2647519999999995E-2</v>
      </c>
      <c r="F8" s="102">
        <f>F$4-F6</f>
        <v>-8.0125600000001129E-3</v>
      </c>
      <c r="G8" s="102">
        <f>G$4-G6</f>
        <v>6.399999999999989E-3</v>
      </c>
      <c r="L8" t="s">
        <v>234</v>
      </c>
      <c r="N8" s="102">
        <f>N$4-N6</f>
        <v>-2.4192760000000035E-2</v>
      </c>
      <c r="O8" s="102">
        <f>O$4-O6</f>
        <v>1.3157799999999997E-2</v>
      </c>
      <c r="P8" s="102">
        <f>P$4-P6</f>
        <v>1.2647519999999995E-2</v>
      </c>
      <c r="Q8" s="102">
        <f>Q$4-Q6</f>
        <v>-8.0125600000001129E-3</v>
      </c>
      <c r="R8" s="102">
        <f>R$4-R6</f>
        <v>6.399999999999989E-3</v>
      </c>
    </row>
    <row r="9" spans="1:20" x14ac:dyDescent="0.25">
      <c r="N9" s="3"/>
      <c r="O9" s="3"/>
      <c r="P9" s="3"/>
      <c r="Q9" s="3"/>
    </row>
    <row r="10" spans="1:20" x14ac:dyDescent="0.25">
      <c r="A10" t="s">
        <v>215</v>
      </c>
      <c r="C10" s="195" t="s">
        <v>4</v>
      </c>
      <c r="D10" s="195" t="s">
        <v>5</v>
      </c>
      <c r="E10" s="90" t="s">
        <v>235</v>
      </c>
      <c r="L10" t="s">
        <v>215</v>
      </c>
      <c r="N10" s="200" t="s">
        <v>4</v>
      </c>
      <c r="O10" s="200" t="s">
        <v>5</v>
      </c>
      <c r="P10" s="90" t="s">
        <v>235</v>
      </c>
    </row>
    <row r="11" spans="1:20" x14ac:dyDescent="0.25">
      <c r="B11" t="s">
        <v>113</v>
      </c>
      <c r="C11" s="201">
        <v>0.03</v>
      </c>
      <c r="D11" s="201">
        <v>0.96</v>
      </c>
      <c r="E11" s="201">
        <v>0.01</v>
      </c>
      <c r="I11" s="35"/>
      <c r="J11" s="35"/>
      <c r="M11" t="s">
        <v>113</v>
      </c>
      <c r="N11" s="201">
        <v>0</v>
      </c>
      <c r="O11" s="201">
        <v>0.97</v>
      </c>
      <c r="P11" s="201">
        <v>0.03</v>
      </c>
    </row>
    <row r="12" spans="1:20" x14ac:dyDescent="0.25">
      <c r="B12" t="s">
        <v>4</v>
      </c>
      <c r="C12" s="201">
        <v>0.93</v>
      </c>
      <c r="D12" s="201">
        <v>0.05</v>
      </c>
      <c r="E12" s="201">
        <v>0.02</v>
      </c>
      <c r="I12" s="35"/>
      <c r="J12" s="35"/>
      <c r="M12" t="s">
        <v>4</v>
      </c>
      <c r="N12" s="201">
        <v>0.92</v>
      </c>
      <c r="O12" s="201">
        <v>0.08</v>
      </c>
      <c r="P12" s="201">
        <v>0</v>
      </c>
      <c r="S12" s="178"/>
    </row>
    <row r="13" spans="1:20" x14ac:dyDescent="0.25">
      <c r="B13" t="s">
        <v>127</v>
      </c>
      <c r="C13" s="201">
        <v>0.18</v>
      </c>
      <c r="D13" s="201">
        <v>0.64</v>
      </c>
      <c r="E13" s="201">
        <v>0.18</v>
      </c>
      <c r="I13" s="35"/>
      <c r="J13" s="35"/>
      <c r="M13" t="s">
        <v>127</v>
      </c>
      <c r="N13" s="201">
        <v>0.16</v>
      </c>
      <c r="O13" s="201">
        <v>0.6</v>
      </c>
      <c r="P13" s="201">
        <v>0.24</v>
      </c>
      <c r="S13" s="178"/>
    </row>
    <row r="14" spans="1:20" x14ac:dyDescent="0.25">
      <c r="B14" t="s">
        <v>241</v>
      </c>
      <c r="C14" s="201">
        <v>0.13</v>
      </c>
      <c r="D14" s="201">
        <v>0.31</v>
      </c>
      <c r="E14" s="201">
        <v>0.46</v>
      </c>
      <c r="M14" t="s">
        <v>241</v>
      </c>
      <c r="N14" s="201">
        <v>0.15</v>
      </c>
      <c r="O14" s="201">
        <v>0.2</v>
      </c>
      <c r="P14" s="201">
        <v>0.65</v>
      </c>
    </row>
    <row r="15" spans="1:20" x14ac:dyDescent="0.25">
      <c r="C15" s="201">
        <v>0.48</v>
      </c>
      <c r="D15" s="201">
        <v>0.31</v>
      </c>
      <c r="E15" s="201">
        <v>0.21</v>
      </c>
      <c r="M15" t="s">
        <v>89</v>
      </c>
      <c r="N15" s="201">
        <v>0.48</v>
      </c>
      <c r="O15" s="201">
        <v>0.31</v>
      </c>
      <c r="P15" s="201">
        <v>0.21</v>
      </c>
      <c r="S15" s="7"/>
    </row>
    <row r="16" spans="1:20" x14ac:dyDescent="0.25">
      <c r="J16" s="3"/>
    </row>
    <row r="17" spans="1:20" x14ac:dyDescent="0.25">
      <c r="C17" s="196" t="s">
        <v>4</v>
      </c>
      <c r="D17" s="196" t="s">
        <v>113</v>
      </c>
      <c r="E17" s="189" t="s">
        <v>235</v>
      </c>
      <c r="N17" s="196" t="s">
        <v>4</v>
      </c>
      <c r="O17" s="196" t="s">
        <v>113</v>
      </c>
      <c r="P17" s="10" t="s">
        <v>235</v>
      </c>
    </row>
    <row r="18" spans="1:20" x14ac:dyDescent="0.25">
      <c r="A18" t="s">
        <v>233</v>
      </c>
      <c r="C18" s="201">
        <v>0.44</v>
      </c>
      <c r="D18" s="201">
        <v>0.46</v>
      </c>
      <c r="E18" s="201">
        <v>0.1</v>
      </c>
      <c r="L18" t="s">
        <v>233</v>
      </c>
      <c r="N18" s="201">
        <v>0.43</v>
      </c>
      <c r="O18" s="201">
        <v>0.45</v>
      </c>
      <c r="P18" s="201">
        <v>0.12</v>
      </c>
    </row>
    <row r="19" spans="1:20" x14ac:dyDescent="0.25">
      <c r="B19" s="8" t="s">
        <v>236</v>
      </c>
      <c r="C19" s="102">
        <f>C8*C12+D8*C11+E8*C13+G8*C14+C15*F8</f>
        <v>-2.2842008000000091E-2</v>
      </c>
      <c r="D19" s="102">
        <f>C8*D12+D8*D11+E8*D13+G8*D14+D15*F8</f>
        <v>1.9016369199999952E-2</v>
      </c>
      <c r="E19" s="102">
        <f>C8*E12+D8*E11+E8*E13+G8*E14+E15*F8</f>
        <v>3.1856387999999701E-3</v>
      </c>
      <c r="M19" s="8" t="s">
        <v>236</v>
      </c>
      <c r="N19" s="102">
        <f>N8*N12+O8*N11+P8*N13+R8*N14+N15*Q8</f>
        <v>-2.3119764800000091E-2</v>
      </c>
      <c r="O19" s="102">
        <f>N8*O12+O8*O11+P8*O13+R8*O14+O15*Q8</f>
        <v>1.7212263599999951E-2</v>
      </c>
      <c r="P19" s="102">
        <f>N8*P12+O8*P11+P8*P13+R8*P14+P15*Q8</f>
        <v>5.9075011999999679E-3</v>
      </c>
    </row>
    <row r="20" spans="1:20" ht="15.75" thickBot="1" x14ac:dyDescent="0.3">
      <c r="B20" s="8"/>
      <c r="C20" s="195"/>
      <c r="D20" s="195"/>
      <c r="E20" s="195"/>
      <c r="M20" s="8"/>
      <c r="N20" s="200"/>
      <c r="O20" s="200"/>
      <c r="P20" s="200"/>
    </row>
    <row r="21" spans="1:20" x14ac:dyDescent="0.25">
      <c r="A21" s="152"/>
      <c r="B21" s="202" t="s">
        <v>237</v>
      </c>
      <c r="C21" s="223">
        <f>SUM(C18:C19)</f>
        <v>0.41715799199999992</v>
      </c>
      <c r="D21" s="223">
        <f>SUM(D18:D19)</f>
        <v>0.47901636919999996</v>
      </c>
      <c r="E21" s="224">
        <f>SUM(E18:E19)</f>
        <v>0.10318563879999998</v>
      </c>
      <c r="G21" s="124">
        <f>D21-C21</f>
        <v>6.1858377200000036E-2</v>
      </c>
      <c r="L21" s="152"/>
      <c r="M21" s="202" t="s">
        <v>237</v>
      </c>
      <c r="N21" s="203">
        <f>SUM(N18:N19)</f>
        <v>0.40688023519999988</v>
      </c>
      <c r="O21" s="203">
        <f>SUM(O18:O19)</f>
        <v>0.46721226359999996</v>
      </c>
      <c r="P21" s="204">
        <f>SUM(P18:P19)</f>
        <v>0.12590750119999997</v>
      </c>
      <c r="R21" s="124">
        <f>O21-N21</f>
        <v>6.0332028400000071E-2</v>
      </c>
    </row>
    <row r="22" spans="1:20" ht="15.75" thickBot="1" x14ac:dyDescent="0.3">
      <c r="A22" s="43"/>
      <c r="B22" s="205" t="s">
        <v>239</v>
      </c>
      <c r="C22" s="187">
        <f>C21/SUM($C$21:$D$21)</f>
        <v>0.46548753240542934</v>
      </c>
      <c r="D22" s="187">
        <f>D21/SUM($C$21:$D$21)</f>
        <v>0.53451246759457061</v>
      </c>
      <c r="E22" s="192"/>
      <c r="G22" s="124">
        <f>D22-C22</f>
        <v>6.9024935189141268E-2</v>
      </c>
      <c r="L22" s="43"/>
      <c r="M22" s="205" t="s">
        <v>239</v>
      </c>
      <c r="N22" s="187">
        <f>N21/SUM($N$21:$O$21)</f>
        <v>0.46548876206875872</v>
      </c>
      <c r="O22" s="187">
        <f>O21/SUM($N$21:$O$21)</f>
        <v>0.53451123793124133</v>
      </c>
      <c r="P22" s="192"/>
      <c r="R22" s="124">
        <f>O22-N22</f>
        <v>6.9022475862482613E-2</v>
      </c>
    </row>
    <row r="24" spans="1:20" x14ac:dyDescent="0.25">
      <c r="A24" t="s">
        <v>233</v>
      </c>
      <c r="B24" t="s">
        <v>238</v>
      </c>
      <c r="C24" s="81">
        <v>0.4</v>
      </c>
      <c r="D24" s="81">
        <v>0.28999999999999998</v>
      </c>
      <c r="E24" s="81">
        <v>0.18</v>
      </c>
      <c r="F24" s="81">
        <v>0.04</v>
      </c>
      <c r="G24" s="81">
        <v>0.09</v>
      </c>
      <c r="H24" s="195"/>
      <c r="I24" s="81">
        <v>0.02</v>
      </c>
      <c r="L24" t="s">
        <v>233</v>
      </c>
      <c r="M24" t="s">
        <v>238</v>
      </c>
      <c r="N24" s="81">
        <v>0.4</v>
      </c>
      <c r="O24" s="81">
        <v>0.28999999999999998</v>
      </c>
      <c r="P24" s="81">
        <v>0.18</v>
      </c>
      <c r="Q24" s="81">
        <v>0.04</v>
      </c>
      <c r="R24" s="81">
        <v>0.09</v>
      </c>
      <c r="S24" s="200"/>
      <c r="T24" s="81">
        <v>0.02</v>
      </c>
    </row>
    <row r="26" spans="1:20" x14ac:dyDescent="0.25">
      <c r="A26" t="s">
        <v>234</v>
      </c>
      <c r="C26" s="102">
        <f>C$4-C24</f>
        <v>-2.4192760000000035E-2</v>
      </c>
      <c r="D26" s="102">
        <f>D$4-D24</f>
        <v>1.3157799999999997E-2</v>
      </c>
      <c r="E26" s="102">
        <f>E$4-E24</f>
        <v>1.2647519999999995E-2</v>
      </c>
      <c r="F26" s="102">
        <f>F$4-F24</f>
        <v>-8.0125600000001129E-3</v>
      </c>
      <c r="G26" s="102">
        <f>G$4-G24</f>
        <v>6.399999999999989E-3</v>
      </c>
      <c r="L26" t="s">
        <v>234</v>
      </c>
      <c r="N26" s="102">
        <f>N$4-N24</f>
        <v>-2.4192760000000035E-2</v>
      </c>
      <c r="O26" s="102">
        <f>O$4-O24</f>
        <v>1.3157799999999997E-2</v>
      </c>
      <c r="P26" s="102">
        <f>P$4-P24</f>
        <v>1.2647519999999995E-2</v>
      </c>
      <c r="Q26" s="102">
        <f>Q$4-Q24</f>
        <v>-8.0125600000001129E-3</v>
      </c>
      <c r="R26" s="102">
        <f>R$4-R24</f>
        <v>6.399999999999989E-3</v>
      </c>
    </row>
    <row r="28" spans="1:20" x14ac:dyDescent="0.25">
      <c r="A28" t="s">
        <v>215</v>
      </c>
      <c r="C28" s="195" t="s">
        <v>4</v>
      </c>
      <c r="D28" s="195" t="s">
        <v>5</v>
      </c>
      <c r="E28" s="90" t="s">
        <v>235</v>
      </c>
      <c r="L28" t="s">
        <v>215</v>
      </c>
      <c r="N28" s="200" t="s">
        <v>4</v>
      </c>
      <c r="O28" s="200" t="s">
        <v>5</v>
      </c>
      <c r="P28" s="90" t="s">
        <v>235</v>
      </c>
    </row>
    <row r="29" spans="1:20" x14ac:dyDescent="0.25">
      <c r="B29" t="s">
        <v>113</v>
      </c>
      <c r="C29" s="81">
        <v>0.03</v>
      </c>
      <c r="D29" s="81">
        <v>0.96</v>
      </c>
      <c r="E29" s="81">
        <v>0.01</v>
      </c>
      <c r="M29" t="s">
        <v>113</v>
      </c>
      <c r="N29" s="81">
        <v>0.03</v>
      </c>
      <c r="O29" s="81">
        <v>0.96</v>
      </c>
      <c r="P29" s="81">
        <v>0.01</v>
      </c>
    </row>
    <row r="30" spans="1:20" x14ac:dyDescent="0.25">
      <c r="B30" t="s">
        <v>4</v>
      </c>
      <c r="C30" s="81">
        <v>0.93</v>
      </c>
      <c r="D30" s="81">
        <v>0.05</v>
      </c>
      <c r="E30" s="81">
        <v>0.02</v>
      </c>
      <c r="M30" t="s">
        <v>4</v>
      </c>
      <c r="N30" s="81">
        <v>0.93</v>
      </c>
      <c r="O30" s="81">
        <v>0.05</v>
      </c>
      <c r="P30" s="81">
        <v>0.02</v>
      </c>
    </row>
    <row r="31" spans="1:20" x14ac:dyDescent="0.25">
      <c r="B31" t="s">
        <v>127</v>
      </c>
      <c r="C31" s="81">
        <v>0.18</v>
      </c>
      <c r="D31" s="81">
        <v>0.64</v>
      </c>
      <c r="E31" s="81">
        <v>0.18</v>
      </c>
      <c r="M31" t="s">
        <v>127</v>
      </c>
      <c r="N31" s="81">
        <v>0.18</v>
      </c>
      <c r="O31" s="81">
        <v>0.64</v>
      </c>
      <c r="P31" s="81">
        <v>0.18</v>
      </c>
    </row>
    <row r="33" spans="1:16" x14ac:dyDescent="0.25">
      <c r="C33" s="10" t="s">
        <v>4</v>
      </c>
      <c r="D33" s="10" t="s">
        <v>113</v>
      </c>
      <c r="E33" s="10" t="s">
        <v>235</v>
      </c>
      <c r="N33" s="10" t="s">
        <v>4</v>
      </c>
      <c r="O33" s="10" t="s">
        <v>113</v>
      </c>
      <c r="P33" s="10" t="s">
        <v>235</v>
      </c>
    </row>
    <row r="34" spans="1:16" x14ac:dyDescent="0.25">
      <c r="A34" t="s">
        <v>233</v>
      </c>
      <c r="C34" s="81">
        <v>0.44</v>
      </c>
      <c r="D34" s="81">
        <v>0.46</v>
      </c>
      <c r="E34" s="81">
        <v>0.1</v>
      </c>
      <c r="L34" t="s">
        <v>233</v>
      </c>
      <c r="N34" s="81">
        <v>0.44</v>
      </c>
      <c r="O34" s="81">
        <v>0.46</v>
      </c>
      <c r="P34" s="81">
        <v>0.1</v>
      </c>
    </row>
    <row r="35" spans="1:16" x14ac:dyDescent="0.25">
      <c r="B35" s="8" t="s">
        <v>236</v>
      </c>
      <c r="C35" s="102">
        <f>C26*C30+D26*C29+E26*C31</f>
        <v>-1.9827979200000036E-2</v>
      </c>
      <c r="D35" s="102">
        <f>C26*D30+D26*D29+E26*D31</f>
        <v>1.9516262799999989E-2</v>
      </c>
      <c r="E35" s="195"/>
      <c r="M35" s="8" t="s">
        <v>236</v>
      </c>
      <c r="N35" s="102">
        <f>N26*N30+O26*N29+P26*N31</f>
        <v>-1.9827979200000036E-2</v>
      </c>
      <c r="O35" s="102">
        <f>N26*O30+O26*O29+P26*O31</f>
        <v>1.9516262799999989E-2</v>
      </c>
      <c r="P35" s="200"/>
    </row>
    <row r="36" spans="1:16" ht="15.75" thickBot="1" x14ac:dyDescent="0.3">
      <c r="B36" s="8"/>
      <c r="C36" s="195"/>
      <c r="D36" s="195"/>
      <c r="E36" s="195"/>
      <c r="M36" s="8"/>
      <c r="N36" s="200"/>
      <c r="O36" s="200"/>
      <c r="P36" s="200"/>
    </row>
    <row r="37" spans="1:16" x14ac:dyDescent="0.25">
      <c r="A37" s="152"/>
      <c r="B37" s="202" t="s">
        <v>237</v>
      </c>
      <c r="C37" s="203">
        <f>SUM(C34:C35)</f>
        <v>0.42017202079999999</v>
      </c>
      <c r="D37" s="203">
        <f>SUM(D34:D35)</f>
        <v>0.47951626280000004</v>
      </c>
      <c r="E37" s="204">
        <f>SUM(E34:E35)</f>
        <v>0.1</v>
      </c>
      <c r="L37" s="152"/>
      <c r="M37" s="202" t="s">
        <v>237</v>
      </c>
      <c r="N37" s="203">
        <f>SUM(N34:N35)</f>
        <v>0.42017202079999999</v>
      </c>
      <c r="O37" s="203">
        <f>SUM(O34:O35)</f>
        <v>0.47951626280000004</v>
      </c>
      <c r="P37" s="204">
        <f>SUM(P34:P35)</f>
        <v>0.1</v>
      </c>
    </row>
    <row r="38" spans="1:16" ht="15.75" thickBot="1" x14ac:dyDescent="0.3">
      <c r="A38" s="43"/>
      <c r="B38" s="205" t="s">
        <v>239</v>
      </c>
      <c r="C38" s="158">
        <f>C37/SUM($C$37:$D$37)</f>
        <v>0.4670195538378355</v>
      </c>
      <c r="D38" s="158">
        <f>D37/SUM($C$37:$D$37)</f>
        <v>0.53298044616216456</v>
      </c>
      <c r="E38" s="206"/>
      <c r="L38" s="43"/>
      <c r="M38" s="205" t="s">
        <v>239</v>
      </c>
      <c r="N38" s="158">
        <f>N37/SUM($C$37:$D$37)</f>
        <v>0.4670195538378355</v>
      </c>
      <c r="O38" s="158">
        <f>O37/SUM($C$37:$D$37)</f>
        <v>0.53298044616216456</v>
      </c>
      <c r="P38" s="206"/>
    </row>
    <row r="41" spans="1:16" x14ac:dyDescent="0.25">
      <c r="B41" s="227" t="s">
        <v>4</v>
      </c>
      <c r="C41" s="227" t="s">
        <v>5</v>
      </c>
      <c r="D41" s="227" t="s">
        <v>127</v>
      </c>
      <c r="E41" s="227" t="s">
        <v>89</v>
      </c>
      <c r="F41" s="227" t="s">
        <v>14</v>
      </c>
    </row>
    <row r="42" spans="1:16" x14ac:dyDescent="0.25">
      <c r="B42" s="201">
        <v>0.4</v>
      </c>
      <c r="C42" s="201">
        <v>0.28999999999999998</v>
      </c>
      <c r="D42" s="201">
        <v>0.18</v>
      </c>
      <c r="E42" s="201">
        <v>0.04</v>
      </c>
      <c r="F42" s="201">
        <v>0.09</v>
      </c>
    </row>
    <row r="43" spans="1:16" x14ac:dyDescent="0.25">
      <c r="B43" s="81">
        <f>B42/SUM($B$42:$E$42)</f>
        <v>0.43956043956043961</v>
      </c>
      <c r="C43" s="81">
        <f>C42/SUM($B$42:$E$42)</f>
        <v>0.31868131868131871</v>
      </c>
      <c r="D43" s="81">
        <f>D42/SUM($B$42:$E$42)</f>
        <v>0.19780219780219782</v>
      </c>
      <c r="E43" s="81">
        <f>E42/SUM($B$42:$E$42)</f>
        <v>4.3956043956043959E-2</v>
      </c>
    </row>
    <row r="44" spans="1:16" x14ac:dyDescent="0.25">
      <c r="B44" s="227" t="s">
        <v>4</v>
      </c>
      <c r="C44" s="227" t="s">
        <v>5</v>
      </c>
      <c r="D44" s="227" t="s">
        <v>127</v>
      </c>
      <c r="E44" s="227" t="s">
        <v>89</v>
      </c>
      <c r="F44" s="227" t="s">
        <v>14</v>
      </c>
    </row>
    <row r="45" spans="1:16" x14ac:dyDescent="0.25">
      <c r="A45" t="s">
        <v>263</v>
      </c>
      <c r="B45" s="228">
        <v>41</v>
      </c>
      <c r="C45" s="228">
        <v>28</v>
      </c>
      <c r="D45" s="228">
        <v>22</v>
      </c>
      <c r="E45" s="228">
        <v>3</v>
      </c>
      <c r="F45" s="228">
        <v>6</v>
      </c>
    </row>
    <row r="46" spans="1:16" x14ac:dyDescent="0.25">
      <c r="A46" t="s">
        <v>2</v>
      </c>
      <c r="B46" s="228">
        <v>54</v>
      </c>
      <c r="C46" s="228">
        <v>21</v>
      </c>
      <c r="D46" s="228">
        <v>17</v>
      </c>
      <c r="E46" s="228">
        <v>2</v>
      </c>
      <c r="F46" s="228">
        <v>6</v>
      </c>
      <c r="M46" s="124"/>
      <c r="N46" s="124"/>
      <c r="O46" s="124"/>
    </row>
    <row r="47" spans="1:16" x14ac:dyDescent="0.25">
      <c r="A47" t="s">
        <v>0</v>
      </c>
      <c r="B47" s="228">
        <v>35</v>
      </c>
      <c r="C47" s="228">
        <v>30</v>
      </c>
      <c r="D47" s="228">
        <v>19</v>
      </c>
      <c r="E47" s="228">
        <v>5</v>
      </c>
      <c r="F47" s="228">
        <v>11</v>
      </c>
    </row>
    <row r="48" spans="1:16" x14ac:dyDescent="0.25">
      <c r="A48" t="s">
        <v>248</v>
      </c>
      <c r="B48" s="228">
        <v>32</v>
      </c>
      <c r="C48" s="228">
        <v>42</v>
      </c>
      <c r="D48" s="228">
        <v>10</v>
      </c>
      <c r="E48" s="228">
        <v>5</v>
      </c>
      <c r="F48" s="228">
        <v>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abSelected="1" workbookViewId="0">
      <selection activeCell="J19" sqref="J19"/>
    </sheetView>
    <sheetView topLeftCell="A16" workbookViewId="1">
      <selection activeCell="B17" sqref="B17"/>
    </sheetView>
  </sheetViews>
  <sheetFormatPr defaultRowHeight="15" x14ac:dyDescent="0.25"/>
  <cols>
    <col min="1" max="1" width="16.5703125" bestFit="1" customWidth="1"/>
    <col min="2" max="2" width="16.85546875" bestFit="1" customWidth="1"/>
    <col min="3" max="4" width="7.85546875" bestFit="1" customWidth="1"/>
    <col min="5" max="5" width="14.85546875" bestFit="1" customWidth="1"/>
    <col min="7" max="7" width="15.140625" bestFit="1" customWidth="1"/>
    <col min="8" max="8" width="13.85546875" bestFit="1" customWidth="1"/>
    <col min="12" max="12" width="16.5703125" bestFit="1" customWidth="1"/>
    <col min="13" max="13" width="16.85546875" bestFit="1" customWidth="1"/>
    <col min="14" max="14" width="7.140625" bestFit="1" customWidth="1"/>
    <col min="18" max="18" width="15.140625" bestFit="1" customWidth="1"/>
    <col min="19" max="19" width="13.85546875" bestFit="1" customWidth="1"/>
    <col min="20" max="20" width="10.42578125" bestFit="1" customWidth="1"/>
  </cols>
  <sheetData>
    <row r="1" spans="1:10" x14ac:dyDescent="0.25">
      <c r="C1" s="229" t="s">
        <v>4</v>
      </c>
      <c r="D1" s="229" t="s">
        <v>5</v>
      </c>
      <c r="E1" s="229" t="s">
        <v>127</v>
      </c>
      <c r="F1" s="229" t="s">
        <v>89</v>
      </c>
      <c r="G1" s="229" t="s">
        <v>14</v>
      </c>
      <c r="H1" s="229" t="s">
        <v>9</v>
      </c>
      <c r="I1" s="229" t="s">
        <v>232</v>
      </c>
    </row>
    <row r="3" spans="1:10" x14ac:dyDescent="0.25">
      <c r="A3" s="260" t="s">
        <v>281</v>
      </c>
      <c r="B3" s="229" t="s">
        <v>230</v>
      </c>
      <c r="C3" s="49">
        <v>0.41589999999999999</v>
      </c>
      <c r="D3" s="49">
        <v>0.33550000000000002</v>
      </c>
      <c r="E3" s="49">
        <v>0.2132</v>
      </c>
      <c r="F3" s="49">
        <f>(1-SUM(C3:E3))</f>
        <v>3.5399999999999876E-2</v>
      </c>
      <c r="G3" s="230"/>
      <c r="H3" s="178">
        <f>43267438/C3</f>
        <v>104033272.42125511</v>
      </c>
    </row>
    <row r="4" spans="1:10" x14ac:dyDescent="0.25">
      <c r="B4" s="230" t="s">
        <v>231</v>
      </c>
      <c r="C4" s="102">
        <f>C3*(1-$G$4)</f>
        <v>0.37576427659159589</v>
      </c>
      <c r="D4" s="102">
        <f>D3*(1-$G$4)</f>
        <v>0.30312314209300417</v>
      </c>
      <c r="E4" s="102">
        <f>E3*(1-$G$4)</f>
        <v>0.19262549595895226</v>
      </c>
      <c r="F4" s="102">
        <f>(1-SUM(C3:E3))*(1-G4)</f>
        <v>3.1983783100126104E-2</v>
      </c>
      <c r="G4" s="19">
        <v>9.6503302256321491E-2</v>
      </c>
    </row>
    <row r="6" spans="1:10" x14ac:dyDescent="0.25">
      <c r="A6" t="s">
        <v>233</v>
      </c>
      <c r="B6" t="s">
        <v>238</v>
      </c>
      <c r="C6" s="201">
        <v>0.4</v>
      </c>
      <c r="D6" s="201">
        <v>0.28999999999999998</v>
      </c>
      <c r="E6" s="201">
        <v>0.18</v>
      </c>
      <c r="F6" s="201">
        <v>0.04</v>
      </c>
      <c r="G6" s="201">
        <v>0.09</v>
      </c>
      <c r="H6" s="103"/>
      <c r="I6" s="201">
        <v>0.02</v>
      </c>
    </row>
    <row r="8" spans="1:10" x14ac:dyDescent="0.25">
      <c r="A8" t="s">
        <v>234</v>
      </c>
      <c r="C8" s="102">
        <f>C4-C6</f>
        <v>-2.4235723408404131E-2</v>
      </c>
      <c r="D8" s="102">
        <f t="shared" ref="D8:G8" si="0">D4-D6</f>
        <v>1.3123142093004192E-2</v>
      </c>
      <c r="E8" s="102">
        <f t="shared" si="0"/>
        <v>1.2625495958952265E-2</v>
      </c>
      <c r="F8" s="102">
        <f t="shared" si="0"/>
        <v>-8.0162168998738972E-3</v>
      </c>
      <c r="G8" s="102">
        <f t="shared" si="0"/>
        <v>6.5033022563214943E-3</v>
      </c>
    </row>
    <row r="10" spans="1:10" x14ac:dyDescent="0.25">
      <c r="A10" t="s">
        <v>215</v>
      </c>
      <c r="C10" s="230" t="s">
        <v>4</v>
      </c>
      <c r="D10" s="230" t="s">
        <v>5</v>
      </c>
      <c r="E10" s="90" t="s">
        <v>235</v>
      </c>
    </row>
    <row r="11" spans="1:10" x14ac:dyDescent="0.25">
      <c r="B11" t="s">
        <v>113</v>
      </c>
      <c r="C11" s="201">
        <v>0</v>
      </c>
      <c r="D11" s="201">
        <v>0.97</v>
      </c>
      <c r="E11" s="201">
        <v>0.03</v>
      </c>
      <c r="I11" s="35"/>
      <c r="J11" s="35"/>
    </row>
    <row r="12" spans="1:10" x14ac:dyDescent="0.25">
      <c r="B12" t="s">
        <v>4</v>
      </c>
      <c r="C12" s="201">
        <v>0.92</v>
      </c>
      <c r="D12" s="201">
        <v>0.08</v>
      </c>
      <c r="E12" s="201">
        <v>0</v>
      </c>
      <c r="I12" s="35"/>
      <c r="J12" s="35"/>
    </row>
    <row r="13" spans="1:10" x14ac:dyDescent="0.25">
      <c r="B13" t="s">
        <v>127</v>
      </c>
      <c r="C13" s="201">
        <v>0.16</v>
      </c>
      <c r="D13" s="201">
        <v>0.6</v>
      </c>
      <c r="E13" s="201">
        <v>0.24</v>
      </c>
      <c r="I13" s="35"/>
      <c r="J13" s="35"/>
    </row>
    <row r="14" spans="1:10" x14ac:dyDescent="0.25">
      <c r="B14" t="s">
        <v>241</v>
      </c>
      <c r="C14" s="201">
        <v>0.15</v>
      </c>
      <c r="D14" s="201">
        <v>0.2</v>
      </c>
      <c r="E14" s="201">
        <v>0.65</v>
      </c>
    </row>
    <row r="15" spans="1:10" x14ac:dyDescent="0.25">
      <c r="B15" t="s">
        <v>89</v>
      </c>
      <c r="C15" s="201">
        <v>0.37736422793894059</v>
      </c>
      <c r="D15" s="201">
        <v>0.41193821078878545</v>
      </c>
      <c r="E15" s="201">
        <v>0.21069756127227396</v>
      </c>
    </row>
    <row r="16" spans="1:10" x14ac:dyDescent="0.25">
      <c r="J16" s="3"/>
    </row>
    <row r="17" spans="1:16" x14ac:dyDescent="0.25">
      <c r="C17" s="229" t="s">
        <v>4</v>
      </c>
      <c r="D17" s="229" t="s">
        <v>113</v>
      </c>
      <c r="E17" s="189" t="s">
        <v>235</v>
      </c>
    </row>
    <row r="18" spans="1:16" x14ac:dyDescent="0.25">
      <c r="A18" t="s">
        <v>233</v>
      </c>
      <c r="C18" s="201">
        <v>0.43</v>
      </c>
      <c r="D18" s="201">
        <v>0.45</v>
      </c>
      <c r="E18" s="201">
        <v>0.12</v>
      </c>
    </row>
    <row r="19" spans="1:16" x14ac:dyDescent="0.25">
      <c r="B19" s="8" t="s">
        <v>236</v>
      </c>
      <c r="C19" s="102">
        <f>C8*C12+D8*C11+E8*C13+G8*C14+C15*F8</f>
        <v>-2.2326324345263215E-2</v>
      </c>
      <c r="D19" s="102">
        <f>C8*D12+D8*D11+E8*D13+G8*D14+D15*F8</f>
        <v>1.6364361937148512E-2</v>
      </c>
      <c r="E19" s="102">
        <f>C8*E12+D8*E11+E8*E13+G8*E14+E15*F8</f>
        <v>5.9619624081146223E-3</v>
      </c>
    </row>
    <row r="20" spans="1:16" ht="15.75" thickBot="1" x14ac:dyDescent="0.3">
      <c r="B20" s="8"/>
      <c r="C20" s="230"/>
      <c r="D20" s="230"/>
      <c r="E20" s="230"/>
    </row>
    <row r="21" spans="1:16" x14ac:dyDescent="0.25">
      <c r="A21" s="152"/>
      <c r="B21" s="202" t="s">
        <v>237</v>
      </c>
      <c r="C21" s="223">
        <f>SUM(C18:C19)</f>
        <v>0.40767367565473678</v>
      </c>
      <c r="D21" s="223">
        <f>SUM(D18:D19)</f>
        <v>0.46636436193714853</v>
      </c>
      <c r="E21" s="224">
        <f>SUM(E18:E19)</f>
        <v>0.12596196240811461</v>
      </c>
      <c r="G21" s="124">
        <f>D21-C21</f>
        <v>5.8690686282411753E-2</v>
      </c>
      <c r="H21" s="3">
        <f>H40+H69+H93+H119</f>
        <v>-7.4261319425667632E-2</v>
      </c>
    </row>
    <row r="22" spans="1:16" ht="15.75" thickBot="1" x14ac:dyDescent="0.3">
      <c r="A22" s="43"/>
      <c r="B22" s="205" t="s">
        <v>239</v>
      </c>
      <c r="C22" s="187">
        <f>C21/SUM($C$21:$D$21)</f>
        <v>0.46642555371839767</v>
      </c>
      <c r="D22" s="187">
        <f>D21/SUM($C$21:$D$21)</f>
        <v>0.53357444628160233</v>
      </c>
      <c r="E22" s="192"/>
      <c r="G22" s="124">
        <f>D22-C22</f>
        <v>6.7148892563204665E-2</v>
      </c>
    </row>
    <row r="24" spans="1:16" x14ac:dyDescent="0.25">
      <c r="C24" s="81"/>
      <c r="D24" s="81"/>
      <c r="E24" s="81"/>
      <c r="F24" s="81"/>
      <c r="G24" s="81"/>
      <c r="H24" s="230"/>
      <c r="I24" s="81"/>
    </row>
    <row r="26" spans="1:16" x14ac:dyDescent="0.25">
      <c r="C26" s="229" t="s">
        <v>4</v>
      </c>
      <c r="D26" s="229" t="s">
        <v>5</v>
      </c>
      <c r="E26" s="229" t="s">
        <v>127</v>
      </c>
      <c r="F26" s="229" t="s">
        <v>89</v>
      </c>
      <c r="G26" s="229" t="s">
        <v>14</v>
      </c>
      <c r="H26" s="229" t="s">
        <v>9</v>
      </c>
      <c r="I26" s="229" t="s">
        <v>232</v>
      </c>
    </row>
    <row r="28" spans="1:16" x14ac:dyDescent="0.25">
      <c r="A28" s="260" t="s">
        <v>282</v>
      </c>
      <c r="B28" s="229" t="s">
        <v>230</v>
      </c>
      <c r="C28" s="130">
        <v>0.32406457456505916</v>
      </c>
      <c r="D28" s="130">
        <v>0.39447408292284541</v>
      </c>
      <c r="E28" s="130">
        <v>0.23601139839264287</v>
      </c>
      <c r="F28" s="257">
        <f>1-(SUM(C28:E28))</f>
        <v>4.5449944119452579E-2</v>
      </c>
      <c r="G28" s="230"/>
      <c r="H28" s="178">
        <v>44376868.466111459</v>
      </c>
    </row>
    <row r="29" spans="1:16" x14ac:dyDescent="0.25">
      <c r="B29" s="230" t="s">
        <v>231</v>
      </c>
      <c r="C29" s="102">
        <f>C28*(1-$G$4)</f>
        <v>0.29279127297524099</v>
      </c>
      <c r="D29" s="102">
        <f>D28*(1-$G$4)</f>
        <v>0.35640603126625681</v>
      </c>
      <c r="E29" s="102">
        <f>E28*(1-$G$4)</f>
        <v>0.21323551907762053</v>
      </c>
      <c r="F29" s="102">
        <f>(1-SUM(C28:E28))*(1-G29)</f>
        <v>4.0529031989097429E-2</v>
      </c>
      <c r="G29" s="19">
        <v>0.10827102707589469</v>
      </c>
    </row>
    <row r="30" spans="1:16" x14ac:dyDescent="0.25">
      <c r="N30" s="81"/>
      <c r="O30" s="81"/>
      <c r="P30" s="81"/>
    </row>
    <row r="31" spans="1:16" x14ac:dyDescent="0.25">
      <c r="A31" t="s">
        <v>233</v>
      </c>
      <c r="B31" t="s">
        <v>238</v>
      </c>
      <c r="C31" s="201">
        <v>0.35</v>
      </c>
      <c r="D31" s="201">
        <v>0.3</v>
      </c>
      <c r="E31" s="201">
        <v>0.19</v>
      </c>
      <c r="F31" s="201">
        <f>1-SUM(C31:E31)-G31</f>
        <v>5.0000000000000142E-2</v>
      </c>
      <c r="G31" s="201">
        <v>0.11</v>
      </c>
      <c r="H31" s="103"/>
      <c r="I31" s="201">
        <v>0.02</v>
      </c>
      <c r="N31" s="81"/>
      <c r="O31" s="81"/>
      <c r="P31" s="81"/>
    </row>
    <row r="33" spans="1:16" x14ac:dyDescent="0.25">
      <c r="A33" t="s">
        <v>234</v>
      </c>
      <c r="C33" s="102">
        <f>C29-C31</f>
        <v>-5.7208727024758987E-2</v>
      </c>
      <c r="D33" s="102">
        <f t="shared" ref="D33:G33" si="1">D29-D31</f>
        <v>5.6406031266256818E-2</v>
      </c>
      <c r="E33" s="102">
        <f t="shared" si="1"/>
        <v>2.3235519077620531E-2</v>
      </c>
      <c r="F33" s="102">
        <f t="shared" si="1"/>
        <v>-9.4709680109027125E-3</v>
      </c>
      <c r="G33" s="102">
        <f t="shared" si="1"/>
        <v>-1.7289729241053153E-3</v>
      </c>
      <c r="N33" s="10"/>
      <c r="O33" s="10"/>
      <c r="P33" s="10"/>
    </row>
    <row r="34" spans="1:16" x14ac:dyDescent="0.25">
      <c r="N34" s="81"/>
      <c r="O34" s="81"/>
      <c r="P34" s="81"/>
    </row>
    <row r="35" spans="1:16" x14ac:dyDescent="0.25">
      <c r="A35" t="s">
        <v>215</v>
      </c>
      <c r="C35" s="230" t="s">
        <v>4</v>
      </c>
      <c r="D35" s="230" t="s">
        <v>5</v>
      </c>
      <c r="E35" s="90" t="s">
        <v>235</v>
      </c>
      <c r="M35" s="8"/>
      <c r="N35" s="102"/>
      <c r="O35" s="102"/>
      <c r="P35" s="230"/>
    </row>
    <row r="36" spans="1:16" ht="15.75" thickBot="1" x14ac:dyDescent="0.3">
      <c r="B36" t="s">
        <v>113</v>
      </c>
      <c r="C36" s="201">
        <v>0</v>
      </c>
      <c r="D36" s="201">
        <v>0.97</v>
      </c>
      <c r="E36" s="201">
        <v>0.03</v>
      </c>
      <c r="I36" s="35"/>
      <c r="M36" s="8"/>
      <c r="N36" s="230"/>
      <c r="O36" s="230"/>
      <c r="P36" s="230"/>
    </row>
    <row r="37" spans="1:16" x14ac:dyDescent="0.25">
      <c r="B37" t="s">
        <v>4</v>
      </c>
      <c r="C37" s="201">
        <v>0.92</v>
      </c>
      <c r="D37" s="201">
        <v>0.08</v>
      </c>
      <c r="E37" s="201">
        <v>0</v>
      </c>
      <c r="I37" s="35"/>
      <c r="L37" s="152"/>
      <c r="M37" s="202"/>
      <c r="N37" s="203"/>
      <c r="O37" s="203"/>
      <c r="P37" s="204"/>
    </row>
    <row r="38" spans="1:16" ht="15.75" thickBot="1" x14ac:dyDescent="0.3">
      <c r="B38" t="s">
        <v>127</v>
      </c>
      <c r="C38" s="201">
        <v>0.16</v>
      </c>
      <c r="D38" s="201">
        <v>0.6</v>
      </c>
      <c r="E38" s="201">
        <v>0.24</v>
      </c>
      <c r="I38" s="35"/>
      <c r="L38" s="43"/>
      <c r="M38" s="205"/>
      <c r="N38" s="158"/>
      <c r="O38" s="158"/>
      <c r="P38" s="206"/>
    </row>
    <row r="39" spans="1:16" x14ac:dyDescent="0.25">
      <c r="B39" t="s">
        <v>241</v>
      </c>
      <c r="C39" s="201">
        <v>0.15</v>
      </c>
      <c r="D39" s="201">
        <v>0.2</v>
      </c>
      <c r="E39" s="201">
        <v>0.65</v>
      </c>
    </row>
    <row r="40" spans="1:16" x14ac:dyDescent="0.25">
      <c r="C40" s="201">
        <v>0.37736422793894059</v>
      </c>
      <c r="D40" s="201">
        <v>0.41193821078878545</v>
      </c>
      <c r="E40" s="201">
        <v>0.21069756127227396</v>
      </c>
      <c r="H40" s="34">
        <f>H44-H69</f>
        <v>-3.892357765626607E-2</v>
      </c>
    </row>
    <row r="42" spans="1:16" x14ac:dyDescent="0.25">
      <c r="C42" s="229" t="s">
        <v>4</v>
      </c>
      <c r="D42" s="229" t="s">
        <v>113</v>
      </c>
      <c r="E42" s="189" t="s">
        <v>235</v>
      </c>
    </row>
    <row r="43" spans="1:16" x14ac:dyDescent="0.25">
      <c r="A43" t="s">
        <v>233</v>
      </c>
      <c r="C43" s="261">
        <v>0.38</v>
      </c>
      <c r="D43" s="261">
        <v>0.45</v>
      </c>
      <c r="E43" s="261">
        <f>1-D43-C43</f>
        <v>0.17000000000000004</v>
      </c>
    </row>
    <row r="44" spans="1:16" x14ac:dyDescent="0.25">
      <c r="B44" s="8" t="s">
        <v>236</v>
      </c>
      <c r="C44" s="102">
        <f>C33*C37+D33*C36+E33*C38+G33*C39+C40*F33</f>
        <v>-5.2747696280243492E-2</v>
      </c>
      <c r="D44" s="102">
        <f>C33*D37+D33*D36+E33*D38+G33*D39+D40*F33</f>
        <v>5.9831215411190561E-2</v>
      </c>
      <c r="E44" s="102">
        <f>C33*E37+D33*E36+E33*E38+G33*E39+E40*F33</f>
        <v>4.1493632531632556E-3</v>
      </c>
      <c r="G44" s="3">
        <f>C44-D44</f>
        <v>-0.11257891169143405</v>
      </c>
      <c r="H44">
        <f>G44*0.427</f>
        <v>-4.8071195292242339E-2</v>
      </c>
    </row>
    <row r="45" spans="1:16" ht="15.75" thickBot="1" x14ac:dyDescent="0.3">
      <c r="B45" s="8"/>
      <c r="C45" s="230"/>
      <c r="D45" s="230"/>
      <c r="E45" s="230"/>
    </row>
    <row r="46" spans="1:16" x14ac:dyDescent="0.25">
      <c r="A46" s="152"/>
      <c r="B46" s="202" t="s">
        <v>237</v>
      </c>
      <c r="C46" s="223">
        <f>SUM(C43:C44)</f>
        <v>0.3272523037197565</v>
      </c>
      <c r="D46" s="223">
        <f>SUM(D43:D44)</f>
        <v>0.50983121541119059</v>
      </c>
      <c r="E46" s="224">
        <f>SUM(E43:E44)</f>
        <v>0.1741493632531633</v>
      </c>
      <c r="G46" s="124">
        <f>D46-C46</f>
        <v>0.18257891169143409</v>
      </c>
      <c r="M46" s="124"/>
      <c r="N46" s="124"/>
      <c r="O46" s="124"/>
    </row>
    <row r="47" spans="1:16" ht="15.75" thickBot="1" x14ac:dyDescent="0.3">
      <c r="A47" s="43"/>
      <c r="B47" s="205" t="s">
        <v>239</v>
      </c>
      <c r="C47" s="187">
        <f>C46/SUM($C$21:$D$21)</f>
        <v>0.37441425847024806</v>
      </c>
      <c r="D47" s="187">
        <f>D46/SUM($C$21:$D$21)</f>
        <v>0.58330552388298484</v>
      </c>
      <c r="E47" s="192"/>
      <c r="G47" s="124">
        <f>D47-C47</f>
        <v>0.20889126541273678</v>
      </c>
    </row>
    <row r="51" spans="1:9" x14ac:dyDescent="0.25">
      <c r="C51" s="229" t="s">
        <v>4</v>
      </c>
      <c r="D51" s="229" t="s">
        <v>5</v>
      </c>
      <c r="E51" s="229" t="s">
        <v>127</v>
      </c>
      <c r="F51" s="229" t="s">
        <v>89</v>
      </c>
      <c r="G51" s="229" t="s">
        <v>14</v>
      </c>
      <c r="H51" s="229" t="s">
        <v>9</v>
      </c>
      <c r="I51" s="229" t="s">
        <v>232</v>
      </c>
    </row>
    <row r="53" spans="1:9" x14ac:dyDescent="0.25">
      <c r="A53" s="260" t="s">
        <v>283</v>
      </c>
      <c r="B53" s="229" t="s">
        <v>230</v>
      </c>
      <c r="C53" s="130">
        <v>0.59689931365289095</v>
      </c>
      <c r="D53" s="130">
        <v>0.15379085021047084</v>
      </c>
      <c r="E53" s="130">
        <v>0.22759286904026885</v>
      </c>
      <c r="F53" s="257">
        <f>1-(SUM(C53:E53))</f>
        <v>2.1716967096369277E-2</v>
      </c>
      <c r="G53" s="230"/>
      <c r="H53" s="178">
        <v>27475551.780475009</v>
      </c>
    </row>
    <row r="54" spans="1:9" x14ac:dyDescent="0.25">
      <c r="B54" s="230" t="s">
        <v>231</v>
      </c>
      <c r="C54" s="102">
        <f>C53*(1-$G$4)</f>
        <v>0.53929655877085514</v>
      </c>
      <c r="D54" s="102">
        <f>D53*(1-$G$4)</f>
        <v>0.13894952530835311</v>
      </c>
      <c r="E54" s="102">
        <f>E53*(1-$G$4)</f>
        <v>0.20562940560789239</v>
      </c>
      <c r="F54" s="102">
        <f>(1-SUM(C53:E53))*(1-G54)</f>
        <v>1.9507189648956362E-2</v>
      </c>
      <c r="G54" s="34">
        <v>0.10175350165642399</v>
      </c>
    </row>
    <row r="56" spans="1:9" x14ac:dyDescent="0.25">
      <c r="A56" t="s">
        <v>233</v>
      </c>
      <c r="B56" t="s">
        <v>238</v>
      </c>
      <c r="C56" s="201">
        <v>0.54</v>
      </c>
      <c r="D56" s="201">
        <v>0.21</v>
      </c>
      <c r="E56" s="201">
        <v>0.17</v>
      </c>
      <c r="F56" s="201">
        <f>1-SUM(C56:E56)-G56</f>
        <v>1.9999999999999962E-2</v>
      </c>
      <c r="G56" s="201">
        <v>0.06</v>
      </c>
      <c r="H56" s="103"/>
      <c r="I56" s="201">
        <v>0.01</v>
      </c>
    </row>
    <row r="58" spans="1:9" x14ac:dyDescent="0.25">
      <c r="A58" t="s">
        <v>234</v>
      </c>
      <c r="C58" s="102">
        <f>C54-C56</f>
        <v>-7.034412291448966E-4</v>
      </c>
      <c r="D58" s="102">
        <f t="shared" ref="D58:G58" si="2">D54-D56</f>
        <v>-7.1050474691646881E-2</v>
      </c>
      <c r="E58" s="102">
        <f t="shared" si="2"/>
        <v>3.5629405607892378E-2</v>
      </c>
      <c r="F58" s="102">
        <f t="shared" si="2"/>
        <v>-4.9281035104360021E-4</v>
      </c>
      <c r="G58" s="102">
        <f t="shared" si="2"/>
        <v>4.1753501656423997E-2</v>
      </c>
    </row>
    <row r="60" spans="1:9" x14ac:dyDescent="0.25">
      <c r="A60" t="s">
        <v>215</v>
      </c>
      <c r="C60" s="230" t="s">
        <v>4</v>
      </c>
      <c r="D60" s="230" t="s">
        <v>5</v>
      </c>
      <c r="E60" s="90" t="s">
        <v>235</v>
      </c>
    </row>
    <row r="61" spans="1:9" x14ac:dyDescent="0.25">
      <c r="B61" t="s">
        <v>113</v>
      </c>
      <c r="C61" s="201">
        <v>0</v>
      </c>
      <c r="D61" s="201">
        <v>0.97</v>
      </c>
      <c r="E61" s="201">
        <v>0.03</v>
      </c>
      <c r="I61" s="35"/>
    </row>
    <row r="62" spans="1:9" x14ac:dyDescent="0.25">
      <c r="B62" t="s">
        <v>4</v>
      </c>
      <c r="C62" s="201">
        <v>0.92</v>
      </c>
      <c r="D62" s="201">
        <v>0.08</v>
      </c>
      <c r="E62" s="201">
        <v>0</v>
      </c>
      <c r="I62" s="35"/>
    </row>
    <row r="63" spans="1:9" x14ac:dyDescent="0.25">
      <c r="B63" t="s">
        <v>127</v>
      </c>
      <c r="C63" s="201">
        <v>0.16</v>
      </c>
      <c r="D63" s="201">
        <v>0.6</v>
      </c>
      <c r="E63" s="201">
        <v>0.24</v>
      </c>
      <c r="I63" s="35"/>
    </row>
    <row r="64" spans="1:9" x14ac:dyDescent="0.25">
      <c r="B64" t="s">
        <v>241</v>
      </c>
      <c r="C64" s="201">
        <v>0.15</v>
      </c>
      <c r="D64" s="201">
        <v>0.2</v>
      </c>
      <c r="E64" s="201">
        <v>0.65</v>
      </c>
    </row>
    <row r="65" spans="1:9" x14ac:dyDescent="0.25">
      <c r="C65" s="201">
        <v>0.37736422793894059</v>
      </c>
      <c r="D65" s="201">
        <v>0.41193821078878545</v>
      </c>
      <c r="E65" s="201">
        <v>0.21069756127227396</v>
      </c>
    </row>
    <row r="67" spans="1:9" x14ac:dyDescent="0.25">
      <c r="C67" s="229" t="s">
        <v>4</v>
      </c>
      <c r="D67" s="229" t="s">
        <v>113</v>
      </c>
      <c r="E67" s="189" t="s">
        <v>235</v>
      </c>
    </row>
    <row r="68" spans="1:9" x14ac:dyDescent="0.25">
      <c r="A68" t="s">
        <v>233</v>
      </c>
      <c r="C68" s="261">
        <v>0.56000000000000005</v>
      </c>
      <c r="D68" s="261">
        <v>0.36</v>
      </c>
      <c r="E68" s="261">
        <f>1-D68-C68</f>
        <v>7.999999999999996E-2</v>
      </c>
    </row>
    <row r="69" spans="1:9" x14ac:dyDescent="0.25">
      <c r="B69" s="8" t="s">
        <v>236</v>
      </c>
      <c r="C69" s="102">
        <f>C58*C62+D58*C61+E58*C63+G58*C64+C65*F58</f>
        <v>1.1130595217271189E-2</v>
      </c>
      <c r="D69" s="102">
        <f t="shared" ref="D69:E69" si="3">D58*D62+E58*D61+F58*D63+H58*D64+D65*G58</f>
        <v>4.5780662020211589E-2</v>
      </c>
      <c r="E69" s="102">
        <f t="shared" si="3"/>
        <v>1.0006056087010452E-2</v>
      </c>
      <c r="G69" s="3">
        <f>C69-D69</f>
        <v>-3.4650066802940402E-2</v>
      </c>
      <c r="H69" s="34">
        <f>G69*0.264</f>
        <v>-9.1476176359762667E-3</v>
      </c>
    </row>
    <row r="70" spans="1:9" ht="15.75" thickBot="1" x14ac:dyDescent="0.3">
      <c r="B70" s="8"/>
      <c r="C70" s="230"/>
      <c r="D70" s="230"/>
      <c r="E70" s="230"/>
    </row>
    <row r="71" spans="1:9" x14ac:dyDescent="0.25">
      <c r="A71" s="152"/>
      <c r="B71" s="202" t="s">
        <v>237</v>
      </c>
      <c r="C71" s="223">
        <f>SUM(C68:C69)</f>
        <v>0.57113059521727128</v>
      </c>
      <c r="D71" s="223">
        <f>SUM(D68:D69)</f>
        <v>0.40578066202021157</v>
      </c>
      <c r="E71" s="224">
        <f>SUM(E68:E69)</f>
        <v>9.0006056087010414E-2</v>
      </c>
      <c r="G71" s="124">
        <f>D71-C71</f>
        <v>-0.16534993319705971</v>
      </c>
    </row>
    <row r="72" spans="1:9" ht="15.75" thickBot="1" x14ac:dyDescent="0.3">
      <c r="A72" s="43"/>
      <c r="B72" s="205" t="s">
        <v>239</v>
      </c>
      <c r="C72" s="187">
        <f>C71/SUM($C$21:$D$21)</f>
        <v>0.65343906174933475</v>
      </c>
      <c r="D72" s="187">
        <f>D71/SUM($C$21:$D$21)</f>
        <v>0.46425972848756364</v>
      </c>
      <c r="E72" s="192"/>
      <c r="G72" s="124">
        <f>D72-C72</f>
        <v>-0.18917933326177111</v>
      </c>
    </row>
    <row r="75" spans="1:9" x14ac:dyDescent="0.25">
      <c r="C75" s="229" t="s">
        <v>4</v>
      </c>
      <c r="D75" s="229" t="s">
        <v>5</v>
      </c>
      <c r="E75" s="229" t="s">
        <v>127</v>
      </c>
      <c r="F75" s="229" t="s">
        <v>89</v>
      </c>
      <c r="G75" s="229" t="s">
        <v>14</v>
      </c>
      <c r="H75" s="229" t="s">
        <v>9</v>
      </c>
      <c r="I75" s="229" t="s">
        <v>232</v>
      </c>
    </row>
    <row r="77" spans="1:9" x14ac:dyDescent="0.25">
      <c r="A77" s="260" t="s">
        <v>284</v>
      </c>
      <c r="B77" s="229" t="s">
        <v>230</v>
      </c>
      <c r="C77" s="130">
        <v>0.36340883689775649</v>
      </c>
      <c r="D77" s="130">
        <v>0.47199855968360416</v>
      </c>
      <c r="E77" s="130">
        <v>0.12819952745591118</v>
      </c>
      <c r="F77" s="257">
        <f>1-(SUM(C77:E77))</f>
        <v>3.6393075962728227E-2</v>
      </c>
      <c r="G77" s="230"/>
      <c r="H77" s="178">
        <v>16136897.082802344</v>
      </c>
    </row>
    <row r="78" spans="1:9" x14ac:dyDescent="0.25">
      <c r="B78" s="230" t="s">
        <v>231</v>
      </c>
      <c r="C78" s="102">
        <f>C77*(1-$G$4)</f>
        <v>0.32833868406799405</v>
      </c>
      <c r="D78" s="102">
        <f>D77*(1-$G$4)</f>
        <v>0.42644914001390888</v>
      </c>
      <c r="E78" s="102">
        <f>E77*(1-$G$4)</f>
        <v>0.11582784970871579</v>
      </c>
      <c r="F78" s="102">
        <f>(1-SUM(C77:E77))*(1-G78)</f>
        <v>3.2689953047472402E-2</v>
      </c>
      <c r="G78" s="34">
        <v>0.10175350165642399</v>
      </c>
    </row>
    <row r="80" spans="1:9" x14ac:dyDescent="0.25">
      <c r="A80" t="s">
        <v>233</v>
      </c>
      <c r="B80" t="s">
        <v>238</v>
      </c>
      <c r="C80" s="201">
        <v>0.32</v>
      </c>
      <c r="D80" s="201">
        <v>0.42</v>
      </c>
      <c r="E80" s="201">
        <v>0.1</v>
      </c>
      <c r="F80" s="201">
        <f>1-SUM(C80:E80)-G80</f>
        <v>5.0000000000000031E-2</v>
      </c>
      <c r="G80" s="201">
        <v>0.11</v>
      </c>
      <c r="H80" s="103"/>
      <c r="I80" s="201">
        <v>0.01</v>
      </c>
    </row>
    <row r="82" spans="1:9" x14ac:dyDescent="0.25">
      <c r="A82" t="s">
        <v>234</v>
      </c>
      <c r="C82" s="102">
        <f>C78-C80</f>
        <v>8.3386840679940399E-3</v>
      </c>
      <c r="D82" s="102">
        <f t="shared" ref="D82:G82" si="4">D78-D80</f>
        <v>6.4491400139088939E-3</v>
      </c>
      <c r="E82" s="102">
        <f t="shared" si="4"/>
        <v>1.5827849708715785E-2</v>
      </c>
      <c r="F82" s="102">
        <f t="shared" si="4"/>
        <v>-1.7310046952527629E-2</v>
      </c>
      <c r="G82" s="102">
        <f t="shared" si="4"/>
        <v>-8.2464983435760059E-3</v>
      </c>
    </row>
    <row r="84" spans="1:9" x14ac:dyDescent="0.25">
      <c r="A84" t="s">
        <v>215</v>
      </c>
      <c r="C84" s="230" t="s">
        <v>4</v>
      </c>
      <c r="D84" s="230" t="s">
        <v>5</v>
      </c>
      <c r="E84" s="90" t="s">
        <v>235</v>
      </c>
    </row>
    <row r="85" spans="1:9" x14ac:dyDescent="0.25">
      <c r="B85" t="s">
        <v>113</v>
      </c>
      <c r="C85" s="201">
        <v>0</v>
      </c>
      <c r="D85" s="201">
        <v>0.97</v>
      </c>
      <c r="E85" s="201">
        <v>0.03</v>
      </c>
      <c r="I85" s="35"/>
    </row>
    <row r="86" spans="1:9" x14ac:dyDescent="0.25">
      <c r="B86" t="s">
        <v>4</v>
      </c>
      <c r="C86" s="201">
        <v>0.92</v>
      </c>
      <c r="D86" s="201">
        <v>0.08</v>
      </c>
      <c r="E86" s="201">
        <v>0</v>
      </c>
      <c r="I86" s="35"/>
    </row>
    <row r="87" spans="1:9" x14ac:dyDescent="0.25">
      <c r="B87" t="s">
        <v>127</v>
      </c>
      <c r="C87" s="201">
        <v>0.16</v>
      </c>
      <c r="D87" s="201">
        <v>0.6</v>
      </c>
      <c r="E87" s="201">
        <v>0.24</v>
      </c>
      <c r="I87" s="35"/>
    </row>
    <row r="88" spans="1:9" x14ac:dyDescent="0.25">
      <c r="B88" t="s">
        <v>241</v>
      </c>
      <c r="C88" s="201">
        <v>0.15</v>
      </c>
      <c r="D88" s="201">
        <v>0.2</v>
      </c>
      <c r="E88" s="201">
        <v>0.65</v>
      </c>
    </row>
    <row r="89" spans="1:9" x14ac:dyDescent="0.25">
      <c r="C89" s="201">
        <v>0.37736422793894059</v>
      </c>
      <c r="D89" s="201">
        <v>0.41193821078878545</v>
      </c>
      <c r="E89" s="201">
        <v>0.21069756127227396</v>
      </c>
    </row>
    <row r="91" spans="1:9" x14ac:dyDescent="0.25">
      <c r="C91" s="229" t="s">
        <v>4</v>
      </c>
      <c r="D91" s="229" t="s">
        <v>113</v>
      </c>
      <c r="E91" s="189" t="s">
        <v>235</v>
      </c>
    </row>
    <row r="92" spans="1:9" x14ac:dyDescent="0.25">
      <c r="A92" t="s">
        <v>233</v>
      </c>
      <c r="C92" s="261">
        <v>0.32</v>
      </c>
      <c r="D92" s="261">
        <v>0.53</v>
      </c>
      <c r="E92" s="261">
        <f>1-D92-C92</f>
        <v>0.14999999999999997</v>
      </c>
    </row>
    <row r="93" spans="1:9" x14ac:dyDescent="0.25">
      <c r="B93" s="8" t="s">
        <v>236</v>
      </c>
      <c r="C93" s="102">
        <f>C82*C86+D82*C85+E82*C87+G82*C88+C89*F82</f>
        <v>2.4348780405852423E-3</v>
      </c>
      <c r="D93" s="102">
        <f>C82*D86+D82*D85+E82*D87+G82*D88+D89*F82</f>
        <v>7.6395009251513197E-3</v>
      </c>
      <c r="E93" s="102">
        <f>C82*E86+D82*E85+E82*E87+G82*E88+E89*F82</f>
        <v>-5.0152504712214782E-3</v>
      </c>
      <c r="G93" s="3">
        <f>C93-D93</f>
        <v>-5.2046228845660774E-3</v>
      </c>
      <c r="H93" s="34">
        <f>G93*0.155</f>
        <v>-8.06716547107742E-4</v>
      </c>
    </row>
    <row r="94" spans="1:9" ht="15.75" thickBot="1" x14ac:dyDescent="0.3">
      <c r="B94" s="8"/>
      <c r="C94" s="230"/>
      <c r="D94" s="230"/>
      <c r="E94" s="230"/>
    </row>
    <row r="95" spans="1:9" x14ac:dyDescent="0.25">
      <c r="A95" s="152"/>
      <c r="B95" s="202" t="s">
        <v>237</v>
      </c>
      <c r="C95" s="223">
        <f>SUM(C92:C93)</f>
        <v>0.32243487804058524</v>
      </c>
      <c r="D95" s="223">
        <f>SUM(D92:D93)</f>
        <v>0.53763950092515134</v>
      </c>
      <c r="E95" s="224">
        <f>SUM(E92:E93)</f>
        <v>0.14498474952877849</v>
      </c>
      <c r="G95" s="124">
        <f>D95-C95</f>
        <v>0.2152046228845661</v>
      </c>
    </row>
    <row r="96" spans="1:9" ht="15.75" thickBot="1" x14ac:dyDescent="0.3">
      <c r="A96" s="43"/>
      <c r="B96" s="205" t="s">
        <v>239</v>
      </c>
      <c r="C96" s="187">
        <f>C95/SUM($C$21:$D$21)</f>
        <v>0.36890256965125334</v>
      </c>
      <c r="D96" s="187">
        <f>D95/SUM($C$21:$D$21)</f>
        <v>0.61512139952905742</v>
      </c>
      <c r="E96" s="192"/>
      <c r="G96" s="124">
        <f>D96-C96</f>
        <v>0.24621882987780408</v>
      </c>
    </row>
    <row r="101" spans="1:9" x14ac:dyDescent="0.25">
      <c r="C101" s="229" t="s">
        <v>4</v>
      </c>
      <c r="D101" s="229" t="s">
        <v>5</v>
      </c>
      <c r="E101" s="229" t="s">
        <v>127</v>
      </c>
      <c r="F101" s="229" t="s">
        <v>89</v>
      </c>
      <c r="G101" s="229" t="s">
        <v>14</v>
      </c>
      <c r="H101" s="229" t="s">
        <v>9</v>
      </c>
      <c r="I101" s="229" t="s">
        <v>232</v>
      </c>
    </row>
    <row r="103" spans="1:9" x14ac:dyDescent="0.25">
      <c r="A103" s="260" t="s">
        <v>285</v>
      </c>
      <c r="B103" s="229" t="s">
        <v>230</v>
      </c>
      <c r="C103" s="130">
        <v>0.36340883689775649</v>
      </c>
      <c r="D103" s="130">
        <v>0.47199855968360416</v>
      </c>
      <c r="E103" s="130">
        <v>0.12819952745591118</v>
      </c>
      <c r="F103" s="257">
        <f>1-(SUM(C103:E103))</f>
        <v>3.6393075962728227E-2</v>
      </c>
      <c r="G103" s="230"/>
      <c r="H103" s="178">
        <v>15825432.291766293</v>
      </c>
    </row>
    <row r="104" spans="1:9" x14ac:dyDescent="0.25">
      <c r="B104" s="230" t="s">
        <v>231</v>
      </c>
      <c r="C104" s="102">
        <f>C103*(1-$G$4)</f>
        <v>0.32833868406799405</v>
      </c>
      <c r="D104" s="102">
        <f>D103*(1-$G$4)</f>
        <v>0.42644914001390888</v>
      </c>
      <c r="E104" s="102">
        <f>E103*(1-$G$4)</f>
        <v>0.11582784970871579</v>
      </c>
      <c r="F104" s="102">
        <f>(1-SUM(C103:E103))*(1-G104)</f>
        <v>3.2689953047472402E-2</v>
      </c>
      <c r="G104" s="34">
        <v>0.10175350165642399</v>
      </c>
    </row>
    <row r="106" spans="1:9" x14ac:dyDescent="0.25">
      <c r="A106" t="s">
        <v>233</v>
      </c>
      <c r="B106" t="s">
        <v>238</v>
      </c>
      <c r="C106" s="201">
        <v>0.41</v>
      </c>
      <c r="D106" s="201">
        <v>0.28000000000000003</v>
      </c>
      <c r="E106" s="201">
        <v>0.22</v>
      </c>
      <c r="F106" s="201">
        <f>1-SUM(C106:E106)-G106</f>
        <v>3.0000000000000082E-2</v>
      </c>
      <c r="G106" s="201">
        <v>0.06</v>
      </c>
      <c r="H106" s="103"/>
      <c r="I106" s="201">
        <v>0.02</v>
      </c>
    </row>
    <row r="108" spans="1:9" x14ac:dyDescent="0.25">
      <c r="A108" t="s">
        <v>234</v>
      </c>
      <c r="C108" s="102">
        <f>C104-C106</f>
        <v>-8.1661315932005929E-2</v>
      </c>
      <c r="D108" s="102">
        <f t="shared" ref="D108:G108" si="5">D104-D106</f>
        <v>0.14644914001390885</v>
      </c>
      <c r="E108" s="102">
        <f t="shared" si="5"/>
        <v>-0.10417215029128421</v>
      </c>
      <c r="F108" s="102">
        <f t="shared" si="5"/>
        <v>2.6899530474723196E-3</v>
      </c>
      <c r="G108" s="102">
        <f t="shared" si="5"/>
        <v>4.1753501656423997E-2</v>
      </c>
    </row>
    <row r="110" spans="1:9" x14ac:dyDescent="0.25">
      <c r="A110" t="s">
        <v>215</v>
      </c>
      <c r="C110" s="230" t="s">
        <v>4</v>
      </c>
      <c r="D110" s="230" t="s">
        <v>5</v>
      </c>
      <c r="E110" s="90" t="s">
        <v>235</v>
      </c>
    </row>
    <row r="111" spans="1:9" x14ac:dyDescent="0.25">
      <c r="B111" t="s">
        <v>113</v>
      </c>
      <c r="C111" s="201">
        <v>0</v>
      </c>
      <c r="D111" s="201">
        <v>0.97</v>
      </c>
      <c r="E111" s="201">
        <v>0.03</v>
      </c>
      <c r="I111" s="35"/>
    </row>
    <row r="112" spans="1:9" x14ac:dyDescent="0.25">
      <c r="B112" t="s">
        <v>4</v>
      </c>
      <c r="C112" s="201">
        <v>0.92</v>
      </c>
      <c r="D112" s="201">
        <v>0.08</v>
      </c>
      <c r="E112" s="201">
        <v>0</v>
      </c>
      <c r="I112" s="35"/>
    </row>
    <row r="113" spans="1:9" x14ac:dyDescent="0.25">
      <c r="B113" t="s">
        <v>127</v>
      </c>
      <c r="C113" s="201">
        <v>0.16</v>
      </c>
      <c r="D113" s="201">
        <v>0.6</v>
      </c>
      <c r="E113" s="201">
        <v>0.24</v>
      </c>
      <c r="I113" s="35"/>
    </row>
    <row r="114" spans="1:9" x14ac:dyDescent="0.25">
      <c r="B114" t="s">
        <v>241</v>
      </c>
      <c r="C114" s="201">
        <v>0.15</v>
      </c>
      <c r="D114" s="201">
        <v>0.2</v>
      </c>
      <c r="E114" s="201">
        <v>0.65</v>
      </c>
    </row>
    <row r="115" spans="1:9" x14ac:dyDescent="0.25">
      <c r="C115" s="201">
        <v>0.37736422793894059</v>
      </c>
      <c r="D115" s="201">
        <v>0.41193821078878545</v>
      </c>
      <c r="E115" s="201">
        <v>0.21069756127227396</v>
      </c>
    </row>
    <row r="117" spans="1:9" x14ac:dyDescent="0.25">
      <c r="C117" s="229" t="s">
        <v>4</v>
      </c>
      <c r="D117" s="229" t="s">
        <v>113</v>
      </c>
      <c r="E117" s="189" t="s">
        <v>235</v>
      </c>
    </row>
    <row r="118" spans="1:9" x14ac:dyDescent="0.25">
      <c r="A118" t="s">
        <v>233</v>
      </c>
      <c r="C118" s="261">
        <v>0.41</v>
      </c>
      <c r="D118" s="261">
        <v>0.51</v>
      </c>
      <c r="E118" s="261">
        <f>1-D118-C118</f>
        <v>8.0000000000000016E-2</v>
      </c>
    </row>
    <row r="119" spans="1:9" x14ac:dyDescent="0.25">
      <c r="B119" s="8" t="s">
        <v>236</v>
      </c>
      <c r="C119" s="102">
        <f>C108*C112+D108*C111+E108*C113+G108*C114+C115*F108</f>
        <v>-8.451783740063594E-2</v>
      </c>
      <c r="D119" s="102">
        <f>C108*D112+D108*D111+E108*D113+G108*D114+D115*F108</f>
        <v>8.2478265140926973E-2</v>
      </c>
      <c r="E119" s="102">
        <f>C108*E112+D108*E111+E108*E113+G108*E114+E115*F108</f>
        <v>7.09870075422399E-3</v>
      </c>
      <c r="G119" s="3">
        <f>C119-D119</f>
        <v>-0.16699610254156291</v>
      </c>
      <c r="H119" s="34">
        <f>G119*0.152</f>
        <v>-2.5383407586317561E-2</v>
      </c>
    </row>
    <row r="120" spans="1:9" ht="15.75" thickBot="1" x14ac:dyDescent="0.3">
      <c r="B120" s="8"/>
      <c r="C120" s="230"/>
      <c r="D120" s="230"/>
      <c r="E120" s="230"/>
    </row>
    <row r="121" spans="1:9" x14ac:dyDescent="0.25">
      <c r="A121" s="152"/>
      <c r="B121" s="202" t="s">
        <v>237</v>
      </c>
      <c r="C121" s="223">
        <f>SUM(C118:C119)</f>
        <v>0.32548216259936402</v>
      </c>
      <c r="D121" s="223">
        <f>SUM(D118:D119)</f>
        <v>0.59247826514092694</v>
      </c>
      <c r="E121" s="224">
        <f>SUM(E118:E119)</f>
        <v>8.7098700754224004E-2</v>
      </c>
      <c r="G121" s="124">
        <f>D121-C121</f>
        <v>0.26699610254156292</v>
      </c>
    </row>
    <row r="122" spans="1:9" ht="15.75" thickBot="1" x14ac:dyDescent="0.3">
      <c r="A122" s="43"/>
      <c r="B122" s="205" t="s">
        <v>239</v>
      </c>
      <c r="C122" s="187">
        <f>C121/SUM($C$21:$D$21)</f>
        <v>0.37238901352179077</v>
      </c>
      <c r="D122" s="187">
        <f>D121/SUM($C$21:$D$21)</f>
        <v>0.67786325040646911</v>
      </c>
      <c r="E122" s="192"/>
      <c r="G122" s="124">
        <f>D122-C122</f>
        <v>0.30547423688467834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"/>
  <sheetViews>
    <sheetView topLeftCell="A61" workbookViewId="0">
      <selection activeCell="I27" sqref="I27"/>
    </sheetView>
    <sheetView tabSelected="1" topLeftCell="A25" workbookViewId="1">
      <selection activeCell="H41" sqref="H41"/>
    </sheetView>
  </sheetViews>
  <sheetFormatPr defaultRowHeight="15" x14ac:dyDescent="0.25"/>
  <cols>
    <col min="7" max="7" width="13.85546875" bestFit="1" customWidth="1"/>
    <col min="10" max="10" width="10.140625" bestFit="1" customWidth="1"/>
    <col min="13" max="13" width="9.85546875" customWidth="1"/>
    <col min="14" max="16" width="10.5703125" customWidth="1"/>
  </cols>
  <sheetData>
    <row r="1" spans="1:19" x14ac:dyDescent="0.25">
      <c r="B1" s="196" t="s">
        <v>4</v>
      </c>
      <c r="C1" s="196" t="s">
        <v>5</v>
      </c>
      <c r="D1" s="196" t="s">
        <v>127</v>
      </c>
      <c r="E1" s="196" t="s">
        <v>89</v>
      </c>
      <c r="F1" s="196" t="s">
        <v>14</v>
      </c>
      <c r="G1" s="196" t="s">
        <v>9</v>
      </c>
      <c r="H1" s="196" t="s">
        <v>8</v>
      </c>
      <c r="M1" s="234" t="s">
        <v>107</v>
      </c>
      <c r="N1" s="234"/>
      <c r="O1" s="234"/>
      <c r="Q1" s="234" t="s">
        <v>212</v>
      </c>
      <c r="R1" s="234"/>
      <c r="S1" s="234"/>
    </row>
    <row r="2" spans="1:19" x14ac:dyDescent="0.25">
      <c r="M2" s="196" t="s">
        <v>4</v>
      </c>
      <c r="N2" s="196" t="s">
        <v>5</v>
      </c>
      <c r="O2" s="196" t="s">
        <v>127</v>
      </c>
      <c r="Q2" s="196" t="s">
        <v>4</v>
      </c>
      <c r="R2" s="196" t="s">
        <v>5</v>
      </c>
      <c r="S2" s="196" t="s">
        <v>127</v>
      </c>
    </row>
    <row r="3" spans="1:19" x14ac:dyDescent="0.25">
      <c r="A3" s="10" t="s">
        <v>129</v>
      </c>
      <c r="B3" s="49">
        <v>0.41589999999999999</v>
      </c>
      <c r="C3" s="49">
        <v>0.33550000000000002</v>
      </c>
      <c r="D3" s="49">
        <v>0.2132</v>
      </c>
      <c r="E3" s="193">
        <f>(1-SUM(B3:D3))</f>
        <v>3.5399999999999876E-2</v>
      </c>
      <c r="G3" s="178">
        <f>43267438/B3</f>
        <v>104033272.42125511</v>
      </c>
      <c r="H3" s="10"/>
      <c r="I3" s="3"/>
      <c r="J3" s="3">
        <v>0.19389999999999999</v>
      </c>
      <c r="L3" s="10" t="s">
        <v>0</v>
      </c>
      <c r="M3" s="121">
        <f>B8-B5/100</f>
        <v>4.0645745650591536E-3</v>
      </c>
      <c r="N3" s="121">
        <f>C8-C5/100</f>
        <v>0.10447408292284543</v>
      </c>
      <c r="O3" s="121">
        <f>D8-D5/100</f>
        <v>2.6011398392642882E-2</v>
      </c>
      <c r="Q3" s="121">
        <f>B8-B6/100</f>
        <v>1.8610029110513737E-2</v>
      </c>
      <c r="R3" s="121">
        <f>C8-C6/100</f>
        <v>7.7201355650118153E-2</v>
      </c>
      <c r="S3" s="121">
        <f>D8-D6/100</f>
        <v>4.4647762029006555E-2</v>
      </c>
    </row>
    <row r="4" spans="1:19" x14ac:dyDescent="0.25">
      <c r="B4" s="102">
        <f>B3*(1-$F$4)</f>
        <v>0.37580723999999999</v>
      </c>
      <c r="C4" s="102">
        <f>C3*(1-$F$4)</f>
        <v>0.30315779999999998</v>
      </c>
      <c r="D4" s="102">
        <f>D3*(1-$F$4)</f>
        <v>0.19264751999999999</v>
      </c>
      <c r="E4" s="3">
        <f>(1-SUM(B3:D3))*(1-F4)</f>
        <v>3.1987439999999888E-2</v>
      </c>
      <c r="F4" s="19">
        <f>5.8%+3.84%</f>
        <v>9.6399999999999986E-2</v>
      </c>
      <c r="L4" s="10" t="s">
        <v>1</v>
      </c>
      <c r="M4" s="121">
        <f>B18-B15/100</f>
        <v>-4.6591163102243482E-2</v>
      </c>
      <c r="N4" s="121">
        <f>C18-C15/100</f>
        <v>0.17199855968360417</v>
      </c>
      <c r="O4" s="121">
        <f>D18-D15/100</f>
        <v>-1.1800472544088836E-2</v>
      </c>
      <c r="Q4" s="121">
        <f>B18-B16/100</f>
        <v>-3.2045708556788899E-2</v>
      </c>
      <c r="R4" s="121">
        <f>C18-C16/100</f>
        <v>0.14472583241087689</v>
      </c>
      <c r="S4" s="121">
        <f>D18-D16/100</f>
        <v>6.8358910922748511E-3</v>
      </c>
    </row>
    <row r="5" spans="1:19" x14ac:dyDescent="0.25">
      <c r="A5" t="s">
        <v>249</v>
      </c>
      <c r="B5" s="200">
        <v>32</v>
      </c>
      <c r="C5" s="200">
        <v>29</v>
      </c>
      <c r="D5" s="200">
        <v>21</v>
      </c>
      <c r="E5" s="200"/>
      <c r="L5" s="10" t="s">
        <v>2</v>
      </c>
      <c r="M5" s="121">
        <f>B27-B24/100</f>
        <v>4.6899313652890906E-2</v>
      </c>
      <c r="N5" s="121">
        <f>C27-C24/100</f>
        <v>2.3790850210470837E-2</v>
      </c>
      <c r="O5" s="121">
        <f>D27-D24/100</f>
        <v>7.5928690402688459E-3</v>
      </c>
      <c r="Q5" s="121">
        <f>B27-B25/100</f>
        <v>6.1444768198345545E-2</v>
      </c>
      <c r="R5" s="121">
        <f>C27-C25/100</f>
        <v>-3.4818770622564443E-3</v>
      </c>
      <c r="S5" s="121">
        <f>D27-D25/100</f>
        <v>2.6229232676632519E-2</v>
      </c>
    </row>
    <row r="6" spans="1:19" x14ac:dyDescent="0.25">
      <c r="A6" t="s">
        <v>254</v>
      </c>
      <c r="B6" s="127">
        <f>B5+M$16</f>
        <v>30.545454545454543</v>
      </c>
      <c r="C6" s="127">
        <f>C5+N$16</f>
        <v>31.727272727272727</v>
      </c>
      <c r="D6" s="127">
        <f>D5+O$16</f>
        <v>19.136363636363633</v>
      </c>
      <c r="E6" s="127"/>
      <c r="L6" s="10" t="s">
        <v>3</v>
      </c>
      <c r="M6" s="121">
        <f>B42-B39/100</f>
        <v>-8.3040162277670138E-2</v>
      </c>
      <c r="N6" s="121">
        <f>C42-C39/100</f>
        <v>0.18981136756295405</v>
      </c>
      <c r="O6" s="121">
        <f>D42-D39/100</f>
        <v>5.0822444226395203E-3</v>
      </c>
      <c r="Q6" s="121">
        <f>B42-B40/100</f>
        <v>-6.8494707732215554E-2</v>
      </c>
      <c r="R6" s="121">
        <f>C42-C40/100</f>
        <v>0.1625386402902268</v>
      </c>
      <c r="S6" s="121">
        <f>D42-D40/100</f>
        <v>2.3718608059003193E-2</v>
      </c>
    </row>
    <row r="7" spans="1:19" x14ac:dyDescent="0.25">
      <c r="L7" s="10" t="s">
        <v>6</v>
      </c>
      <c r="M7" s="121">
        <f>B52-B49/100</f>
        <v>9.0681077000266341E-2</v>
      </c>
      <c r="N7" s="121">
        <f>C52-C49/100</f>
        <v>6.1289233250431979E-2</v>
      </c>
      <c r="O7" s="121">
        <f>D52-D49/100</f>
        <v>-4.3024985618439759E-2</v>
      </c>
      <c r="Q7" s="121">
        <f>B52-B50/100</f>
        <v>0.10522653154572092</v>
      </c>
      <c r="R7" s="121">
        <f>C52-C50/100</f>
        <v>3.4016505977704725E-2</v>
      </c>
      <c r="S7" s="121">
        <f>D52-D50/100</f>
        <v>-2.4388621982076086E-2</v>
      </c>
    </row>
    <row r="8" spans="1:19" x14ac:dyDescent="0.25">
      <c r="A8" s="10" t="s">
        <v>174</v>
      </c>
      <c r="B8" s="130">
        <f>SUMPRODUCT(B10:B13,$H$10:$H$13)</f>
        <v>0.32406457456505916</v>
      </c>
      <c r="C8" s="130">
        <f>SUMPRODUCT(C10:C13,$H$10:$H$13)</f>
        <v>0.39447408292284541</v>
      </c>
      <c r="D8" s="130">
        <f>SUMPRODUCT(D10:D13,$H$10:$H$13)</f>
        <v>0.23601139839264287</v>
      </c>
      <c r="E8" s="130"/>
      <c r="F8" s="10"/>
      <c r="G8" s="178">
        <f>SUM(G10:G13)</f>
        <v>44376868.466111459</v>
      </c>
      <c r="H8" s="177">
        <f>G8/$G$3</f>
        <v>0.42656418887237452</v>
      </c>
      <c r="I8" s="35"/>
      <c r="J8" s="124">
        <f>SUMPRODUCT(J10:J13,H10:H13)</f>
        <v>0.19728901605962204</v>
      </c>
      <c r="M8" s="200"/>
      <c r="N8" s="200"/>
      <c r="O8" s="200"/>
      <c r="Q8" s="200"/>
      <c r="R8" s="200"/>
      <c r="S8" s="200"/>
    </row>
    <row r="9" spans="1:19" x14ac:dyDescent="0.25">
      <c r="B9" s="200"/>
      <c r="C9" s="200"/>
      <c r="D9" s="200"/>
      <c r="E9" s="200"/>
      <c r="L9" s="10" t="s">
        <v>34</v>
      </c>
      <c r="M9" s="121">
        <f>M3*$H$8+M4*$H$18+M5*$H$27+M6*$H$42+M7*$H$52</f>
        <v>7.8101029516776926E-3</v>
      </c>
      <c r="N9" s="121">
        <f>N3*$H$8+N4*$H$18+N5*$H$27+N6*$H$42+N7*$H$52</f>
        <v>9.637752028170804E-2</v>
      </c>
      <c r="O9" s="121">
        <f>O3*$H$8+O4*$H$18+O5*$H$27+O6*$H$42+O7*$H$52</f>
        <v>8.2915473957697969E-3</v>
      </c>
      <c r="Q9" s="121">
        <f>Q3*$H$8+Q4*$H$18+Q5*$H$27+Q6*$H$42+Q7*$H$52</f>
        <v>2.2325004642434712E-2</v>
      </c>
      <c r="R9" s="121">
        <f>R3*$H$8+R4*$H$18+R5*$H$27+R6*$H$42+R7*$H$52</f>
        <v>6.916207961153871E-2</v>
      </c>
      <c r="S9" s="121">
        <f>S3*$H$8+S4*$H$18+S5*$H$27+S6*$H$42+S7*$H$52</f>
        <v>2.6888765187052206E-2</v>
      </c>
    </row>
    <row r="10" spans="1:19" x14ac:dyDescent="0.25">
      <c r="A10" t="s">
        <v>47</v>
      </c>
      <c r="B10" s="102">
        <v>0.25819999999999999</v>
      </c>
      <c r="C10" s="102">
        <v>0.44219999999999998</v>
      </c>
      <c r="D10" s="102">
        <v>0.25090000000000001</v>
      </c>
      <c r="E10" s="102"/>
      <c r="G10" s="7">
        <f>5927503/B10</f>
        <v>22957021.688613478</v>
      </c>
      <c r="H10" s="124">
        <f>G10/$G$8</f>
        <v>0.51731955142676822</v>
      </c>
      <c r="J10" s="3">
        <v>0.19520000000000001</v>
      </c>
    </row>
    <row r="11" spans="1:19" x14ac:dyDescent="0.25">
      <c r="A11" t="s">
        <v>49</v>
      </c>
      <c r="B11" s="102">
        <v>0.35620000000000002</v>
      </c>
      <c r="C11" s="102">
        <v>0.26929999999999998</v>
      </c>
      <c r="D11" s="102">
        <v>0.31069999999999998</v>
      </c>
      <c r="E11" s="102"/>
      <c r="F11" s="3"/>
      <c r="G11" s="7">
        <f>2970486/B11</f>
        <v>8339376.754632229</v>
      </c>
      <c r="H11" s="124">
        <f>G11/$G$8</f>
        <v>0.18792170432216554</v>
      </c>
      <c r="J11" s="3">
        <v>0.2011</v>
      </c>
    </row>
    <row r="12" spans="1:19" x14ac:dyDescent="0.25">
      <c r="A12" t="s">
        <v>48</v>
      </c>
      <c r="B12" s="102">
        <v>0.43480000000000002</v>
      </c>
      <c r="C12" s="102">
        <v>0.39750000000000002</v>
      </c>
      <c r="D12" s="102">
        <v>0.14000000000000001</v>
      </c>
      <c r="E12" s="102"/>
      <c r="G12" s="7">
        <f>4829513/B12</f>
        <v>11107435.602575896</v>
      </c>
      <c r="H12" s="124">
        <f>G12/$G$8</f>
        <v>0.25029786883358218</v>
      </c>
      <c r="J12" s="3">
        <v>0.20019999999999999</v>
      </c>
      <c r="M12" s="196" t="s">
        <v>191</v>
      </c>
      <c r="N12" s="196" t="s">
        <v>113</v>
      </c>
      <c r="O12" s="196" t="s">
        <v>127</v>
      </c>
      <c r="P12" s="196" t="s">
        <v>89</v>
      </c>
      <c r="Q12" s="196" t="s">
        <v>192</v>
      </c>
    </row>
    <row r="13" spans="1:19" x14ac:dyDescent="0.25">
      <c r="A13" t="s">
        <v>50</v>
      </c>
      <c r="B13" s="102">
        <v>0.33119999999999999</v>
      </c>
      <c r="C13" s="102">
        <v>0.35120000000000001</v>
      </c>
      <c r="D13" s="102">
        <v>0.28760000000000002</v>
      </c>
      <c r="E13" s="102"/>
      <c r="G13" s="7">
        <f>653469/B13</f>
        <v>1973034.4202898552</v>
      </c>
      <c r="H13" s="124">
        <f>G13/$G$8</f>
        <v>4.4460875417483989E-2</v>
      </c>
      <c r="J13" s="3">
        <v>0.18909999999999999</v>
      </c>
      <c r="L13" s="10" t="s">
        <v>193</v>
      </c>
      <c r="M13" s="127">
        <v>40</v>
      </c>
      <c r="N13" s="127">
        <v>24</v>
      </c>
      <c r="O13" s="127">
        <v>21</v>
      </c>
      <c r="P13" s="127">
        <v>3</v>
      </c>
      <c r="Q13" s="127">
        <v>12</v>
      </c>
    </row>
    <row r="14" spans="1:19" x14ac:dyDescent="0.25">
      <c r="B14" s="200"/>
      <c r="C14" s="200"/>
      <c r="D14" s="200"/>
      <c r="E14" s="200"/>
      <c r="L14" s="10" t="s">
        <v>194</v>
      </c>
      <c r="M14" s="127">
        <v>40.479999999999997</v>
      </c>
      <c r="N14" s="127">
        <v>27.6</v>
      </c>
      <c r="O14" s="127">
        <v>20.239999999999998</v>
      </c>
      <c r="P14" s="127">
        <v>3.68</v>
      </c>
      <c r="Q14" s="127">
        <v>8</v>
      </c>
    </row>
    <row r="15" spans="1:19" x14ac:dyDescent="0.25">
      <c r="A15" t="s">
        <v>250</v>
      </c>
      <c r="B15" s="91">
        <v>41</v>
      </c>
      <c r="C15" s="91">
        <v>30</v>
      </c>
      <c r="D15" s="91">
        <v>14</v>
      </c>
      <c r="E15" s="91"/>
      <c r="M15" s="127">
        <f>M14-M13</f>
        <v>0.47999999999999687</v>
      </c>
      <c r="N15" s="127">
        <f t="shared" ref="N15:Q15" si="0">N14-N13</f>
        <v>3.6000000000000014</v>
      </c>
      <c r="O15" s="127">
        <f t="shared" si="0"/>
        <v>-0.76000000000000156</v>
      </c>
      <c r="P15" s="127">
        <f t="shared" si="0"/>
        <v>0.68000000000000016</v>
      </c>
      <c r="Q15" s="127">
        <f t="shared" si="0"/>
        <v>-4</v>
      </c>
    </row>
    <row r="16" spans="1:19" x14ac:dyDescent="0.25">
      <c r="A16" t="s">
        <v>254</v>
      </c>
      <c r="B16" s="127">
        <f>B15+M$16</f>
        <v>39.54545454545454</v>
      </c>
      <c r="C16" s="127">
        <f>C15+N$16</f>
        <v>32.727272727272727</v>
      </c>
      <c r="D16" s="127">
        <f>D15+O$16</f>
        <v>12.136363636363633</v>
      </c>
      <c r="E16" s="127"/>
      <c r="I16" s="124"/>
      <c r="M16" s="141">
        <f>(M14/(100-$Q$14) - M13/(100-$Q$13))*100</f>
        <v>-1.4545454545454584</v>
      </c>
      <c r="N16" s="141">
        <f t="shared" ref="N16:P16" si="1">(N14/(100-$Q$14) - N13/(100-$Q$13))*100</f>
        <v>2.7272727272727284</v>
      </c>
      <c r="O16" s="141">
        <f t="shared" si="1"/>
        <v>-1.8636363636363673</v>
      </c>
      <c r="P16" s="141">
        <f t="shared" si="1"/>
        <v>0.59090909090909127</v>
      </c>
      <c r="Q16" s="127"/>
    </row>
    <row r="17" spans="1:21" x14ac:dyDescent="0.25">
      <c r="M17" s="81"/>
      <c r="N17" s="81"/>
      <c r="O17" s="81"/>
      <c r="P17" s="81"/>
    </row>
    <row r="18" spans="1:21" x14ac:dyDescent="0.25">
      <c r="A18" s="10" t="s">
        <v>175</v>
      </c>
      <c r="B18" s="130">
        <f>SUMPRODUCT(B20:B22,$H$20:$H$22)</f>
        <v>0.36340883689775649</v>
      </c>
      <c r="C18" s="130">
        <f>SUMPRODUCT(C20:C22,$H$20:$H$22)</f>
        <v>0.47199855968360416</v>
      </c>
      <c r="D18" s="130">
        <f>SUMPRODUCT(D20:D22,$H$20:$H$22)</f>
        <v>0.12819952745591118</v>
      </c>
      <c r="E18" s="130"/>
      <c r="F18" s="10"/>
      <c r="G18" s="178">
        <f>SUM(G20:G22)</f>
        <v>16136897.082802344</v>
      </c>
      <c r="H18" s="177">
        <f>G18/$G$3</f>
        <v>0.15511284714240522</v>
      </c>
      <c r="I18" s="35"/>
      <c r="J18" s="124">
        <f>SUMPRODUCT(J20:J22,H20:H22)</f>
        <v>0.16729180763650073</v>
      </c>
      <c r="L18" s="35">
        <v>0.59</v>
      </c>
      <c r="M18" s="124">
        <f>C3+L18*$D$3</f>
        <v>0.46128800000000003</v>
      </c>
    </row>
    <row r="19" spans="1:21" x14ac:dyDescent="0.25">
      <c r="B19" s="200"/>
      <c r="C19" s="200"/>
      <c r="D19" s="200"/>
      <c r="E19" s="200"/>
      <c r="L19" s="35">
        <v>0.24</v>
      </c>
      <c r="M19" s="124">
        <f>B3+L19*$D$3</f>
        <v>0.46706799999999998</v>
      </c>
      <c r="P19" s="35">
        <f>N14/(100-Q14)</f>
        <v>0.3</v>
      </c>
    </row>
    <row r="20" spans="1:21" x14ac:dyDescent="0.25">
      <c r="A20" t="s">
        <v>178</v>
      </c>
      <c r="B20" s="102">
        <v>0.32540000000000002</v>
      </c>
      <c r="C20" s="102">
        <v>0.49790000000000001</v>
      </c>
      <c r="D20" s="102">
        <v>0.14199999999999999</v>
      </c>
      <c r="E20" s="102"/>
      <c r="G20" s="7">
        <f>1972761/B20</f>
        <v>6062572.2188076209</v>
      </c>
      <c r="H20" s="124">
        <f>G20/$G$18</f>
        <v>0.37569628087104284</v>
      </c>
      <c r="J20" s="3">
        <v>0.16850000000000001</v>
      </c>
    </row>
    <row r="21" spans="1:21" ht="15.75" thickBot="1" x14ac:dyDescent="0.3">
      <c r="A21" t="s">
        <v>176</v>
      </c>
      <c r="B21" s="102">
        <v>0.30759999999999998</v>
      </c>
      <c r="C21" s="102">
        <v>0.52890000000000004</v>
      </c>
      <c r="D21" s="102">
        <v>0.1283</v>
      </c>
      <c r="E21" s="102"/>
      <c r="G21" s="7">
        <f>1140432/B21</f>
        <v>3707516.2548764632</v>
      </c>
      <c r="H21" s="124">
        <f>G21/$G$18</f>
        <v>0.22975397536789727</v>
      </c>
      <c r="J21" s="3">
        <v>0.1641</v>
      </c>
    </row>
    <row r="22" spans="1:21" x14ac:dyDescent="0.25">
      <c r="A22" t="s">
        <v>177</v>
      </c>
      <c r="B22" s="102">
        <v>0.43209999999999998</v>
      </c>
      <c r="C22" s="102">
        <v>0.41420000000000001</v>
      </c>
      <c r="D22" s="102">
        <v>0.115</v>
      </c>
      <c r="E22" s="102"/>
      <c r="G22" s="7">
        <f>2751098/B22</f>
        <v>6366808.6091182595</v>
      </c>
      <c r="H22" s="124">
        <f>G22/$G$18</f>
        <v>0.39454974376105989</v>
      </c>
      <c r="J22" s="3">
        <v>0.16800000000000001</v>
      </c>
      <c r="M22" s="235" t="s">
        <v>127</v>
      </c>
      <c r="N22" s="236"/>
      <c r="O22" s="236"/>
      <c r="P22" s="237"/>
    </row>
    <row r="23" spans="1:21" x14ac:dyDescent="0.25">
      <c r="B23" s="200"/>
      <c r="C23" s="200"/>
      <c r="D23" s="200"/>
      <c r="E23" s="200"/>
      <c r="M23" s="197" t="s">
        <v>214</v>
      </c>
      <c r="N23" s="39" t="s">
        <v>213</v>
      </c>
      <c r="O23" s="39"/>
      <c r="P23" s="199" t="s">
        <v>218</v>
      </c>
      <c r="R23">
        <v>40</v>
      </c>
      <c r="S23">
        <v>44</v>
      </c>
      <c r="T23" s="35">
        <f>R23/(100-$U$23)</f>
        <v>0.43956043956043955</v>
      </c>
      <c r="U23">
        <v>9</v>
      </c>
    </row>
    <row r="24" spans="1:21" x14ac:dyDescent="0.25">
      <c r="A24" t="s">
        <v>251</v>
      </c>
      <c r="B24" s="91">
        <v>55</v>
      </c>
      <c r="C24" s="91">
        <v>13</v>
      </c>
      <c r="D24" s="91">
        <v>22</v>
      </c>
      <c r="E24" s="91"/>
      <c r="M24" s="181">
        <f>D4</f>
        <v>0.19264751999999999</v>
      </c>
      <c r="N24" s="155">
        <v>0.24</v>
      </c>
      <c r="O24" s="86"/>
      <c r="P24" s="182">
        <f>N24-M24</f>
        <v>4.7352480000000002E-2</v>
      </c>
      <c r="R24">
        <v>24</v>
      </c>
      <c r="S24">
        <v>26</v>
      </c>
      <c r="T24" s="35">
        <f t="shared" ref="T24:T25" si="2">R24/(100-$U$23)</f>
        <v>0.26373626373626374</v>
      </c>
    </row>
    <row r="25" spans="1:21" x14ac:dyDescent="0.25">
      <c r="A25" t="s">
        <v>254</v>
      </c>
      <c r="B25" s="127">
        <f>B24+M$16</f>
        <v>53.54545454545454</v>
      </c>
      <c r="C25" s="127">
        <f>C24+N$16</f>
        <v>15.727272727272728</v>
      </c>
      <c r="D25" s="127">
        <f>D24+O$16</f>
        <v>20.136363636363633</v>
      </c>
      <c r="E25" s="127"/>
      <c r="M25" s="37"/>
      <c r="N25" s="38"/>
      <c r="O25" s="38"/>
      <c r="P25" s="184">
        <v>0.75</v>
      </c>
      <c r="Q25" s="3"/>
      <c r="R25">
        <v>22</v>
      </c>
      <c r="S25">
        <v>24</v>
      </c>
      <c r="T25" s="35">
        <f t="shared" si="2"/>
        <v>0.24175824175824176</v>
      </c>
    </row>
    <row r="26" spans="1:21" x14ac:dyDescent="0.25">
      <c r="M26" s="231" t="s">
        <v>215</v>
      </c>
      <c r="N26" s="232"/>
      <c r="O26" s="232" t="s">
        <v>216</v>
      </c>
      <c r="P26" s="233"/>
    </row>
    <row r="27" spans="1:21" x14ac:dyDescent="0.25">
      <c r="A27" s="10" t="s">
        <v>181</v>
      </c>
      <c r="B27" s="130">
        <f>SUMPRODUCT(B29:B37,$H$29:$H$37)</f>
        <v>0.59689931365289095</v>
      </c>
      <c r="C27" s="130">
        <f>SUMPRODUCT(C29:C37,$H$29:$H$37)</f>
        <v>0.15379085021047084</v>
      </c>
      <c r="D27" s="130">
        <f>SUMPRODUCT(D29:D37,$H$29:$H$37)</f>
        <v>0.22759286904026885</v>
      </c>
      <c r="E27" s="130"/>
      <c r="F27" s="10"/>
      <c r="G27" s="178">
        <f>SUM(G29:G37)</f>
        <v>27475551.780475009</v>
      </c>
      <c r="H27" s="177">
        <f>G27/$G$3</f>
        <v>0.2641035040137934</v>
      </c>
      <c r="J27" s="124">
        <f>SUMPRODUCT(J29:J37,H29:H37)</f>
        <v>0.19942514769615866</v>
      </c>
      <c r="M27" s="197" t="s">
        <v>113</v>
      </c>
      <c r="N27" s="198" t="s">
        <v>4</v>
      </c>
      <c r="O27" s="198" t="s">
        <v>113</v>
      </c>
      <c r="P27" s="199" t="s">
        <v>4</v>
      </c>
      <c r="T27">
        <f>R23/S23</f>
        <v>0.90909090909090906</v>
      </c>
    </row>
    <row r="28" spans="1:21" x14ac:dyDescent="0.25">
      <c r="B28" s="200"/>
      <c r="C28" s="200"/>
      <c r="D28" s="200"/>
      <c r="E28" s="200"/>
      <c r="I28" s="3">
        <f>(D29-C29)*I29</f>
        <v>1.9474396597503663E-2</v>
      </c>
      <c r="M28" s="183">
        <f>L18</f>
        <v>0.59</v>
      </c>
      <c r="N28" s="155">
        <f>L19</f>
        <v>0.24</v>
      </c>
      <c r="O28" s="155">
        <f>N24*L18</f>
        <v>0.14159999999999998</v>
      </c>
      <c r="P28" s="184">
        <f>L19*N24</f>
        <v>5.7599999999999998E-2</v>
      </c>
      <c r="T28">
        <f>R24/S24</f>
        <v>0.92307692307692313</v>
      </c>
    </row>
    <row r="29" spans="1:21" x14ac:dyDescent="0.25">
      <c r="A29" t="s">
        <v>182</v>
      </c>
      <c r="B29" s="102">
        <v>0.44219999999999998</v>
      </c>
      <c r="C29" s="102">
        <v>5.9200000000000003E-2</v>
      </c>
      <c r="D29" s="102">
        <v>0.48049999999999998</v>
      </c>
      <c r="E29" s="102"/>
      <c r="G29" s="7">
        <f>2126491/B29</f>
        <v>4808889.6426956132</v>
      </c>
      <c r="H29" s="124">
        <f t="shared" ref="H29:H37" si="3">G29/$G$27</f>
        <v>0.17502431547573</v>
      </c>
      <c r="I29" s="124">
        <f>H29*H27</f>
        <v>4.6224535004755901E-2</v>
      </c>
      <c r="J29" s="3">
        <v>0.16520000000000001</v>
      </c>
      <c r="M29" s="185"/>
      <c r="N29" s="86"/>
      <c r="O29" s="86"/>
      <c r="P29" s="156"/>
      <c r="T29">
        <f>R25/S25</f>
        <v>0.91666666666666663</v>
      </c>
    </row>
    <row r="30" spans="1:21" x14ac:dyDescent="0.25">
      <c r="A30" t="s">
        <v>183</v>
      </c>
      <c r="B30" s="102">
        <v>0.68300000000000005</v>
      </c>
      <c r="C30" s="102">
        <v>0.1497</v>
      </c>
      <c r="D30" s="102">
        <v>0.14119999999999999</v>
      </c>
      <c r="E30" s="102"/>
      <c r="G30" s="7">
        <f>3087115/B30</f>
        <v>4519934.1142020496</v>
      </c>
      <c r="H30" s="124">
        <f t="shared" si="3"/>
        <v>0.16450749198107303</v>
      </c>
      <c r="J30" s="3">
        <v>0.20119999999999999</v>
      </c>
      <c r="M30" s="231" t="s">
        <v>217</v>
      </c>
      <c r="N30" s="232"/>
      <c r="O30" s="232" t="s">
        <v>219</v>
      </c>
      <c r="P30" s="233"/>
    </row>
    <row r="31" spans="1:21" x14ac:dyDescent="0.25">
      <c r="A31" t="s">
        <v>184</v>
      </c>
      <c r="B31" s="102">
        <v>0.61439999999999995</v>
      </c>
      <c r="C31" s="102">
        <v>0.1827</v>
      </c>
      <c r="D31" s="102">
        <v>0.18379999999999999</v>
      </c>
      <c r="E31" s="102"/>
      <c r="G31" s="7">
        <f>4292325/B31</f>
        <v>6986206.0546875009</v>
      </c>
      <c r="H31" s="124">
        <f t="shared" si="3"/>
        <v>0.25426990913616948</v>
      </c>
      <c r="J31" s="3">
        <v>0.2319</v>
      </c>
      <c r="M31" s="106">
        <f>O28-P24*P25</f>
        <v>0.10608563999999998</v>
      </c>
      <c r="N31" s="180">
        <v>0.06</v>
      </c>
      <c r="O31" s="180">
        <f>M31/M24</f>
        <v>0.55067223289456302</v>
      </c>
      <c r="P31" s="107">
        <f>P28/M24</f>
        <v>0.29899165065815536</v>
      </c>
      <c r="R31" s="124"/>
    </row>
    <row r="32" spans="1:21" x14ac:dyDescent="0.25">
      <c r="A32" t="s">
        <v>185</v>
      </c>
      <c r="B32" s="102">
        <v>0.60060000000000002</v>
      </c>
      <c r="C32" s="102">
        <v>0.19819999999999999</v>
      </c>
      <c r="D32" s="102">
        <v>0.1719</v>
      </c>
      <c r="E32" s="102"/>
      <c r="G32" s="7">
        <f>999452/B32</f>
        <v>1664089.2440892439</v>
      </c>
      <c r="H32" s="124">
        <f t="shared" si="3"/>
        <v>6.0566181068356123E-2</v>
      </c>
      <c r="J32" s="3">
        <v>0.16830000000000001</v>
      </c>
      <c r="M32" s="185"/>
      <c r="N32" s="86"/>
      <c r="O32" s="86"/>
      <c r="P32" s="156"/>
    </row>
    <row r="33" spans="1:18" x14ac:dyDescent="0.25">
      <c r="A33" t="s">
        <v>186</v>
      </c>
      <c r="B33" s="102">
        <v>0.6956</v>
      </c>
      <c r="C33" s="102">
        <v>0.1162</v>
      </c>
      <c r="D33" s="102">
        <v>0.1701</v>
      </c>
      <c r="E33" s="102"/>
      <c r="G33" s="7">
        <f>2187668/B33</f>
        <v>3145008.6256469237</v>
      </c>
      <c r="H33" s="124">
        <f t="shared" si="3"/>
        <v>0.11446571303735802</v>
      </c>
      <c r="J33" s="3">
        <v>0.23630000000000001</v>
      </c>
      <c r="M33" s="231" t="s">
        <v>220</v>
      </c>
      <c r="N33" s="232"/>
      <c r="O33" s="232"/>
      <c r="P33" s="233"/>
    </row>
    <row r="34" spans="1:18" x14ac:dyDescent="0.25">
      <c r="A34" t="s">
        <v>187</v>
      </c>
      <c r="B34" s="102">
        <v>0.55610000000000004</v>
      </c>
      <c r="C34" s="102">
        <v>0.23380000000000001</v>
      </c>
      <c r="D34" s="102">
        <v>0.1875</v>
      </c>
      <c r="E34" s="102"/>
      <c r="G34" s="7">
        <f>1166632/B34</f>
        <v>2097881.6759575615</v>
      </c>
      <c r="H34" s="124">
        <f t="shared" si="3"/>
        <v>7.6354487535656407E-2</v>
      </c>
      <c r="J34" s="3">
        <v>0.17649999999999999</v>
      </c>
      <c r="M34" s="185"/>
      <c r="N34" s="198" t="s">
        <v>5</v>
      </c>
      <c r="O34" s="198" t="s">
        <v>4</v>
      </c>
      <c r="P34" s="156"/>
      <c r="Q34" t="s">
        <v>89</v>
      </c>
      <c r="R34" t="s">
        <v>221</v>
      </c>
    </row>
    <row r="35" spans="1:18" ht="15.75" thickBot="1" x14ac:dyDescent="0.3">
      <c r="A35" t="s">
        <v>188</v>
      </c>
      <c r="B35" s="102">
        <v>0.49940000000000001</v>
      </c>
      <c r="C35" s="102">
        <v>0.22109999999999999</v>
      </c>
      <c r="D35" s="102">
        <v>0.25309999999999999</v>
      </c>
      <c r="E35" s="102"/>
      <c r="G35" s="7">
        <f>703674/B35</f>
        <v>1409038.8466159392</v>
      </c>
      <c r="H35" s="124">
        <f t="shared" si="3"/>
        <v>5.1283368496979433E-2</v>
      </c>
      <c r="J35" s="3">
        <v>0.1918</v>
      </c>
      <c r="M35" s="186"/>
      <c r="N35" s="187">
        <f>C4+O31*D4</f>
        <v>0.40924343999999996</v>
      </c>
      <c r="O35" s="187">
        <f>B4+P31*D4</f>
        <v>0.43340723999999997</v>
      </c>
      <c r="P35" s="188"/>
      <c r="Q35" s="3">
        <v>3.2000000000000001E-2</v>
      </c>
      <c r="R35" s="124">
        <f>F4+(M24-M31-N31)</f>
        <v>0.12296188</v>
      </c>
    </row>
    <row r="36" spans="1:18" x14ac:dyDescent="0.25">
      <c r="A36" t="s">
        <v>189</v>
      </c>
      <c r="B36" s="102">
        <v>0.70609999999999995</v>
      </c>
      <c r="C36" s="102">
        <v>0.1384</v>
      </c>
      <c r="D36" s="102">
        <v>0.14069999999999999</v>
      </c>
      <c r="E36" s="102"/>
      <c r="G36" s="7">
        <f>1235203/B36</f>
        <v>1749331.5394420056</v>
      </c>
      <c r="H36" s="124">
        <f t="shared" si="3"/>
        <v>6.3668659083496018E-2</v>
      </c>
      <c r="J36" s="3">
        <v>0.189</v>
      </c>
    </row>
    <row r="37" spans="1:18" x14ac:dyDescent="0.25">
      <c r="A37" t="s">
        <v>190</v>
      </c>
      <c r="B37" s="102">
        <v>0.54930000000000001</v>
      </c>
      <c r="C37" s="102">
        <v>0.2268</v>
      </c>
      <c r="D37" s="102">
        <v>0.1855</v>
      </c>
      <c r="E37" s="102"/>
      <c r="G37" s="7">
        <f>601578/B37</f>
        <v>1095172.0371381759</v>
      </c>
      <c r="H37" s="124">
        <f t="shared" si="3"/>
        <v>3.9859874185181589E-2</v>
      </c>
      <c r="J37" s="3">
        <v>0.14699999999999999</v>
      </c>
      <c r="N37" s="10" t="s">
        <v>226</v>
      </c>
      <c r="O37" s="234" t="s">
        <v>215</v>
      </c>
      <c r="P37" s="234"/>
    </row>
    <row r="38" spans="1:18" x14ac:dyDescent="0.25">
      <c r="L38" t="s">
        <v>227</v>
      </c>
      <c r="O38" s="196" t="s">
        <v>5</v>
      </c>
      <c r="P38" s="196" t="s">
        <v>4</v>
      </c>
      <c r="Q38" s="189" t="s">
        <v>228</v>
      </c>
    </row>
    <row r="39" spans="1:18" x14ac:dyDescent="0.25">
      <c r="A39" t="s">
        <v>252</v>
      </c>
      <c r="B39" s="91">
        <v>41</v>
      </c>
      <c r="C39" s="91">
        <v>22</v>
      </c>
      <c r="D39" s="91">
        <v>23</v>
      </c>
      <c r="E39" s="91"/>
      <c r="L39" s="102">
        <v>1.54E-2</v>
      </c>
      <c r="M39" t="s">
        <v>222</v>
      </c>
      <c r="N39" s="3">
        <f>L39*(1-$F$4)</f>
        <v>1.3915439999999999E-2</v>
      </c>
      <c r="O39" s="81">
        <v>0.32</v>
      </c>
      <c r="P39" s="81">
        <v>0.41</v>
      </c>
      <c r="Q39" s="81">
        <v>0.26</v>
      </c>
    </row>
    <row r="40" spans="1:18" x14ac:dyDescent="0.25">
      <c r="A40" t="s">
        <v>254</v>
      </c>
      <c r="B40" s="127">
        <f>B39+M$16</f>
        <v>39.54545454545454</v>
      </c>
      <c r="C40" s="127">
        <f>C39+N$16</f>
        <v>24.727272727272727</v>
      </c>
      <c r="D40" s="127">
        <f>D39+O$16</f>
        <v>21.136363636363633</v>
      </c>
      <c r="E40" s="127"/>
      <c r="L40" s="102">
        <v>7.4999999999999997E-3</v>
      </c>
      <c r="M40" t="s">
        <v>223</v>
      </c>
      <c r="N40" s="3">
        <f>L40*(1-$F$4)</f>
        <v>6.7769999999999992E-3</v>
      </c>
      <c r="O40" s="81">
        <v>0.47</v>
      </c>
      <c r="P40" s="81">
        <v>0.38</v>
      </c>
      <c r="Q40" s="81">
        <v>0.15</v>
      </c>
    </row>
    <row r="41" spans="1:18" x14ac:dyDescent="0.25">
      <c r="G41" s="7">
        <f>G42+G52</f>
        <v>15825432.291766293</v>
      </c>
      <c r="L41" s="102">
        <v>6.0000000000000001E-3</v>
      </c>
      <c r="M41" t="s">
        <v>225</v>
      </c>
      <c r="N41" s="3">
        <f>L41*(1-$F$4)</f>
        <v>5.4215999999999995E-3</v>
      </c>
      <c r="O41" s="81">
        <v>0.45</v>
      </c>
      <c r="P41" s="81">
        <v>0.38</v>
      </c>
      <c r="Q41" s="81">
        <v>0.16</v>
      </c>
    </row>
    <row r="42" spans="1:18" x14ac:dyDescent="0.25">
      <c r="A42" s="10" t="s">
        <v>196</v>
      </c>
      <c r="B42" s="128">
        <f>SUMPRODUCT(B44:B47,$H$44:$H$47)</f>
        <v>0.32695983772232984</v>
      </c>
      <c r="C42" s="128">
        <f>SUMPRODUCT(C44:C47,$H$44:$H$47)</f>
        <v>0.40981136756295405</v>
      </c>
      <c r="D42" s="128">
        <f>SUMPRODUCT(D44:D47,$H$44:$H$47)</f>
        <v>0.23508224442263953</v>
      </c>
      <c r="E42" s="128"/>
      <c r="F42" s="10"/>
      <c r="G42" s="178">
        <f>SUM(G44:G47)</f>
        <v>7711650.512076946</v>
      </c>
      <c r="H42" s="177">
        <f>G42/$G$3</f>
        <v>7.4126770528285077E-2</v>
      </c>
      <c r="J42" s="124">
        <f>SUMPRODUCT(J44:J47,H44:H47)</f>
        <v>0.18490628460258998</v>
      </c>
      <c r="L42" s="102">
        <v>4.1999999999999997E-3</v>
      </c>
      <c r="M42" t="s">
        <v>224</v>
      </c>
      <c r="N42" s="3">
        <f>L42*(1-$F$4)</f>
        <v>3.7951199999999995E-3</v>
      </c>
      <c r="O42" s="81">
        <v>0.56999999999999995</v>
      </c>
      <c r="P42" s="81">
        <v>0.23</v>
      </c>
      <c r="Q42" s="81">
        <v>0.2</v>
      </c>
    </row>
    <row r="44" spans="1:18" x14ac:dyDescent="0.25">
      <c r="A44" t="s">
        <v>198</v>
      </c>
      <c r="B44" s="3">
        <v>0.39529999999999998</v>
      </c>
      <c r="C44" s="3">
        <v>0.44469999999999998</v>
      </c>
      <c r="D44" s="3">
        <v>0.1411</v>
      </c>
      <c r="E44" s="3"/>
      <c r="G44" s="7">
        <f>616265/B44</f>
        <v>1558980.5211231976</v>
      </c>
      <c r="H44" s="124">
        <f>G44/$G$42</f>
        <v>0.20215912516804707</v>
      </c>
      <c r="J44" s="3">
        <v>0.2291</v>
      </c>
      <c r="O44" s="102">
        <f>SUMPRODUCT(O39:O42,$N$39:$N$42)</f>
        <v>1.2241069199999999E-2</v>
      </c>
      <c r="P44" s="102">
        <f>SUMPRODUCT(P39:P42,$N$39:$N$42)</f>
        <v>1.1213676000000001E-2</v>
      </c>
      <c r="Q44" s="102">
        <f>SUMPRODUCT(Q39:Q42,$N$39:$N$42)</f>
        <v>6.2610443999999987E-3</v>
      </c>
    </row>
    <row r="45" spans="1:18" ht="15.75" thickBot="1" x14ac:dyDescent="0.3">
      <c r="A45" t="s">
        <v>199</v>
      </c>
      <c r="B45" s="3">
        <v>0.37509999999999999</v>
      </c>
      <c r="C45" s="3">
        <v>0.41310000000000002</v>
      </c>
      <c r="D45" s="3">
        <v>0.1908</v>
      </c>
      <c r="E45" s="3"/>
      <c r="G45" s="7">
        <f>506951/B45</f>
        <v>1351508.9309517462</v>
      </c>
      <c r="H45" s="124">
        <f>G45/$G$42</f>
        <v>0.17525546947896503</v>
      </c>
      <c r="J45" s="3">
        <v>0.20530000000000001</v>
      </c>
    </row>
    <row r="46" spans="1:18" x14ac:dyDescent="0.25">
      <c r="A46" t="s">
        <v>200</v>
      </c>
      <c r="B46" s="3">
        <v>0.32100000000000001</v>
      </c>
      <c r="C46" s="3">
        <v>0.41539999999999999</v>
      </c>
      <c r="D46" s="3">
        <v>0.23899999999999999</v>
      </c>
      <c r="E46" s="3"/>
      <c r="G46" s="7">
        <f>1035673/B46</f>
        <v>3226395.6386292833</v>
      </c>
      <c r="H46" s="124">
        <f>G46/$G$42</f>
        <v>0.41837939019364767</v>
      </c>
      <c r="J46" s="3">
        <v>0.1883</v>
      </c>
      <c r="N46" s="235" t="s">
        <v>219</v>
      </c>
      <c r="O46" s="236"/>
      <c r="P46" s="237"/>
    </row>
    <row r="47" spans="1:18" x14ac:dyDescent="0.25">
      <c r="A47" t="s">
        <v>201</v>
      </c>
      <c r="B47" s="3">
        <v>0.23019999999999999</v>
      </c>
      <c r="C47" s="3">
        <v>0.36099999999999999</v>
      </c>
      <c r="D47" s="3">
        <v>0.35809999999999997</v>
      </c>
      <c r="E47" s="3"/>
      <c r="G47" s="7">
        <f>362511/B47</f>
        <v>1574765.4213727193</v>
      </c>
      <c r="H47" s="124">
        <f>G47/$G$42</f>
        <v>0.20420601515934031</v>
      </c>
      <c r="J47" s="3">
        <v>0.1167</v>
      </c>
      <c r="N47" s="197" t="s">
        <v>5</v>
      </c>
      <c r="O47" s="198" t="s">
        <v>4</v>
      </c>
      <c r="P47" s="199" t="s">
        <v>29</v>
      </c>
    </row>
    <row r="48" spans="1:18" ht="15.75" thickBot="1" x14ac:dyDescent="0.3">
      <c r="N48" s="190">
        <f>N35+O44</f>
        <v>0.42148450919999997</v>
      </c>
      <c r="O48" s="191">
        <f>O35+P44</f>
        <v>0.44462091599999998</v>
      </c>
      <c r="P48" s="192">
        <f>R35+Q44</f>
        <v>0.12922292439999999</v>
      </c>
    </row>
    <row r="49" spans="1:24" x14ac:dyDescent="0.25">
      <c r="A49" t="s">
        <v>253</v>
      </c>
      <c r="B49" s="91">
        <v>41</v>
      </c>
      <c r="C49" s="91">
        <v>22</v>
      </c>
      <c r="D49" s="91">
        <v>23</v>
      </c>
      <c r="E49" s="91"/>
      <c r="N49" s="124">
        <f>N48/SUM($N$48:$O$48)</f>
        <v>0.48664342346391753</v>
      </c>
      <c r="O49" s="124">
        <f>O48/SUM($N$48:$O$48)</f>
        <v>0.51335657653608235</v>
      </c>
    </row>
    <row r="50" spans="1:24" x14ac:dyDescent="0.25">
      <c r="A50" t="s">
        <v>254</v>
      </c>
      <c r="B50" s="127">
        <f>B49+M$16</f>
        <v>39.54545454545454</v>
      </c>
      <c r="C50" s="127">
        <f>C49+N$16</f>
        <v>24.727272727272727</v>
      </c>
      <c r="D50" s="127">
        <f>D49+O$16</f>
        <v>21.136363636363633</v>
      </c>
      <c r="E50" s="127"/>
      <c r="N50" s="10" t="s">
        <v>229</v>
      </c>
      <c r="P50" s="35"/>
    </row>
    <row r="51" spans="1:24" x14ac:dyDescent="0.25">
      <c r="N51" s="81">
        <f>2/3</f>
        <v>0.66666666666666663</v>
      </c>
      <c r="O51" s="81">
        <f>1-N51</f>
        <v>0.33333333333333337</v>
      </c>
    </row>
    <row r="52" spans="1:24" x14ac:dyDescent="0.25">
      <c r="A52" s="10" t="s">
        <v>203</v>
      </c>
      <c r="B52" s="122">
        <f>SUMPRODUCT(B54:B60,$H$54:$H$60)</f>
        <v>0.50068107700026632</v>
      </c>
      <c r="C52" s="122">
        <f>SUMPRODUCT(C54:C60,$H$54:$H$60)</f>
        <v>0.28128923325043198</v>
      </c>
      <c r="D52" s="122">
        <f>SUMPRODUCT(D54:D60,$H$54:$H$60)</f>
        <v>0.18697501438156025</v>
      </c>
      <c r="E52" s="122"/>
      <c r="F52" s="10"/>
      <c r="G52" s="178">
        <f>SUM(G54:G60)</f>
        <v>8113781.7796893474</v>
      </c>
      <c r="H52" s="177">
        <f>G52/$G$3</f>
        <v>7.7992180682683349E-2</v>
      </c>
      <c r="J52" s="124">
        <f>SUMPRODUCT(J54:J60,H54:H60)</f>
        <v>0.1969407392377103</v>
      </c>
      <c r="T52" t="s">
        <v>113</v>
      </c>
      <c r="U52" t="s">
        <v>4</v>
      </c>
    </row>
    <row r="53" spans="1:24" x14ac:dyDescent="0.25">
      <c r="N53" s="69">
        <f>N48+N51*($P$48-9%)</f>
        <v>0.44763312546666661</v>
      </c>
      <c r="O53" s="69">
        <f>O48+O51*($P$48-9%)</f>
        <v>0.4576952241333333</v>
      </c>
      <c r="P53" s="69">
        <v>0.09</v>
      </c>
      <c r="S53" s="124">
        <v>0</v>
      </c>
      <c r="T53" s="124">
        <f t="shared" ref="T53:T63" si="4">$N$48</f>
        <v>0.42148450919999997</v>
      </c>
      <c r="U53" s="124">
        <f t="shared" ref="U53:U63" si="5">$O$48+S53</f>
        <v>0.44462091599999998</v>
      </c>
      <c r="W53" s="3">
        <f t="shared" ref="W53:W63" si="6">T53/SUM(T53:U53)</f>
        <v>0.48664342346391753</v>
      </c>
      <c r="X53" s="3">
        <f t="shared" ref="X53:X63" si="7">U53/SUM(T53:U53)</f>
        <v>0.51335657653608235</v>
      </c>
    </row>
    <row r="54" spans="1:24" x14ac:dyDescent="0.25">
      <c r="A54" t="s">
        <v>204</v>
      </c>
      <c r="B54" s="3">
        <v>0.54530000000000001</v>
      </c>
      <c r="C54" s="3">
        <v>0.19420000000000001</v>
      </c>
      <c r="D54" s="3">
        <v>0.21529999999999999</v>
      </c>
      <c r="E54" s="3"/>
      <c r="G54" s="7">
        <f>914800/B54</f>
        <v>1677608.655785806</v>
      </c>
      <c r="H54" s="124">
        <f t="shared" ref="H54:H60" si="8">G54/$G$52</f>
        <v>0.20676038638175412</v>
      </c>
      <c r="J54" s="3">
        <v>0.19489999999999999</v>
      </c>
      <c r="S54" s="124">
        <v>-5.0000000000000001E-3</v>
      </c>
      <c r="T54" s="124">
        <f t="shared" si="4"/>
        <v>0.42148450919999997</v>
      </c>
      <c r="U54" s="124">
        <f t="shared" si="5"/>
        <v>0.43962091599999997</v>
      </c>
      <c r="W54" s="3">
        <f t="shared" si="6"/>
        <v>0.48946911361301226</v>
      </c>
      <c r="X54" s="3">
        <f t="shared" si="7"/>
        <v>0.51053088638698785</v>
      </c>
    </row>
    <row r="55" spans="1:24" x14ac:dyDescent="0.25">
      <c r="A55" t="s">
        <v>205</v>
      </c>
      <c r="B55" s="3">
        <v>0.27979999999999999</v>
      </c>
      <c r="C55" s="3">
        <v>0.2908</v>
      </c>
      <c r="D55" s="3">
        <v>0.4199</v>
      </c>
      <c r="E55" s="3"/>
      <c r="G55" s="7">
        <f>111610/B55</f>
        <v>398892.06576125807</v>
      </c>
      <c r="H55" s="124">
        <f t="shared" si="8"/>
        <v>4.916228666141554E-2</v>
      </c>
      <c r="J55" s="3">
        <v>0.17319999999999999</v>
      </c>
      <c r="M55" s="196"/>
      <c r="N55" s="196"/>
      <c r="O55" s="196"/>
      <c r="P55" s="196"/>
      <c r="Q55" s="196"/>
      <c r="S55" s="124">
        <v>-0.01</v>
      </c>
      <c r="T55" s="124">
        <f t="shared" si="4"/>
        <v>0.42148450919999997</v>
      </c>
      <c r="U55" s="124">
        <f t="shared" si="5"/>
        <v>0.43462091599999997</v>
      </c>
      <c r="W55" s="3">
        <f t="shared" si="6"/>
        <v>0.49232781009597554</v>
      </c>
      <c r="X55" s="3">
        <f t="shared" si="7"/>
        <v>0.50767218990402441</v>
      </c>
    </row>
    <row r="56" spans="1:24" x14ac:dyDescent="0.25">
      <c r="A56" t="s">
        <v>206</v>
      </c>
      <c r="B56" s="3">
        <v>0.41699999999999998</v>
      </c>
      <c r="C56" s="3">
        <v>0.4491</v>
      </c>
      <c r="D56" s="3">
        <v>0.1041</v>
      </c>
      <c r="E56" s="3"/>
      <c r="G56" s="7">
        <f>345167/B56</f>
        <v>827738.60911270988</v>
      </c>
      <c r="H56" s="124">
        <f t="shared" si="8"/>
        <v>0.10201637554324286</v>
      </c>
      <c r="J56" s="3">
        <v>0.21360000000000001</v>
      </c>
      <c r="L56" s="10"/>
      <c r="M56" s="127"/>
      <c r="N56" s="127"/>
      <c r="O56" s="127"/>
      <c r="P56" s="127"/>
      <c r="Q56" s="127"/>
      <c r="S56" s="124">
        <v>-1.4999999999999999E-2</v>
      </c>
      <c r="T56" s="124">
        <f t="shared" si="4"/>
        <v>0.42148450919999997</v>
      </c>
      <c r="U56" s="124">
        <f t="shared" si="5"/>
        <v>0.42962091599999996</v>
      </c>
      <c r="W56" s="3">
        <f t="shared" si="6"/>
        <v>0.49522009462101124</v>
      </c>
      <c r="X56" s="3">
        <f t="shared" si="7"/>
        <v>0.50477990537898876</v>
      </c>
    </row>
    <row r="57" spans="1:24" x14ac:dyDescent="0.25">
      <c r="A57" t="s">
        <v>207</v>
      </c>
      <c r="B57" s="3">
        <v>0.33200000000000002</v>
      </c>
      <c r="C57" s="3">
        <v>0.43630000000000002</v>
      </c>
      <c r="D57" s="3">
        <v>0.18809999999999999</v>
      </c>
      <c r="E57" s="3"/>
      <c r="G57" s="7">
        <f>82857/B57</f>
        <v>249569.27710843371</v>
      </c>
      <c r="H57" s="124">
        <f t="shared" si="8"/>
        <v>3.0758687364893487E-2</v>
      </c>
      <c r="J57" s="3">
        <v>0.12429999999999999</v>
      </c>
      <c r="L57" s="10"/>
      <c r="M57" s="127"/>
      <c r="N57" s="127"/>
      <c r="O57" s="127"/>
      <c r="P57" s="127"/>
      <c r="Q57" s="127"/>
      <c r="S57" s="124">
        <v>-0.02</v>
      </c>
      <c r="T57" s="124">
        <f t="shared" si="4"/>
        <v>0.42148450919999997</v>
      </c>
      <c r="U57" s="124">
        <f t="shared" si="5"/>
        <v>0.42462091599999996</v>
      </c>
      <c r="W57" s="3">
        <f t="shared" si="6"/>
        <v>0.49814656264657642</v>
      </c>
      <c r="X57" s="3">
        <f t="shared" si="7"/>
        <v>0.50185343735342347</v>
      </c>
    </row>
    <row r="58" spans="1:24" x14ac:dyDescent="0.25">
      <c r="A58" t="s">
        <v>208</v>
      </c>
      <c r="B58" s="3">
        <v>0.51100000000000001</v>
      </c>
      <c r="C58" s="3">
        <v>0.25440000000000002</v>
      </c>
      <c r="D58" s="3">
        <v>0.1996</v>
      </c>
      <c r="E58" s="3"/>
      <c r="G58" s="7">
        <f>198939/B58</f>
        <v>389313.11154598824</v>
      </c>
      <c r="H58" s="124">
        <f t="shared" si="8"/>
        <v>4.7981708421161638E-2</v>
      </c>
      <c r="J58" s="3">
        <v>0.10440000000000001</v>
      </c>
      <c r="M58" s="127"/>
      <c r="N58" s="127"/>
      <c r="O58" s="127"/>
      <c r="P58" s="127"/>
      <c r="Q58" s="127"/>
      <c r="S58" s="124">
        <v>-2.5000000000000001E-2</v>
      </c>
      <c r="T58" s="124">
        <f t="shared" si="4"/>
        <v>0.42148450919999997</v>
      </c>
      <c r="U58" s="124">
        <f t="shared" si="5"/>
        <v>0.41962091599999995</v>
      </c>
      <c r="W58" s="3">
        <f t="shared" si="6"/>
        <v>0.50110782379007779</v>
      </c>
      <c r="X58" s="3">
        <f t="shared" si="7"/>
        <v>0.49889217620992232</v>
      </c>
    </row>
    <row r="59" spans="1:24" x14ac:dyDescent="0.25">
      <c r="A59" t="s">
        <v>209</v>
      </c>
      <c r="B59" s="3">
        <v>0.53180000000000005</v>
      </c>
      <c r="C59" s="3">
        <v>0.2757</v>
      </c>
      <c r="D59" s="3">
        <v>0.16339999999999999</v>
      </c>
      <c r="E59" s="3"/>
      <c r="G59" s="7">
        <f>2040696/B59</f>
        <v>3837337.3448664909</v>
      </c>
      <c r="H59" s="124">
        <f t="shared" si="8"/>
        <v>0.47294066429938064</v>
      </c>
      <c r="J59" s="3">
        <v>0.21099999999999999</v>
      </c>
      <c r="N59" s="124"/>
      <c r="S59" s="124">
        <v>-0.03</v>
      </c>
      <c r="T59" s="124">
        <f t="shared" si="4"/>
        <v>0.42148450919999997</v>
      </c>
      <c r="U59" s="124">
        <f t="shared" si="5"/>
        <v>0.41462091599999995</v>
      </c>
      <c r="W59" s="3">
        <f t="shared" si="6"/>
        <v>0.50410450225123116</v>
      </c>
      <c r="X59" s="3">
        <f t="shared" si="7"/>
        <v>0.49589549774876879</v>
      </c>
    </row>
    <row r="60" spans="1:24" x14ac:dyDescent="0.25">
      <c r="A60" t="s">
        <v>210</v>
      </c>
      <c r="B60" s="3">
        <v>0.50229999999999997</v>
      </c>
      <c r="C60" s="3">
        <v>0.2767</v>
      </c>
      <c r="D60" s="3">
        <v>0.20530000000000001</v>
      </c>
      <c r="E60" s="3"/>
      <c r="G60" s="7">
        <f>368348/B60</f>
        <v>733322.71550866019</v>
      </c>
      <c r="H60" s="124">
        <f t="shared" si="8"/>
        <v>9.0379891328151662E-2</v>
      </c>
      <c r="J60" s="3">
        <v>0.19600000000000001</v>
      </c>
      <c r="N60" s="124"/>
      <c r="S60" s="124">
        <v>-3.5000000000000003E-2</v>
      </c>
      <c r="T60" s="124">
        <f t="shared" si="4"/>
        <v>0.42148450919999997</v>
      </c>
      <c r="U60" s="124">
        <f t="shared" si="5"/>
        <v>0.40962091599999995</v>
      </c>
      <c r="W60" s="3">
        <f t="shared" si="6"/>
        <v>0.50713723725070448</v>
      </c>
      <c r="X60" s="3">
        <f t="shared" si="7"/>
        <v>0.49286276274929558</v>
      </c>
    </row>
    <row r="61" spans="1:24" x14ac:dyDescent="0.25">
      <c r="N61" s="124"/>
      <c r="S61" s="124">
        <v>-0.04</v>
      </c>
      <c r="T61" s="124">
        <f t="shared" si="4"/>
        <v>0.42148450919999997</v>
      </c>
      <c r="U61" s="124">
        <f t="shared" si="5"/>
        <v>0.404620916</v>
      </c>
      <c r="W61" s="3">
        <f t="shared" si="6"/>
        <v>0.51020668348468801</v>
      </c>
      <c r="X61" s="3">
        <f t="shared" si="7"/>
        <v>0.48979331651531199</v>
      </c>
    </row>
    <row r="62" spans="1:24" x14ac:dyDescent="0.25">
      <c r="E62" t="s">
        <v>8</v>
      </c>
      <c r="F62" t="s">
        <v>256</v>
      </c>
      <c r="S62" s="124">
        <v>-4.4999999999999998E-2</v>
      </c>
      <c r="T62" s="124">
        <f t="shared" si="4"/>
        <v>0.42148450919999997</v>
      </c>
      <c r="U62" s="124">
        <f t="shared" si="5"/>
        <v>0.39962091599999999</v>
      </c>
      <c r="W62" s="3">
        <f t="shared" si="6"/>
        <v>0.51331351159607463</v>
      </c>
      <c r="X62" s="3">
        <f t="shared" si="7"/>
        <v>0.48668648840392537</v>
      </c>
    </row>
    <row r="63" spans="1:24" x14ac:dyDescent="0.25">
      <c r="A63" t="s">
        <v>249</v>
      </c>
      <c r="B63" s="7">
        <v>32</v>
      </c>
      <c r="C63" s="7">
        <v>29</v>
      </c>
      <c r="D63" s="7">
        <v>21</v>
      </c>
      <c r="S63" s="124">
        <v>-0.05</v>
      </c>
      <c r="T63" s="124">
        <f t="shared" si="4"/>
        <v>0.42148450919999997</v>
      </c>
      <c r="U63" s="124">
        <f t="shared" si="5"/>
        <v>0.39462091599999999</v>
      </c>
      <c r="W63" s="3">
        <f t="shared" si="6"/>
        <v>0.51645840866295956</v>
      </c>
      <c r="X63" s="3">
        <f t="shared" si="7"/>
        <v>0.48354159133704044</v>
      </c>
    </row>
    <row r="64" spans="1:24" x14ac:dyDescent="0.25">
      <c r="A64" t="s">
        <v>254</v>
      </c>
      <c r="B64" s="7">
        <v>30.545454545454543</v>
      </c>
      <c r="C64" s="7">
        <v>31.727272727272727</v>
      </c>
      <c r="D64" s="7">
        <v>19.136363636363633</v>
      </c>
      <c r="E64" s="124">
        <v>0.42656418887237452</v>
      </c>
      <c r="F64" s="121">
        <v>0.19728901605962204</v>
      </c>
      <c r="G64" s="35">
        <f>E64*(1-F64)</f>
        <v>0.34240775976347299</v>
      </c>
      <c r="H64" s="35">
        <f>G64/SUM($G$64:$G$73)</f>
        <v>0.42479257044595153</v>
      </c>
      <c r="J64">
        <f>(B64*$E$64*(1-$F$64)+B67*$E$67*(1-$F$67)+B70*$E$70*(1-$F$70)+B73*$E$73*(1-$F$73))</f>
        <v>31.754373754588272</v>
      </c>
    </row>
    <row r="65" spans="1:17" x14ac:dyDescent="0.25">
      <c r="B65" s="7"/>
      <c r="C65" s="7"/>
      <c r="D65" s="7"/>
      <c r="E65" s="124"/>
      <c r="F65" s="200"/>
    </row>
    <row r="66" spans="1:17" x14ac:dyDescent="0.25">
      <c r="A66" t="s">
        <v>250</v>
      </c>
      <c r="B66" s="7">
        <v>41</v>
      </c>
      <c r="C66" s="7">
        <v>30</v>
      </c>
      <c r="D66" s="7">
        <v>14</v>
      </c>
      <c r="E66" s="124"/>
      <c r="F66" s="121"/>
    </row>
    <row r="67" spans="1:17" x14ac:dyDescent="0.25">
      <c r="A67" t="s">
        <v>254</v>
      </c>
      <c r="B67" s="7">
        <v>39.54545454545454</v>
      </c>
      <c r="C67" s="7">
        <v>32.727272727272727</v>
      </c>
      <c r="D67" s="7">
        <v>12.136363636363633</v>
      </c>
      <c r="E67" s="124">
        <v>0.15511284714240522</v>
      </c>
      <c r="F67" s="121">
        <v>0.16729180763650073</v>
      </c>
      <c r="G67" s="35">
        <f>E67*(1-F67)</f>
        <v>0.12916373855630803</v>
      </c>
      <c r="H67" s="35">
        <f>G67/SUM($G$64:$G$73)</f>
        <v>0.1602411012754042</v>
      </c>
    </row>
    <row r="68" spans="1:17" x14ac:dyDescent="0.25">
      <c r="B68" s="7"/>
      <c r="C68" s="7"/>
      <c r="D68" s="7"/>
      <c r="E68" s="124"/>
      <c r="F68" s="121"/>
    </row>
    <row r="69" spans="1:17" x14ac:dyDescent="0.25">
      <c r="A69" t="s">
        <v>251</v>
      </c>
      <c r="B69" s="7">
        <v>55</v>
      </c>
      <c r="C69" s="7">
        <v>13</v>
      </c>
      <c r="D69" s="7">
        <v>22</v>
      </c>
      <c r="E69" s="124"/>
      <c r="F69" s="121"/>
    </row>
    <row r="70" spans="1:17" x14ac:dyDescent="0.25">
      <c r="A70" t="s">
        <v>254</v>
      </c>
      <c r="B70" s="7">
        <v>53.54545454545454</v>
      </c>
      <c r="C70" s="7">
        <v>15.727272727272728</v>
      </c>
      <c r="D70" s="7">
        <v>20.136363636363633</v>
      </c>
      <c r="E70" s="124">
        <v>0.2641035040137934</v>
      </c>
      <c r="F70" s="121">
        <v>0.19942514769615866</v>
      </c>
      <c r="G70" s="35">
        <f>E70*(1-F70)</f>
        <v>0.21143462371876964</v>
      </c>
      <c r="H70" s="35">
        <f>G70/SUM($G$64:$G$73)</f>
        <v>0.26230672270047656</v>
      </c>
      <c r="O70" s="124">
        <f>H76-E76</f>
        <v>-1.7716184264229828E-3</v>
      </c>
    </row>
    <row r="71" spans="1:17" x14ac:dyDescent="0.25">
      <c r="B71" s="7"/>
      <c r="C71" s="7"/>
      <c r="D71" s="7"/>
      <c r="F71" s="200"/>
      <c r="O71" s="124">
        <f>H77-E77</f>
        <v>5.1282541329989717E-3</v>
      </c>
    </row>
    <row r="72" spans="1:17" x14ac:dyDescent="0.25">
      <c r="A72" t="s">
        <v>255</v>
      </c>
      <c r="B72" s="7">
        <v>41</v>
      </c>
      <c r="C72" s="7">
        <v>22</v>
      </c>
      <c r="D72" s="7">
        <v>23</v>
      </c>
      <c r="F72" s="200"/>
      <c r="O72" s="124">
        <f>H78-E78</f>
        <v>-1.796781313316842E-3</v>
      </c>
    </row>
    <row r="73" spans="1:17" x14ac:dyDescent="0.25">
      <c r="A73" t="s">
        <v>254</v>
      </c>
      <c r="B73" s="7">
        <v>39.54545454545454</v>
      </c>
      <c r="C73" s="7">
        <v>24.727272727272727</v>
      </c>
      <c r="D73" s="7">
        <v>21.136363636363633</v>
      </c>
      <c r="E73" s="124">
        <f>H52+H42</f>
        <v>0.15211895121096841</v>
      </c>
      <c r="F73" s="121">
        <v>0.19107641234044273</v>
      </c>
      <c r="G73" s="35">
        <f>E73*(1-F73)</f>
        <v>0.12305260776458572</v>
      </c>
      <c r="H73" s="35">
        <f>G73/SUM($G$64:$G$73)</f>
        <v>0.1526596055781678</v>
      </c>
      <c r="O73" s="124">
        <f>H79-E79</f>
        <v>5.4065436719938353E-4</v>
      </c>
    </row>
    <row r="75" spans="1:17" x14ac:dyDescent="0.25">
      <c r="B75" s="76" t="s">
        <v>4</v>
      </c>
      <c r="C75" s="76" t="s">
        <v>5</v>
      </c>
      <c r="D75" s="76" t="s">
        <v>127</v>
      </c>
      <c r="E75" s="200" t="s">
        <v>8</v>
      </c>
      <c r="F75" s="200" t="s">
        <v>256</v>
      </c>
      <c r="G75" s="76" t="s">
        <v>258</v>
      </c>
      <c r="H75" s="7" t="s">
        <v>259</v>
      </c>
      <c r="K75" s="76" t="s">
        <v>4</v>
      </c>
      <c r="L75" s="76" t="s">
        <v>5</v>
      </c>
      <c r="M75" s="76" t="s">
        <v>127</v>
      </c>
    </row>
    <row r="76" spans="1:17" x14ac:dyDescent="0.25">
      <c r="A76" s="200" t="s">
        <v>0</v>
      </c>
      <c r="B76" s="76">
        <v>30.545454545454543</v>
      </c>
      <c r="C76" s="76">
        <v>31.727272727272727</v>
      </c>
      <c r="D76" s="76">
        <v>19.136363636363633</v>
      </c>
      <c r="E76" s="121">
        <v>0.42656418887237452</v>
      </c>
      <c r="F76" s="121">
        <v>0.19728901605962204</v>
      </c>
      <c r="G76" s="81">
        <f>E76*(1-F76)</f>
        <v>0.34240775976347299</v>
      </c>
      <c r="H76" s="124">
        <f>G76/SUM($G$64:$G$73)</f>
        <v>0.42479257044595153</v>
      </c>
      <c r="J76" t="s">
        <v>260</v>
      </c>
      <c r="K76" s="141">
        <f>SUMPRODUCT(B76:B79,$H$76:$H$79)</f>
        <v>39.394615529247652</v>
      </c>
      <c r="L76" s="141">
        <f>SUMPRODUCT(C76:C79,$H$76:$H$79)</f>
        <v>26.621989026293335</v>
      </c>
      <c r="M76" s="141">
        <f>SUMPRODUCT(D76:D79,$H$76:$H$79)</f>
        <v>18.582301861292617</v>
      </c>
      <c r="O76" s="7">
        <f>K76-K78*100</f>
        <v>1.8138915292476554</v>
      </c>
      <c r="P76" s="7">
        <f>L76-L78*100</f>
        <v>-3.6937909737066619</v>
      </c>
      <c r="Q76" s="7">
        <f>M76-M78*100</f>
        <v>-0.68245013870738092</v>
      </c>
    </row>
    <row r="77" spans="1:17" x14ac:dyDescent="0.25">
      <c r="A77" s="200" t="s">
        <v>248</v>
      </c>
      <c r="B77" s="76">
        <v>39.54545454545454</v>
      </c>
      <c r="C77" s="76">
        <v>32.727272727272727</v>
      </c>
      <c r="D77" s="76">
        <v>12.136363636363633</v>
      </c>
      <c r="E77" s="121">
        <v>0.15511284714240522</v>
      </c>
      <c r="F77" s="121">
        <v>0.16729180763650073</v>
      </c>
      <c r="G77" s="81">
        <f>E77*(1-F77)</f>
        <v>0.12916373855630803</v>
      </c>
      <c r="H77" s="124">
        <f>G77/SUM($G$64:$G$73)</f>
        <v>0.1602411012754042</v>
      </c>
      <c r="J77" t="s">
        <v>261</v>
      </c>
      <c r="K77" s="127">
        <v>40.479999999999997</v>
      </c>
      <c r="L77" s="127">
        <v>27.6</v>
      </c>
      <c r="M77" s="127">
        <v>20.239999999999998</v>
      </c>
      <c r="N77" s="127"/>
      <c r="O77" s="7">
        <f>K77-K78*100</f>
        <v>2.8992760000000004</v>
      </c>
      <c r="P77" s="7">
        <f>L77-L78*100</f>
        <v>-2.7157799999999952</v>
      </c>
      <c r="Q77" s="7">
        <f>M77-M78*100</f>
        <v>0.97524800000000056</v>
      </c>
    </row>
    <row r="78" spans="1:17" x14ac:dyDescent="0.25">
      <c r="A78" s="200" t="s">
        <v>247</v>
      </c>
      <c r="B78" s="76">
        <v>53.54545454545454</v>
      </c>
      <c r="C78" s="76">
        <v>15.727272727272728</v>
      </c>
      <c r="D78" s="76">
        <v>20.136363636363633</v>
      </c>
      <c r="E78" s="121">
        <v>0.2641035040137934</v>
      </c>
      <c r="F78" s="121">
        <v>0.19942514769615866</v>
      </c>
      <c r="G78" s="81">
        <f>E78*(1-F78)</f>
        <v>0.21143462371876964</v>
      </c>
      <c r="H78" s="124">
        <f>G78/SUM($G$64:$G$73)</f>
        <v>0.26230672270047656</v>
      </c>
      <c r="J78" t="s">
        <v>262</v>
      </c>
      <c r="K78" s="15">
        <v>0.37580723999999999</v>
      </c>
      <c r="L78" s="15">
        <v>0.30315779999999998</v>
      </c>
      <c r="M78" s="15">
        <v>0.19264751999999999</v>
      </c>
    </row>
    <row r="79" spans="1:17" x14ac:dyDescent="0.25">
      <c r="A79" s="200" t="s">
        <v>257</v>
      </c>
      <c r="B79" s="76">
        <v>39.54545454545454</v>
      </c>
      <c r="C79" s="76">
        <v>24.727272727272727</v>
      </c>
      <c r="D79" s="76">
        <v>21.136363636363633</v>
      </c>
      <c r="E79" s="121">
        <v>0.15211895121096841</v>
      </c>
      <c r="F79" s="121">
        <v>0.19107641234044273</v>
      </c>
      <c r="G79" s="81">
        <f>E79*(1-F79)</f>
        <v>0.12305260776458572</v>
      </c>
      <c r="H79" s="124">
        <f>G79/SUM($G$64:$G$73)</f>
        <v>0.1526596055781678</v>
      </c>
    </row>
    <row r="81" spans="1:14" x14ac:dyDescent="0.25">
      <c r="B81" s="76" t="s">
        <v>4</v>
      </c>
      <c r="C81" s="76" t="s">
        <v>5</v>
      </c>
      <c r="D81" s="76" t="s">
        <v>127</v>
      </c>
      <c r="E81" s="200" t="s">
        <v>8</v>
      </c>
      <c r="K81" s="76" t="s">
        <v>4</v>
      </c>
      <c r="L81" s="76" t="s">
        <v>5</v>
      </c>
      <c r="M81" s="76" t="s">
        <v>127</v>
      </c>
    </row>
    <row r="82" spans="1:14" x14ac:dyDescent="0.25">
      <c r="A82" s="200" t="s">
        <v>0</v>
      </c>
      <c r="B82" s="7">
        <v>32</v>
      </c>
      <c r="C82" s="7">
        <v>29</v>
      </c>
      <c r="D82" s="7">
        <v>21</v>
      </c>
      <c r="E82" s="121">
        <v>0.42656418887237452</v>
      </c>
      <c r="K82" s="76">
        <f>SUMPRODUCT(B82:B85,$E$82:$E$85)</f>
        <v>40.772250497162936</v>
      </c>
      <c r="L82" s="76">
        <f>SUMPRODUCT(C82:C85,$E$82:$E$85)</f>
        <v>23.803709370391637</v>
      </c>
      <c r="M82" s="76">
        <f>SUMPRODUCT(D82:D85,$E$82:$E$85)</f>
        <v>20.438440792469265</v>
      </c>
    </row>
    <row r="83" spans="1:14" x14ac:dyDescent="0.25">
      <c r="A83" s="200" t="s">
        <v>248</v>
      </c>
      <c r="B83" s="7">
        <v>41</v>
      </c>
      <c r="C83" s="7">
        <v>30</v>
      </c>
      <c r="D83" s="7">
        <v>14</v>
      </c>
      <c r="E83" s="121">
        <v>0.15511284714240522</v>
      </c>
    </row>
    <row r="84" spans="1:14" x14ac:dyDescent="0.25">
      <c r="A84" s="200" t="s">
        <v>247</v>
      </c>
      <c r="B84" s="7">
        <v>55</v>
      </c>
      <c r="C84" s="7">
        <v>13</v>
      </c>
      <c r="D84" s="7">
        <v>22</v>
      </c>
      <c r="E84" s="121">
        <v>0.2641035040137934</v>
      </c>
    </row>
    <row r="85" spans="1:14" x14ac:dyDescent="0.25">
      <c r="A85" s="200" t="s">
        <v>257</v>
      </c>
      <c r="B85" s="7">
        <v>41</v>
      </c>
      <c r="C85" s="7">
        <v>22</v>
      </c>
      <c r="D85" s="7">
        <v>23</v>
      </c>
      <c r="E85" s="121">
        <v>0.15211895121096841</v>
      </c>
    </row>
    <row r="89" spans="1:14" x14ac:dyDescent="0.25">
      <c r="J89" t="s">
        <v>214</v>
      </c>
      <c r="K89" t="s">
        <v>242</v>
      </c>
      <c r="L89" t="s">
        <v>107</v>
      </c>
      <c r="M89" s="10" t="s">
        <v>245</v>
      </c>
      <c r="N89" s="10" t="s">
        <v>246</v>
      </c>
    </row>
    <row r="90" spans="1:14" x14ac:dyDescent="0.25">
      <c r="I90" s="10" t="s">
        <v>174</v>
      </c>
      <c r="J90" s="118">
        <v>0.42656418887237452</v>
      </c>
      <c r="K90" s="118">
        <v>0.44186046511627908</v>
      </c>
      <c r="L90" s="35">
        <v>0.44</v>
      </c>
      <c r="M90" s="177">
        <f>K90-J90</f>
        <v>1.5296276243904561E-2</v>
      </c>
      <c r="N90" s="177">
        <f>L90-J90</f>
        <v>1.3435811127625485E-2</v>
      </c>
    </row>
    <row r="91" spans="1:14" x14ac:dyDescent="0.25">
      <c r="I91" s="10" t="s">
        <v>175</v>
      </c>
      <c r="J91" s="118">
        <v>0.15511284714240522</v>
      </c>
      <c r="K91" s="118">
        <v>0.15348837209302327</v>
      </c>
      <c r="L91" s="35">
        <v>0.15</v>
      </c>
      <c r="M91" s="177">
        <f t="shared" ref="M91:M92" si="9">K91-J91</f>
        <v>-1.6244750493819571E-3</v>
      </c>
      <c r="N91" s="177">
        <f t="shared" ref="N91:N92" si="10">L91-J91</f>
        <v>-5.1128471424052302E-3</v>
      </c>
    </row>
    <row r="92" spans="1:14" x14ac:dyDescent="0.25">
      <c r="I92" s="10" t="s">
        <v>181</v>
      </c>
      <c r="J92" s="118">
        <v>0.2641035040137934</v>
      </c>
      <c r="K92" s="118">
        <v>0.26013289036544851</v>
      </c>
      <c r="L92" s="35">
        <v>0.27</v>
      </c>
      <c r="M92" s="177">
        <f t="shared" si="9"/>
        <v>-3.9706136483448895E-3</v>
      </c>
      <c r="N92" s="177">
        <f t="shared" si="10"/>
        <v>5.896495986206618E-3</v>
      </c>
    </row>
    <row r="93" spans="1:14" x14ac:dyDescent="0.25">
      <c r="I93" s="10" t="s">
        <v>196</v>
      </c>
      <c r="J93" s="118">
        <v>7.4126770528285077E-2</v>
      </c>
      <c r="K93" s="118">
        <v>0.14451827242524917</v>
      </c>
      <c r="L93" s="35">
        <v>7.0000000000000007E-2</v>
      </c>
      <c r="M93" s="177">
        <f>K93-J93-J94</f>
        <v>-7.6006787857192531E-3</v>
      </c>
      <c r="N93" s="177">
        <f>L93+L94-J93-J94</f>
        <v>-2.1189512109684033E-3</v>
      </c>
    </row>
    <row r="94" spans="1:14" x14ac:dyDescent="0.25">
      <c r="I94" s="10" t="s">
        <v>203</v>
      </c>
      <c r="J94" s="118">
        <v>7.7992180682683349E-2</v>
      </c>
      <c r="L94" s="35">
        <v>0.08</v>
      </c>
      <c r="M94" s="124"/>
      <c r="N94" s="124"/>
    </row>
    <row r="96" spans="1:14" x14ac:dyDescent="0.25">
      <c r="J96" t="s">
        <v>243</v>
      </c>
    </row>
    <row r="97" spans="4:11" x14ac:dyDescent="0.25">
      <c r="I97" s="10" t="s">
        <v>174</v>
      </c>
      <c r="J97" s="225">
        <v>1330</v>
      </c>
      <c r="K97" s="124">
        <f>J97/SUM($J$97:$J$100)</f>
        <v>0.44186046511627908</v>
      </c>
    </row>
    <row r="98" spans="4:11" x14ac:dyDescent="0.25">
      <c r="I98" s="10" t="s">
        <v>175</v>
      </c>
      <c r="J98" s="225">
        <v>462</v>
      </c>
      <c r="K98" s="124">
        <f t="shared" ref="K98:K100" si="11">J98/SUM($J$97:$J$100)</f>
        <v>0.15348837209302327</v>
      </c>
    </row>
    <row r="99" spans="4:11" x14ac:dyDescent="0.25">
      <c r="D99" s="3"/>
      <c r="I99" s="10" t="s">
        <v>181</v>
      </c>
      <c r="J99" s="225">
        <v>783</v>
      </c>
      <c r="K99" s="124">
        <f t="shared" si="11"/>
        <v>0.26013289036544851</v>
      </c>
    </row>
    <row r="100" spans="4:11" x14ac:dyDescent="0.25">
      <c r="D100" s="3"/>
      <c r="I100" s="10" t="s">
        <v>244</v>
      </c>
      <c r="J100" s="225">
        <v>435</v>
      </c>
      <c r="K100" s="124">
        <f t="shared" si="11"/>
        <v>0.14451827242524917</v>
      </c>
    </row>
    <row r="101" spans="4:11" x14ac:dyDescent="0.25">
      <c r="I101" s="10"/>
      <c r="J101" s="225"/>
    </row>
    <row r="102" spans="4:11" x14ac:dyDescent="0.25">
      <c r="D102" s="3"/>
    </row>
    <row r="104" spans="4:11" x14ac:dyDescent="0.25">
      <c r="D104" s="3"/>
    </row>
    <row r="105" spans="4:11" x14ac:dyDescent="0.25">
      <c r="D105" s="3"/>
    </row>
  </sheetData>
  <mergeCells count="10">
    <mergeCell ref="M33:P33"/>
    <mergeCell ref="O37:P37"/>
    <mergeCell ref="N46:P46"/>
    <mergeCell ref="M1:O1"/>
    <mergeCell ref="Q1:S1"/>
    <mergeCell ref="M22:P22"/>
    <mergeCell ref="M26:N26"/>
    <mergeCell ref="O26:P26"/>
    <mergeCell ref="M30:N30"/>
    <mergeCell ref="O30:P3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105"/>
  <sheetViews>
    <sheetView topLeftCell="F13" zoomScaleNormal="100" workbookViewId="0">
      <selection activeCell="Q45" sqref="Q45"/>
    </sheetView>
    <sheetView workbookViewId="1">
      <selection activeCell="I14" sqref="I14"/>
    </sheetView>
  </sheetViews>
  <sheetFormatPr defaultRowHeight="15" x14ac:dyDescent="0.25"/>
  <cols>
    <col min="1" max="1" width="21.140625" bestFit="1" customWidth="1"/>
    <col min="7" max="7" width="13.85546875" bestFit="1" customWidth="1"/>
    <col min="9" max="10" width="15.28515625" bestFit="1" customWidth="1"/>
    <col min="11" max="12" width="12.7109375" bestFit="1" customWidth="1"/>
    <col min="13" max="13" width="13.5703125" bestFit="1" customWidth="1"/>
    <col min="14" max="14" width="13.42578125" customWidth="1"/>
    <col min="15" max="16" width="10.5703125" customWidth="1"/>
  </cols>
  <sheetData>
    <row r="1" spans="1:19" x14ac:dyDescent="0.25">
      <c r="B1" s="170" t="s">
        <v>4</v>
      </c>
      <c r="C1" s="170" t="s">
        <v>5</v>
      </c>
      <c r="D1" s="170" t="s">
        <v>127</v>
      </c>
      <c r="E1" s="173" t="s">
        <v>89</v>
      </c>
      <c r="F1" s="173" t="s">
        <v>14</v>
      </c>
      <c r="G1" s="170" t="s">
        <v>9</v>
      </c>
      <c r="H1" s="170" t="s">
        <v>8</v>
      </c>
      <c r="J1" s="229" t="s">
        <v>267</v>
      </c>
      <c r="M1" s="234" t="s">
        <v>107</v>
      </c>
      <c r="N1" s="234"/>
      <c r="O1" s="234"/>
      <c r="Q1" s="234" t="s">
        <v>212</v>
      </c>
      <c r="R1" s="234"/>
      <c r="S1" s="234"/>
    </row>
    <row r="2" spans="1:19" x14ac:dyDescent="0.25">
      <c r="M2" s="170" t="s">
        <v>4</v>
      </c>
      <c r="N2" s="170" t="s">
        <v>5</v>
      </c>
      <c r="O2" s="170" t="s">
        <v>127</v>
      </c>
      <c r="Q2" s="170" t="s">
        <v>4</v>
      </c>
      <c r="R2" s="170" t="s">
        <v>5</v>
      </c>
      <c r="S2" s="170" t="s">
        <v>127</v>
      </c>
    </row>
    <row r="3" spans="1:19" x14ac:dyDescent="0.25">
      <c r="A3" s="10" t="s">
        <v>129</v>
      </c>
      <c r="B3" s="49">
        <v>0.41589999999999999</v>
      </c>
      <c r="C3" s="49">
        <v>0.33550000000000002</v>
      </c>
      <c r="D3" s="49">
        <v>0.2132</v>
      </c>
      <c r="E3" s="193">
        <f>(1-SUM(B3:D3))</f>
        <v>3.5399999999999876E-2</v>
      </c>
      <c r="G3" s="178">
        <f>43267438/B3</f>
        <v>104033272.42125511</v>
      </c>
      <c r="H3" s="10"/>
      <c r="I3" s="3"/>
      <c r="J3" s="3">
        <v>0.19389999999999999</v>
      </c>
      <c r="L3" s="10" t="s">
        <v>0</v>
      </c>
      <c r="M3" s="121">
        <f>B8-B5/100</f>
        <v>-2.5935425434940818E-2</v>
      </c>
      <c r="N3" s="121">
        <f>C8-C5/100</f>
        <v>9.4474082922845426E-2</v>
      </c>
      <c r="O3" s="121">
        <f>D8-D5/100</f>
        <v>-4.3988601607357153E-2</v>
      </c>
      <c r="Q3" s="121">
        <f>B8-B6/100</f>
        <v>-1.1389970889486234E-2</v>
      </c>
      <c r="R3" s="121">
        <f>C8-C6/100</f>
        <v>6.7201355650118144E-2</v>
      </c>
      <c r="S3" s="121">
        <f>D8-D6/100</f>
        <v>-2.535223797099348E-2</v>
      </c>
    </row>
    <row r="4" spans="1:19" x14ac:dyDescent="0.25">
      <c r="B4" s="102">
        <f>B3*(1-$F$4)</f>
        <v>0.37580723999999999</v>
      </c>
      <c r="C4" s="102">
        <f>C3*(1-$F$4)</f>
        <v>0.30315779999999998</v>
      </c>
      <c r="D4" s="102">
        <f>D3*(1-$F$4)</f>
        <v>0.19264751999999999</v>
      </c>
      <c r="E4" s="3">
        <f>(1-SUM(B3:D3))*(1-F4)</f>
        <v>3.1987439999999888E-2</v>
      </c>
      <c r="F4" s="19">
        <f>5.8%+3.84%</f>
        <v>9.6399999999999986E-2</v>
      </c>
      <c r="J4" s="249"/>
      <c r="L4" s="10" t="s">
        <v>1</v>
      </c>
      <c r="M4" s="121">
        <f>B18-B15/100</f>
        <v>-6.65911631022435E-2</v>
      </c>
      <c r="N4" s="121">
        <f>C18-C15/100</f>
        <v>0.11199855968360417</v>
      </c>
      <c r="O4" s="121">
        <f>D18-D15/100</f>
        <v>-4.1800472544088835E-2</v>
      </c>
      <c r="Q4" s="121">
        <f>B18-B16/100</f>
        <v>-5.2045708556788917E-2</v>
      </c>
      <c r="R4" s="121">
        <f>C18-C16/100</f>
        <v>8.4725832410876889E-2</v>
      </c>
      <c r="S4" s="121">
        <f>D18-D16/100</f>
        <v>-2.3164108907725162E-2</v>
      </c>
    </row>
    <row r="5" spans="1:19" x14ac:dyDescent="0.25">
      <c r="A5" t="s">
        <v>179</v>
      </c>
      <c r="B5" s="169">
        <v>35</v>
      </c>
      <c r="C5" s="169">
        <v>30</v>
      </c>
      <c r="D5" s="169">
        <v>28</v>
      </c>
      <c r="E5" s="174">
        <f>100-SUM(B5:D5)</f>
        <v>7</v>
      </c>
      <c r="I5" s="250">
        <f>J5-G3</f>
        <v>11098724.503551349</v>
      </c>
      <c r="J5" s="249">
        <f>G3/(1-F4)</f>
        <v>115131996.92480646</v>
      </c>
      <c r="L5" s="10" t="s">
        <v>2</v>
      </c>
      <c r="M5" s="121">
        <f>B27-B24/100</f>
        <v>-3.1006863471090274E-3</v>
      </c>
      <c r="N5" s="121">
        <f>C27-C24/100</f>
        <v>1.3790850210470829E-2</v>
      </c>
      <c r="O5" s="121">
        <f>D27-D24/100</f>
        <v>-2.407130959731163E-3</v>
      </c>
      <c r="Q5" s="121">
        <f>B27-B25/100</f>
        <v>1.1444768198345501E-2</v>
      </c>
      <c r="R5" s="121">
        <f>C27-C25/100</f>
        <v>-1.3481877062256453E-2</v>
      </c>
      <c r="S5" s="121">
        <f>D27-D25/100</f>
        <v>1.622923267663251E-2</v>
      </c>
    </row>
    <row r="6" spans="1:19" x14ac:dyDescent="0.25">
      <c r="A6" s="259" t="s">
        <v>280</v>
      </c>
      <c r="B6" s="127">
        <f>B5+M$16</f>
        <v>33.54545454545454</v>
      </c>
      <c r="C6" s="127">
        <f>C5+N$16</f>
        <v>32.727272727272727</v>
      </c>
      <c r="D6" s="127">
        <f>D5+O$16</f>
        <v>26.136363636363633</v>
      </c>
      <c r="E6" s="258">
        <f>100-SUM(B6:D6)</f>
        <v>7.5909090909090935</v>
      </c>
      <c r="I6" s="250">
        <f>J6-J5</f>
        <v>27693951.375412449</v>
      </c>
      <c r="J6" s="250">
        <f>J5/(1-J3)</f>
        <v>142825948.30021891</v>
      </c>
      <c r="K6" s="250">
        <f>G3/J6</f>
        <v>0.72839195999999995</v>
      </c>
      <c r="L6" s="10" t="s">
        <v>3</v>
      </c>
      <c r="M6" s="121">
        <f>B42-B39/100</f>
        <v>-3.3040162277670149E-2</v>
      </c>
      <c r="N6" s="121">
        <f>C42-C39/100</f>
        <v>5.9811367562954076E-2</v>
      </c>
      <c r="O6" s="121">
        <f>D42-D39/100</f>
        <v>-1.491775557736047E-2</v>
      </c>
      <c r="Q6" s="121">
        <f>B42-B40/100</f>
        <v>-1.8494707732215565E-2</v>
      </c>
      <c r="R6" s="121">
        <f>C42-C40/100</f>
        <v>3.2538640290226795E-2</v>
      </c>
      <c r="S6" s="121">
        <f>D42-D40/100</f>
        <v>3.7186080590032033E-3</v>
      </c>
    </row>
    <row r="7" spans="1:19" x14ac:dyDescent="0.25">
      <c r="L7" s="10" t="s">
        <v>6</v>
      </c>
      <c r="M7" s="121">
        <f>B52-B49/100</f>
        <v>0.14068107700026633</v>
      </c>
      <c r="N7" s="121">
        <f>C52-C49/100</f>
        <v>-6.8710766749567997E-2</v>
      </c>
      <c r="O7" s="121">
        <f>D52-D49/100</f>
        <v>-6.3024985618439749E-2</v>
      </c>
      <c r="Q7" s="121">
        <f>B52-B50/100</f>
        <v>0.15522653154572091</v>
      </c>
      <c r="R7" s="121">
        <f>C52-C50/100</f>
        <v>-9.5983494022295279E-2</v>
      </c>
      <c r="S7" s="121">
        <f>D52-D50/100</f>
        <v>-4.4388621982076076E-2</v>
      </c>
    </row>
    <row r="8" spans="1:19" x14ac:dyDescent="0.25">
      <c r="A8" s="10" t="s">
        <v>174</v>
      </c>
      <c r="B8" s="130">
        <f>SUMPRODUCT(B10:B13,$H$10:$H$13)</f>
        <v>0.32406457456505916</v>
      </c>
      <c r="C8" s="130">
        <f>SUMPRODUCT(C10:C13,$H$10:$H$13)</f>
        <v>0.39447408292284541</v>
      </c>
      <c r="D8" s="130">
        <f>SUMPRODUCT(D10:D13,$H$10:$H$13)</f>
        <v>0.23601139839264287</v>
      </c>
      <c r="E8" s="257">
        <f>1-SUM(B8:D8)</f>
        <v>4.5449944119452579E-2</v>
      </c>
      <c r="F8" s="10"/>
      <c r="G8" s="178">
        <f>SUM(G10:G13)</f>
        <v>44376868.466111459</v>
      </c>
      <c r="H8" s="177">
        <f>G8/$G$3</f>
        <v>0.42656418887237452</v>
      </c>
      <c r="I8" s="35"/>
      <c r="J8" s="124">
        <f>SUMPRODUCT(J10:J13,H10:H13)</f>
        <v>0.19728901605962204</v>
      </c>
      <c r="M8" s="169"/>
      <c r="N8" s="169"/>
      <c r="O8" s="169"/>
      <c r="Q8" s="169"/>
      <c r="R8" s="169"/>
      <c r="S8" s="169"/>
    </row>
    <row r="9" spans="1:19" x14ac:dyDescent="0.25">
      <c r="B9" s="169"/>
      <c r="C9" s="169"/>
      <c r="D9" s="169"/>
      <c r="E9" s="174"/>
      <c r="L9" s="10" t="s">
        <v>34</v>
      </c>
      <c r="M9" s="121">
        <f>M3*$H$8+M4*$H$18+M5*$H$27+M6*$H$42+M7*$H$52</f>
        <v>-1.3688307297482872E-2</v>
      </c>
      <c r="N9" s="121">
        <f>N3*$H$8+N4*$H$18+N5*$H$27+N6*$H$42+N7*$H$52</f>
        <v>6.0388608866876158E-2</v>
      </c>
      <c r="O9" s="121">
        <f>O3*$H$8+O4*$H$18+O5*$H$27+O6*$H$42+O7*$H$52</f>
        <v>-3.1904745303925897E-2</v>
      </c>
      <c r="Q9" s="121">
        <f>Q3*$H$8+Q4*$H$18+Q5*$H$27+Q6*$H$42+Q7*$H$52</f>
        <v>8.2659439327412154E-4</v>
      </c>
      <c r="R9" s="121">
        <f>R3*$H$8+R4*$H$18+R5*$H$27+R6*$H$42+R7*$H$52</f>
        <v>3.317316819670682E-2</v>
      </c>
      <c r="S9" s="121">
        <f>S3*$H$8+S4*$H$18+S5*$H$27+S6*$H$42+S7*$H$52</f>
        <v>-1.3307527512643493E-2</v>
      </c>
    </row>
    <row r="10" spans="1:19" x14ac:dyDescent="0.25">
      <c r="A10" t="s">
        <v>47</v>
      </c>
      <c r="B10" s="102">
        <v>0.25819999999999999</v>
      </c>
      <c r="C10" s="102">
        <v>0.44219999999999998</v>
      </c>
      <c r="D10" s="102">
        <v>0.25090000000000001</v>
      </c>
      <c r="E10" s="257">
        <f>1-SUM(B10:D10)</f>
        <v>4.8700000000000077E-2</v>
      </c>
      <c r="G10" s="7">
        <f>5927503/B10</f>
        <v>22957021.688613478</v>
      </c>
      <c r="H10" s="124">
        <f>G10/$G$8</f>
        <v>0.51731955142676822</v>
      </c>
      <c r="J10" s="3">
        <v>0.19520000000000001</v>
      </c>
    </row>
    <row r="11" spans="1:19" x14ac:dyDescent="0.25">
      <c r="A11" t="s">
        <v>49</v>
      </c>
      <c r="B11" s="102">
        <v>0.35620000000000002</v>
      </c>
      <c r="C11" s="102">
        <v>0.26929999999999998</v>
      </c>
      <c r="D11" s="102">
        <v>0.31069999999999998</v>
      </c>
      <c r="E11" s="257">
        <f t="shared" ref="E11:E13" si="0">1-SUM(B11:D11)</f>
        <v>6.3800000000000079E-2</v>
      </c>
      <c r="F11" s="3"/>
      <c r="G11" s="7">
        <f>2970486/B11</f>
        <v>8339376.754632229</v>
      </c>
      <c r="H11" s="124">
        <f>G11/$G$8</f>
        <v>0.18792170432216554</v>
      </c>
      <c r="J11" s="3">
        <v>0.2011</v>
      </c>
    </row>
    <row r="12" spans="1:19" x14ac:dyDescent="0.25">
      <c r="A12" t="s">
        <v>48</v>
      </c>
      <c r="B12" s="102">
        <v>0.43480000000000002</v>
      </c>
      <c r="C12" s="102">
        <v>0.39750000000000002</v>
      </c>
      <c r="D12" s="102">
        <v>0.14000000000000001</v>
      </c>
      <c r="E12" s="257">
        <f t="shared" si="0"/>
        <v>2.7699999999999947E-2</v>
      </c>
      <c r="G12" s="7">
        <f>4829513/B12</f>
        <v>11107435.602575896</v>
      </c>
      <c r="H12" s="124">
        <f>G12/$G$8</f>
        <v>0.25029786883358218</v>
      </c>
      <c r="J12" s="3">
        <v>0.20019999999999999</v>
      </c>
      <c r="M12" s="170" t="s">
        <v>191</v>
      </c>
      <c r="N12" s="170" t="s">
        <v>113</v>
      </c>
      <c r="O12" s="170" t="s">
        <v>127</v>
      </c>
      <c r="P12" s="170" t="s">
        <v>89</v>
      </c>
      <c r="Q12" s="170" t="s">
        <v>192</v>
      </c>
    </row>
    <row r="13" spans="1:19" x14ac:dyDescent="0.25">
      <c r="A13" t="s">
        <v>50</v>
      </c>
      <c r="B13" s="102">
        <v>0.33119999999999999</v>
      </c>
      <c r="C13" s="102">
        <v>0.35120000000000001</v>
      </c>
      <c r="D13" s="102">
        <v>0.28760000000000002</v>
      </c>
      <c r="E13" s="257">
        <f t="shared" si="0"/>
        <v>3.0000000000000027E-2</v>
      </c>
      <c r="G13" s="7">
        <f>653469/B13</f>
        <v>1973034.4202898552</v>
      </c>
      <c r="H13" s="124">
        <f>G13/$G$8</f>
        <v>4.4460875417483989E-2</v>
      </c>
      <c r="J13" s="3">
        <v>0.18909999999999999</v>
      </c>
      <c r="L13" s="10" t="s">
        <v>193</v>
      </c>
      <c r="M13" s="127">
        <v>40</v>
      </c>
      <c r="N13" s="127">
        <v>24</v>
      </c>
      <c r="O13" s="127">
        <v>21</v>
      </c>
      <c r="P13" s="127">
        <v>3</v>
      </c>
      <c r="Q13" s="127">
        <v>12</v>
      </c>
    </row>
    <row r="14" spans="1:19" x14ac:dyDescent="0.25">
      <c r="B14" s="169"/>
      <c r="C14" s="169"/>
      <c r="D14" s="169"/>
      <c r="E14" s="174"/>
      <c r="L14" s="10" t="s">
        <v>194</v>
      </c>
      <c r="M14" s="127">
        <v>40.479999999999997</v>
      </c>
      <c r="N14" s="127">
        <v>27.6</v>
      </c>
      <c r="O14" s="127">
        <v>20.239999999999998</v>
      </c>
      <c r="P14" s="127">
        <v>3.68</v>
      </c>
      <c r="Q14" s="127">
        <v>8</v>
      </c>
    </row>
    <row r="15" spans="1:19" x14ac:dyDescent="0.25">
      <c r="A15" t="s">
        <v>180</v>
      </c>
      <c r="B15" s="91">
        <v>43</v>
      </c>
      <c r="C15" s="91">
        <v>36</v>
      </c>
      <c r="D15" s="91">
        <v>17</v>
      </c>
      <c r="E15" s="91"/>
      <c r="M15" s="127">
        <f>M14-M13</f>
        <v>0.47999999999999687</v>
      </c>
      <c r="N15" s="127">
        <f t="shared" ref="N15:Q15" si="1">N14-N13</f>
        <v>3.6000000000000014</v>
      </c>
      <c r="O15" s="127">
        <f t="shared" si="1"/>
        <v>-0.76000000000000156</v>
      </c>
      <c r="P15" s="127">
        <f t="shared" si="1"/>
        <v>0.68000000000000016</v>
      </c>
      <c r="Q15" s="127">
        <f t="shared" si="1"/>
        <v>-4</v>
      </c>
    </row>
    <row r="16" spans="1:19" x14ac:dyDescent="0.25">
      <c r="A16" t="s">
        <v>211</v>
      </c>
      <c r="B16" s="127">
        <f>B15+M$16</f>
        <v>41.54545454545454</v>
      </c>
      <c r="C16" s="127">
        <f>C15+N$16</f>
        <v>38.727272727272727</v>
      </c>
      <c r="D16" s="127">
        <f>D15+O$16</f>
        <v>15.136363636363633</v>
      </c>
      <c r="E16" s="127"/>
      <c r="I16" s="124"/>
      <c r="M16" s="141">
        <f>(M14/(100-$Q$14) - M13/(100-$Q$13))*100</f>
        <v>-1.4545454545454584</v>
      </c>
      <c r="N16" s="141">
        <f t="shared" ref="N16:P16" si="2">(N14/(100-$Q$14) - N13/(100-$Q$13))*100</f>
        <v>2.7272727272727284</v>
      </c>
      <c r="O16" s="141">
        <f t="shared" si="2"/>
        <v>-1.8636363636363673</v>
      </c>
      <c r="P16" s="141">
        <f t="shared" si="2"/>
        <v>0.59090909090909127</v>
      </c>
      <c r="Q16" s="127"/>
    </row>
    <row r="17" spans="1:21" x14ac:dyDescent="0.25">
      <c r="M17" s="81"/>
      <c r="N17" s="81"/>
      <c r="O17" s="81"/>
      <c r="P17" s="81"/>
    </row>
    <row r="18" spans="1:21" x14ac:dyDescent="0.25">
      <c r="A18" s="10" t="s">
        <v>175</v>
      </c>
      <c r="B18" s="130">
        <f>SUMPRODUCT(B20:B22,$H$20:$H$22)</f>
        <v>0.36340883689775649</v>
      </c>
      <c r="C18" s="130">
        <f>SUMPRODUCT(C20:C22,$H$20:$H$22)</f>
        <v>0.47199855968360416</v>
      </c>
      <c r="D18" s="130">
        <f>SUMPRODUCT(D20:D22,$H$20:$H$22)</f>
        <v>0.12819952745591118</v>
      </c>
      <c r="E18" s="257">
        <f>1-SUM(B18:D18)</f>
        <v>3.6393075962728227E-2</v>
      </c>
      <c r="F18" s="10"/>
      <c r="G18" s="178">
        <f>SUM(G20:G22)</f>
        <v>16136897.082802344</v>
      </c>
      <c r="H18" s="177">
        <f>G18/$G$3</f>
        <v>0.15511284714240522</v>
      </c>
      <c r="I18" s="35"/>
      <c r="J18" s="124">
        <f>SUMPRODUCT(J20:J22,H20:H22)</f>
        <v>0.16729180763650073</v>
      </c>
      <c r="L18" s="35">
        <v>0.59</v>
      </c>
      <c r="M18" s="124">
        <f>C3+L18*$D$3</f>
        <v>0.46128800000000003</v>
      </c>
    </row>
    <row r="19" spans="1:21" x14ac:dyDescent="0.25">
      <c r="B19" s="169"/>
      <c r="C19" s="169"/>
      <c r="D19" s="169"/>
      <c r="E19" s="174"/>
      <c r="L19" s="35">
        <v>0.24</v>
      </c>
      <c r="M19" s="124">
        <f>B3+L19*$D$3</f>
        <v>0.46706799999999998</v>
      </c>
      <c r="P19" s="35">
        <f>N14/(100-Q14)</f>
        <v>0.3</v>
      </c>
    </row>
    <row r="20" spans="1:21" x14ac:dyDescent="0.25">
      <c r="A20" t="s">
        <v>178</v>
      </c>
      <c r="B20" s="102">
        <v>0.32540000000000002</v>
      </c>
      <c r="C20" s="102">
        <v>0.49790000000000001</v>
      </c>
      <c r="D20" s="102">
        <v>0.14199999999999999</v>
      </c>
      <c r="E20" s="257">
        <f>1-SUM(B20:D20)</f>
        <v>3.4699999999999953E-2</v>
      </c>
      <c r="G20" s="7">
        <f>1972761/B20</f>
        <v>6062572.2188076209</v>
      </c>
      <c r="H20" s="124">
        <f>G20/$G$18</f>
        <v>0.37569628087104284</v>
      </c>
      <c r="J20" s="3">
        <v>0.16850000000000001</v>
      </c>
    </row>
    <row r="21" spans="1:21" ht="15.75" thickBot="1" x14ac:dyDescent="0.3">
      <c r="A21" t="s">
        <v>176</v>
      </c>
      <c r="B21" s="102">
        <v>0.30759999999999998</v>
      </c>
      <c r="C21" s="102">
        <v>0.52890000000000004</v>
      </c>
      <c r="D21" s="102">
        <v>0.1283</v>
      </c>
      <c r="E21" s="257">
        <f t="shared" ref="E21:E23" si="3">1-SUM(B21:D21)</f>
        <v>3.5200000000000009E-2</v>
      </c>
      <c r="G21" s="7">
        <f>1140432/B21</f>
        <v>3707516.2548764632</v>
      </c>
      <c r="H21" s="124">
        <f>G21/$G$18</f>
        <v>0.22975397536789727</v>
      </c>
      <c r="J21" s="3">
        <v>0.1641</v>
      </c>
    </row>
    <row r="22" spans="1:21" x14ac:dyDescent="0.25">
      <c r="A22" t="s">
        <v>177</v>
      </c>
      <c r="B22" s="102">
        <v>0.43209999999999998</v>
      </c>
      <c r="C22" s="102">
        <v>0.41420000000000001</v>
      </c>
      <c r="D22" s="102">
        <v>0.115</v>
      </c>
      <c r="E22" s="257">
        <f t="shared" si="3"/>
        <v>3.8699999999999957E-2</v>
      </c>
      <c r="G22" s="7">
        <f>2751098/B22</f>
        <v>6366808.6091182595</v>
      </c>
      <c r="H22" s="124">
        <f>G22/$G$18</f>
        <v>0.39454974376105989</v>
      </c>
      <c r="J22" s="3">
        <v>0.16800000000000001</v>
      </c>
      <c r="M22" s="235" t="s">
        <v>127</v>
      </c>
      <c r="N22" s="236"/>
      <c r="O22" s="236"/>
      <c r="P22" s="237"/>
    </row>
    <row r="23" spans="1:21" x14ac:dyDescent="0.25">
      <c r="B23" s="169"/>
      <c r="C23" s="169"/>
      <c r="D23" s="169"/>
      <c r="E23" s="257"/>
      <c r="M23" s="171" t="s">
        <v>214</v>
      </c>
      <c r="N23" s="39" t="s">
        <v>213</v>
      </c>
      <c r="O23" s="39"/>
      <c r="P23" s="172" t="s">
        <v>218</v>
      </c>
      <c r="R23">
        <v>40</v>
      </c>
      <c r="S23">
        <v>44</v>
      </c>
      <c r="T23" s="35">
        <f>R23/(100-$U$23)</f>
        <v>0.43956043956043955</v>
      </c>
      <c r="U23">
        <v>9</v>
      </c>
    </row>
    <row r="24" spans="1:21" x14ac:dyDescent="0.25">
      <c r="A24" t="s">
        <v>195</v>
      </c>
      <c r="B24" s="91">
        <v>60</v>
      </c>
      <c r="C24" s="91">
        <v>14.000000000000002</v>
      </c>
      <c r="D24" s="91">
        <v>23</v>
      </c>
      <c r="E24" s="91"/>
      <c r="M24" s="181">
        <f>D4</f>
        <v>0.19264751999999999</v>
      </c>
      <c r="N24" s="155">
        <v>0.24</v>
      </c>
      <c r="O24" s="86"/>
      <c r="P24" s="182">
        <f>N24-M24</f>
        <v>4.7352480000000002E-2</v>
      </c>
      <c r="R24">
        <v>24</v>
      </c>
      <c r="S24">
        <v>26</v>
      </c>
      <c r="T24" s="35">
        <f t="shared" ref="T24:T25" si="4">R24/(100-$U$23)</f>
        <v>0.26373626373626374</v>
      </c>
    </row>
    <row r="25" spans="1:21" x14ac:dyDescent="0.25">
      <c r="A25" t="s">
        <v>211</v>
      </c>
      <c r="B25" s="127">
        <f>B24+M$16</f>
        <v>58.54545454545454</v>
      </c>
      <c r="C25" s="127">
        <f>C24+N$16</f>
        <v>16.72727272727273</v>
      </c>
      <c r="D25" s="127">
        <f>D24+O$16</f>
        <v>21.136363636363633</v>
      </c>
      <c r="E25" s="127"/>
      <c r="M25" s="37"/>
      <c r="N25" s="38"/>
      <c r="O25" s="38"/>
      <c r="P25" s="184">
        <v>0.75</v>
      </c>
      <c r="Q25" s="3"/>
      <c r="R25">
        <v>22</v>
      </c>
      <c r="S25">
        <v>24</v>
      </c>
      <c r="T25" s="35">
        <f t="shared" si="4"/>
        <v>0.24175824175824176</v>
      </c>
    </row>
    <row r="26" spans="1:21" x14ac:dyDescent="0.25">
      <c r="M26" s="231" t="s">
        <v>215</v>
      </c>
      <c r="N26" s="232"/>
      <c r="O26" s="232" t="s">
        <v>216</v>
      </c>
      <c r="P26" s="233"/>
    </row>
    <row r="27" spans="1:21" x14ac:dyDescent="0.25">
      <c r="A27" s="10" t="s">
        <v>181</v>
      </c>
      <c r="B27" s="130">
        <f>SUMPRODUCT(B29:B37,$H$29:$H$37)</f>
        <v>0.59689931365289095</v>
      </c>
      <c r="C27" s="130">
        <f>SUMPRODUCT(C29:C37,$H$29:$H$37)</f>
        <v>0.15379085021047084</v>
      </c>
      <c r="D27" s="130">
        <f>SUMPRODUCT(D29:D37,$H$29:$H$37)</f>
        <v>0.22759286904026885</v>
      </c>
      <c r="E27" s="257">
        <f t="shared" ref="E27:E37" si="5">1-SUM(B27:D27)</f>
        <v>2.1716967096369277E-2</v>
      </c>
      <c r="F27" s="10"/>
      <c r="G27" s="178">
        <f>SUM(G29:G37)</f>
        <v>27475551.780475009</v>
      </c>
      <c r="H27" s="177">
        <f>G27/$G$3</f>
        <v>0.2641035040137934</v>
      </c>
      <c r="J27" s="124">
        <f>SUMPRODUCT(J29:J37,H29:H37)</f>
        <v>0.19942514769615866</v>
      </c>
      <c r="M27" s="171" t="s">
        <v>113</v>
      </c>
      <c r="N27" s="85" t="s">
        <v>4</v>
      </c>
      <c r="O27" s="85" t="s">
        <v>113</v>
      </c>
      <c r="P27" s="172" t="s">
        <v>4</v>
      </c>
      <c r="T27">
        <f>R23/S23</f>
        <v>0.90909090909090906</v>
      </c>
    </row>
    <row r="28" spans="1:21" x14ac:dyDescent="0.25">
      <c r="B28" s="169"/>
      <c r="C28" s="169"/>
      <c r="D28" s="169"/>
      <c r="E28" s="174"/>
      <c r="I28" s="3">
        <f>(D29-C29)*I29</f>
        <v>1.9474396597503663E-2</v>
      </c>
      <c r="M28" s="183">
        <f>L18</f>
        <v>0.59</v>
      </c>
      <c r="N28" s="155">
        <f>L19</f>
        <v>0.24</v>
      </c>
      <c r="O28" s="155">
        <f>N24*L18</f>
        <v>0.14159999999999998</v>
      </c>
      <c r="P28" s="184">
        <f>L19*N24</f>
        <v>5.7599999999999998E-2</v>
      </c>
      <c r="T28">
        <f>R24/S24</f>
        <v>0.92307692307692313</v>
      </c>
    </row>
    <row r="29" spans="1:21" x14ac:dyDescent="0.25">
      <c r="A29" t="s">
        <v>182</v>
      </c>
      <c r="B29" s="102">
        <v>0.44219999999999998</v>
      </c>
      <c r="C29" s="102">
        <v>5.9200000000000003E-2</v>
      </c>
      <c r="D29" s="102">
        <v>0.48049999999999998</v>
      </c>
      <c r="E29" s="257">
        <f t="shared" si="5"/>
        <v>1.8100000000000005E-2</v>
      </c>
      <c r="G29" s="7">
        <f>2126491/B29</f>
        <v>4808889.6426956132</v>
      </c>
      <c r="H29" s="124">
        <f t="shared" ref="H29:H37" si="6">G29/$G$27</f>
        <v>0.17502431547573</v>
      </c>
      <c r="I29" s="124">
        <f>H29*H27</f>
        <v>4.6224535004755901E-2</v>
      </c>
      <c r="J29" s="3">
        <v>0.16520000000000001</v>
      </c>
      <c r="M29" s="185"/>
      <c r="N29" s="86"/>
      <c r="O29" s="86"/>
      <c r="P29" s="156"/>
      <c r="T29">
        <f>R25/S25</f>
        <v>0.91666666666666663</v>
      </c>
    </row>
    <row r="30" spans="1:21" x14ac:dyDescent="0.25">
      <c r="A30" t="s">
        <v>183</v>
      </c>
      <c r="B30" s="102">
        <v>0.68300000000000005</v>
      </c>
      <c r="C30" s="102">
        <v>0.1497</v>
      </c>
      <c r="D30" s="102">
        <v>0.14119999999999999</v>
      </c>
      <c r="E30" s="257">
        <f t="shared" si="5"/>
        <v>2.6100000000000012E-2</v>
      </c>
      <c r="G30" s="7">
        <f>3087115/B30</f>
        <v>4519934.1142020496</v>
      </c>
      <c r="H30" s="124">
        <f t="shared" si="6"/>
        <v>0.16450749198107303</v>
      </c>
      <c r="J30" s="3">
        <v>0.20119999999999999</v>
      </c>
      <c r="M30" s="231" t="s">
        <v>217</v>
      </c>
      <c r="N30" s="232"/>
      <c r="O30" s="232" t="s">
        <v>219</v>
      </c>
      <c r="P30" s="233"/>
    </row>
    <row r="31" spans="1:21" x14ac:dyDescent="0.25">
      <c r="A31" t="s">
        <v>184</v>
      </c>
      <c r="B31" s="102">
        <v>0.61439999999999995</v>
      </c>
      <c r="C31" s="102">
        <v>0.1827</v>
      </c>
      <c r="D31" s="102">
        <v>0.18379999999999999</v>
      </c>
      <c r="E31" s="257">
        <f t="shared" si="5"/>
        <v>1.9100000000000117E-2</v>
      </c>
      <c r="G31" s="7">
        <f>4292325/B31</f>
        <v>6986206.0546875009</v>
      </c>
      <c r="H31" s="124">
        <f t="shared" si="6"/>
        <v>0.25426990913616948</v>
      </c>
      <c r="J31" s="3">
        <v>0.2319</v>
      </c>
      <c r="M31" s="106">
        <f>O28-P24*P25</f>
        <v>0.10608563999999998</v>
      </c>
      <c r="N31" s="180">
        <v>0.06</v>
      </c>
      <c r="O31" s="180">
        <f>M31/M24</f>
        <v>0.55067223289456302</v>
      </c>
      <c r="P31" s="107">
        <f>P28/M24</f>
        <v>0.29899165065815536</v>
      </c>
      <c r="R31" s="124"/>
    </row>
    <row r="32" spans="1:21" x14ac:dyDescent="0.25">
      <c r="A32" t="s">
        <v>185</v>
      </c>
      <c r="B32" s="102">
        <v>0.60060000000000002</v>
      </c>
      <c r="C32" s="102">
        <v>0.19819999999999999</v>
      </c>
      <c r="D32" s="102">
        <v>0.1719</v>
      </c>
      <c r="E32" s="257">
        <f t="shared" si="5"/>
        <v>2.9300000000000104E-2</v>
      </c>
      <c r="G32" s="7">
        <f>999452/B32</f>
        <v>1664089.2440892439</v>
      </c>
      <c r="H32" s="124">
        <f t="shared" si="6"/>
        <v>6.0566181068356123E-2</v>
      </c>
      <c r="J32" s="3">
        <v>0.16830000000000001</v>
      </c>
      <c r="M32" s="185"/>
      <c r="N32" s="86"/>
      <c r="O32" s="86"/>
      <c r="P32" s="156"/>
    </row>
    <row r="33" spans="1:18" x14ac:dyDescent="0.25">
      <c r="A33" t="s">
        <v>186</v>
      </c>
      <c r="B33" s="102">
        <v>0.6956</v>
      </c>
      <c r="C33" s="102">
        <v>0.1162</v>
      </c>
      <c r="D33" s="102">
        <v>0.1701</v>
      </c>
      <c r="E33" s="257">
        <f t="shared" si="5"/>
        <v>1.8100000000000005E-2</v>
      </c>
      <c r="G33" s="7">
        <f>2187668/B33</f>
        <v>3145008.6256469237</v>
      </c>
      <c r="H33" s="124">
        <f t="shared" si="6"/>
        <v>0.11446571303735802</v>
      </c>
      <c r="J33" s="3">
        <v>0.23630000000000001</v>
      </c>
      <c r="M33" s="231" t="s">
        <v>220</v>
      </c>
      <c r="N33" s="232"/>
      <c r="O33" s="232"/>
      <c r="P33" s="233"/>
    </row>
    <row r="34" spans="1:18" x14ac:dyDescent="0.25">
      <c r="A34" t="s">
        <v>187</v>
      </c>
      <c r="B34" s="102">
        <v>0.55610000000000004</v>
      </c>
      <c r="C34" s="102">
        <v>0.23380000000000001</v>
      </c>
      <c r="D34" s="102">
        <v>0.1875</v>
      </c>
      <c r="E34" s="257">
        <f t="shared" si="5"/>
        <v>2.2599999999999953E-2</v>
      </c>
      <c r="G34" s="7">
        <f>1166632/B34</f>
        <v>2097881.6759575615</v>
      </c>
      <c r="H34" s="124">
        <f t="shared" si="6"/>
        <v>7.6354487535656407E-2</v>
      </c>
      <c r="J34" s="3">
        <v>0.17649999999999999</v>
      </c>
      <c r="M34" s="185"/>
      <c r="N34" s="85" t="s">
        <v>5</v>
      </c>
      <c r="O34" s="85" t="s">
        <v>4</v>
      </c>
      <c r="P34" s="156"/>
      <c r="Q34" t="s">
        <v>89</v>
      </c>
      <c r="R34" t="s">
        <v>221</v>
      </c>
    </row>
    <row r="35" spans="1:18" ht="15.75" thickBot="1" x14ac:dyDescent="0.3">
      <c r="A35" t="s">
        <v>188</v>
      </c>
      <c r="B35" s="102">
        <v>0.49940000000000001</v>
      </c>
      <c r="C35" s="102">
        <v>0.22109999999999999</v>
      </c>
      <c r="D35" s="102">
        <v>0.25309999999999999</v>
      </c>
      <c r="E35" s="257">
        <f t="shared" si="5"/>
        <v>2.6399999999999979E-2</v>
      </c>
      <c r="G35" s="7">
        <f>703674/B35</f>
        <v>1409038.8466159392</v>
      </c>
      <c r="H35" s="124">
        <f t="shared" si="6"/>
        <v>5.1283368496979433E-2</v>
      </c>
      <c r="J35" s="3">
        <v>0.1918</v>
      </c>
      <c r="M35" s="186"/>
      <c r="N35" s="187">
        <f>C4+O31*D4</f>
        <v>0.40924343999999996</v>
      </c>
      <c r="O35" s="187">
        <f>B4+P31*D4</f>
        <v>0.43340723999999997</v>
      </c>
      <c r="P35" s="188"/>
      <c r="Q35" s="3">
        <v>3.2000000000000001E-2</v>
      </c>
      <c r="R35" s="124">
        <f>F4+(M24-M31-N31)</f>
        <v>0.12296188</v>
      </c>
    </row>
    <row r="36" spans="1:18" x14ac:dyDescent="0.25">
      <c r="A36" t="s">
        <v>189</v>
      </c>
      <c r="B36" s="102">
        <v>0.70609999999999995</v>
      </c>
      <c r="C36" s="102">
        <v>0.1384</v>
      </c>
      <c r="D36" s="102">
        <v>0.14069999999999999</v>
      </c>
      <c r="E36" s="257">
        <f t="shared" si="5"/>
        <v>1.4800000000000146E-2</v>
      </c>
      <c r="G36" s="7">
        <f>1235203/B36</f>
        <v>1749331.5394420056</v>
      </c>
      <c r="H36" s="124">
        <f t="shared" si="6"/>
        <v>6.3668659083496018E-2</v>
      </c>
      <c r="J36" s="3">
        <v>0.189</v>
      </c>
    </row>
    <row r="37" spans="1:18" x14ac:dyDescent="0.25">
      <c r="A37" t="s">
        <v>190</v>
      </c>
      <c r="B37" s="102">
        <v>0.54930000000000001</v>
      </c>
      <c r="C37" s="102">
        <v>0.2268</v>
      </c>
      <c r="D37" s="102">
        <v>0.1855</v>
      </c>
      <c r="E37" s="257">
        <f t="shared" si="5"/>
        <v>3.839999999999999E-2</v>
      </c>
      <c r="G37" s="7">
        <f>601578/B37</f>
        <v>1095172.0371381759</v>
      </c>
      <c r="H37" s="124">
        <f t="shared" si="6"/>
        <v>3.9859874185181589E-2</v>
      </c>
      <c r="J37" s="3">
        <v>0.14699999999999999</v>
      </c>
      <c r="N37" s="10" t="s">
        <v>226</v>
      </c>
      <c r="O37" s="234" t="s">
        <v>215</v>
      </c>
      <c r="P37" s="234"/>
    </row>
    <row r="38" spans="1:18" x14ac:dyDescent="0.25">
      <c r="L38" t="s">
        <v>227</v>
      </c>
      <c r="O38" s="173" t="s">
        <v>5</v>
      </c>
      <c r="P38" s="173" t="s">
        <v>4</v>
      </c>
      <c r="Q38" s="189" t="s">
        <v>228</v>
      </c>
    </row>
    <row r="39" spans="1:18" x14ac:dyDescent="0.25">
      <c r="A39" t="s">
        <v>197</v>
      </c>
      <c r="B39" s="91">
        <v>36</v>
      </c>
      <c r="C39" s="91">
        <v>35</v>
      </c>
      <c r="D39" s="91">
        <v>25</v>
      </c>
      <c r="E39" s="91"/>
      <c r="L39" s="102">
        <v>1.54E-2</v>
      </c>
      <c r="M39" t="s">
        <v>222</v>
      </c>
      <c r="N39" s="3">
        <f>L39*(1-$F$4)</f>
        <v>1.3915439999999999E-2</v>
      </c>
      <c r="O39" s="81">
        <v>0.32</v>
      </c>
      <c r="P39" s="81">
        <v>0.41</v>
      </c>
      <c r="Q39" s="81">
        <v>0.26</v>
      </c>
    </row>
    <row r="40" spans="1:18" x14ac:dyDescent="0.25">
      <c r="A40" t="s">
        <v>211</v>
      </c>
      <c r="B40" s="127">
        <f>B39+M$16</f>
        <v>34.54545454545454</v>
      </c>
      <c r="C40" s="127">
        <f>C39+N$16</f>
        <v>37.727272727272727</v>
      </c>
      <c r="D40" s="127">
        <f>D39+O$16</f>
        <v>23.136363636363633</v>
      </c>
      <c r="E40" s="127"/>
      <c r="L40" s="102">
        <v>7.4999999999999997E-3</v>
      </c>
      <c r="M40" t="s">
        <v>223</v>
      </c>
      <c r="N40" s="3">
        <f>L40*(1-$F$4)</f>
        <v>6.7769999999999992E-3</v>
      </c>
      <c r="O40" s="81">
        <v>0.47</v>
      </c>
      <c r="P40" s="81">
        <v>0.38</v>
      </c>
      <c r="Q40" s="81">
        <v>0.15</v>
      </c>
    </row>
    <row r="41" spans="1:18" x14ac:dyDescent="0.25">
      <c r="L41" s="102">
        <v>6.0000000000000001E-3</v>
      </c>
      <c r="M41" t="s">
        <v>225</v>
      </c>
      <c r="N41" s="3">
        <f>L41*(1-$F$4)</f>
        <v>5.4215999999999995E-3</v>
      </c>
      <c r="O41" s="81">
        <v>0.45</v>
      </c>
      <c r="P41" s="81">
        <v>0.38</v>
      </c>
      <c r="Q41" s="81">
        <v>0.16</v>
      </c>
    </row>
    <row r="42" spans="1:18" x14ac:dyDescent="0.25">
      <c r="A42" s="10" t="s">
        <v>196</v>
      </c>
      <c r="B42" s="128">
        <f>SUMPRODUCT(B44:B47,$H$44:$H$47)</f>
        <v>0.32695983772232984</v>
      </c>
      <c r="C42" s="128">
        <f>SUMPRODUCT(C44:C47,$H$44:$H$47)</f>
        <v>0.40981136756295405</v>
      </c>
      <c r="D42" s="128">
        <f>SUMPRODUCT(D44:D47,$H$44:$H$47)</f>
        <v>0.23508224442263953</v>
      </c>
      <c r="E42" s="128"/>
      <c r="F42" s="10"/>
      <c r="G42" s="178">
        <f>SUM(G44:G47)</f>
        <v>7711650.512076946</v>
      </c>
      <c r="H42" s="177">
        <f>G42/$G$3</f>
        <v>7.4126770528285077E-2</v>
      </c>
      <c r="J42" s="124">
        <f>SUMPRODUCT(J44:J47,H44:H47)</f>
        <v>0.18490628460258998</v>
      </c>
      <c r="L42" s="102">
        <v>4.1999999999999997E-3</v>
      </c>
      <c r="M42" t="s">
        <v>224</v>
      </c>
      <c r="N42" s="3">
        <f>L42*(1-$F$4)</f>
        <v>3.7951199999999995E-3</v>
      </c>
      <c r="O42" s="81">
        <v>0.56999999999999995</v>
      </c>
      <c r="P42" s="81">
        <v>0.23</v>
      </c>
      <c r="Q42" s="81">
        <v>0.2</v>
      </c>
    </row>
    <row r="44" spans="1:18" x14ac:dyDescent="0.25">
      <c r="A44" t="s">
        <v>198</v>
      </c>
      <c r="B44" s="3">
        <v>0.39529999999999998</v>
      </c>
      <c r="C44" s="3">
        <v>0.44469999999999998</v>
      </c>
      <c r="D44" s="3">
        <v>0.1411</v>
      </c>
      <c r="E44" s="257">
        <f t="shared" ref="E44:E47" si="7">1-SUM(B44:D44)</f>
        <v>1.8900000000000028E-2</v>
      </c>
      <c r="G44" s="7">
        <f>616265/B44</f>
        <v>1558980.5211231976</v>
      </c>
      <c r="H44" s="124">
        <f>G44/$G$42</f>
        <v>0.20215912516804707</v>
      </c>
      <c r="J44" s="3">
        <v>0.2291</v>
      </c>
      <c r="O44" s="102">
        <f>SUMPRODUCT(O39:O42,$N$39:$N$42)</f>
        <v>1.2241069199999999E-2</v>
      </c>
      <c r="P44" s="102">
        <f>SUMPRODUCT(P39:P42,$N$39:$N$42)</f>
        <v>1.1213676000000001E-2</v>
      </c>
      <c r="Q44" s="102">
        <f>SUMPRODUCT(Q39:Q42,$N$39:$N$42)</f>
        <v>6.2610443999999987E-3</v>
      </c>
    </row>
    <row r="45" spans="1:18" ht="15.75" thickBot="1" x14ac:dyDescent="0.3">
      <c r="A45" t="s">
        <v>199</v>
      </c>
      <c r="B45" s="3">
        <v>0.37509999999999999</v>
      </c>
      <c r="C45" s="3">
        <v>0.41310000000000002</v>
      </c>
      <c r="D45" s="3">
        <v>0.1908</v>
      </c>
      <c r="E45" s="257">
        <f t="shared" si="7"/>
        <v>2.1000000000000019E-2</v>
      </c>
      <c r="G45" s="7">
        <f>506951/B45</f>
        <v>1351508.9309517462</v>
      </c>
      <c r="H45" s="124">
        <f>G45/$G$42</f>
        <v>0.17525546947896503</v>
      </c>
      <c r="J45" s="3">
        <v>0.20530000000000001</v>
      </c>
      <c r="O45" s="3">
        <f>O44/SUM($O$44:$Q$44)</f>
        <v>0.41193821078878545</v>
      </c>
      <c r="P45" s="3">
        <f>P44/SUM($O$44:$Q$44)</f>
        <v>0.37736422793894059</v>
      </c>
      <c r="Q45" s="3">
        <f>1-O45-P45</f>
        <v>0.21069756127227396</v>
      </c>
    </row>
    <row r="46" spans="1:18" x14ac:dyDescent="0.25">
      <c r="A46" t="s">
        <v>200</v>
      </c>
      <c r="B46" s="3">
        <v>0.32100000000000001</v>
      </c>
      <c r="C46" s="3">
        <v>0.41539999999999999</v>
      </c>
      <c r="D46" s="3">
        <v>0.23899999999999999</v>
      </c>
      <c r="E46" s="257">
        <f t="shared" si="7"/>
        <v>2.4600000000000066E-2</v>
      </c>
      <c r="G46" s="7">
        <f>1035673/B46</f>
        <v>3226395.6386292833</v>
      </c>
      <c r="H46" s="124">
        <f>G46/$G$42</f>
        <v>0.41837939019364767</v>
      </c>
      <c r="J46" s="3">
        <v>0.1883</v>
      </c>
      <c r="N46" s="235" t="s">
        <v>219</v>
      </c>
      <c r="O46" s="236"/>
      <c r="P46" s="237"/>
    </row>
    <row r="47" spans="1:18" x14ac:dyDescent="0.25">
      <c r="A47" t="s">
        <v>201</v>
      </c>
      <c r="B47" s="3">
        <v>0.23019999999999999</v>
      </c>
      <c r="C47" s="3">
        <v>0.36099999999999999</v>
      </c>
      <c r="D47" s="3">
        <v>0.35809999999999997</v>
      </c>
      <c r="E47" s="257">
        <f t="shared" si="7"/>
        <v>5.0700000000000078E-2</v>
      </c>
      <c r="G47" s="7">
        <f>362511/B47</f>
        <v>1574765.4213727193</v>
      </c>
      <c r="H47" s="124">
        <f>G47/$G$42</f>
        <v>0.20420601515934031</v>
      </c>
      <c r="J47" s="3">
        <v>0.1167</v>
      </c>
      <c r="N47" s="175" t="s">
        <v>5</v>
      </c>
      <c r="O47" s="179" t="s">
        <v>4</v>
      </c>
      <c r="P47" s="176" t="s">
        <v>29</v>
      </c>
    </row>
    <row r="48" spans="1:18" ht="15.75" thickBot="1" x14ac:dyDescent="0.3">
      <c r="N48" s="190">
        <f>N35+O44</f>
        <v>0.42148450919999997</v>
      </c>
      <c r="O48" s="191">
        <f>O35+P44</f>
        <v>0.44462091599999998</v>
      </c>
      <c r="P48" s="192">
        <f>R35+Q44</f>
        <v>0.12922292439999999</v>
      </c>
    </row>
    <row r="49" spans="1:24" x14ac:dyDescent="0.25">
      <c r="A49" t="s">
        <v>202</v>
      </c>
      <c r="B49" s="91">
        <v>36</v>
      </c>
      <c r="C49" s="91">
        <v>35</v>
      </c>
      <c r="D49" s="91">
        <v>25</v>
      </c>
      <c r="E49" s="91"/>
      <c r="N49" s="124">
        <f>N48/SUM($N$48:$O$48)</f>
        <v>0.48664342346391753</v>
      </c>
      <c r="O49" s="124">
        <f>O48/SUM($N$48:$O$48)</f>
        <v>0.51335657653608235</v>
      </c>
    </row>
    <row r="50" spans="1:24" x14ac:dyDescent="0.25">
      <c r="A50" t="s">
        <v>211</v>
      </c>
      <c r="B50" s="127">
        <f>B49+M$16</f>
        <v>34.54545454545454</v>
      </c>
      <c r="C50" s="127">
        <f>C49+N$16</f>
        <v>37.727272727272727</v>
      </c>
      <c r="D50" s="127">
        <f>D49+O$16</f>
        <v>23.136363636363633</v>
      </c>
      <c r="E50" s="127"/>
      <c r="N50" s="10" t="s">
        <v>229</v>
      </c>
      <c r="P50" s="35"/>
    </row>
    <row r="51" spans="1:24" x14ac:dyDescent="0.25">
      <c r="N51" s="81">
        <f>2/3</f>
        <v>0.66666666666666663</v>
      </c>
      <c r="O51" s="81">
        <f>1-N51</f>
        <v>0.33333333333333337</v>
      </c>
    </row>
    <row r="52" spans="1:24" x14ac:dyDescent="0.25">
      <c r="A52" s="10" t="s">
        <v>203</v>
      </c>
      <c r="B52" s="122">
        <f>SUMPRODUCT(B54:B60,$H$54:$H$60)</f>
        <v>0.50068107700026632</v>
      </c>
      <c r="C52" s="122">
        <f>SUMPRODUCT(C54:C60,$H$54:$H$60)</f>
        <v>0.28128923325043198</v>
      </c>
      <c r="D52" s="122">
        <f>SUMPRODUCT(D54:D60,$H$54:$H$60)</f>
        <v>0.18697501438156025</v>
      </c>
      <c r="E52" s="257">
        <f t="shared" ref="E52:E60" si="8">1-SUM(B52:D52)</f>
        <v>3.1054675367741424E-2</v>
      </c>
      <c r="F52" s="10"/>
      <c r="G52" s="178">
        <f>SUM(G54:G60)</f>
        <v>8113781.7796893474</v>
      </c>
      <c r="H52" s="177">
        <f>G52/$G$3</f>
        <v>7.7992180682683349E-2</v>
      </c>
      <c r="J52" s="124">
        <f>SUMPRODUCT(J54:J60,H54:H60)</f>
        <v>0.1969407392377103</v>
      </c>
      <c r="T52" t="s">
        <v>113</v>
      </c>
      <c r="U52" t="s">
        <v>4</v>
      </c>
    </row>
    <row r="53" spans="1:24" x14ac:dyDescent="0.25">
      <c r="N53" s="69">
        <f>N48+N51*($P$48-9%)</f>
        <v>0.44763312546666661</v>
      </c>
      <c r="O53" s="69">
        <f>O48+O51*($P$48-9%)</f>
        <v>0.4576952241333333</v>
      </c>
      <c r="P53" s="69">
        <v>0.09</v>
      </c>
      <c r="S53" s="124">
        <v>0</v>
      </c>
      <c r="T53" s="124">
        <f t="shared" ref="T53:T63" si="9">$N$48</f>
        <v>0.42148450919999997</v>
      </c>
      <c r="U53" s="124">
        <f t="shared" ref="U53:U63" si="10">$O$48+S53</f>
        <v>0.44462091599999998</v>
      </c>
      <c r="W53" s="3">
        <f t="shared" ref="W53:W63" si="11">T53/SUM(T53:U53)</f>
        <v>0.48664342346391753</v>
      </c>
      <c r="X53" s="3">
        <f t="shared" ref="X53:X63" si="12">U53/SUM(T53:U53)</f>
        <v>0.51335657653608235</v>
      </c>
    </row>
    <row r="54" spans="1:24" x14ac:dyDescent="0.25">
      <c r="A54" t="s">
        <v>204</v>
      </c>
      <c r="B54" s="3">
        <v>0.54530000000000001</v>
      </c>
      <c r="C54" s="3">
        <v>0.19420000000000001</v>
      </c>
      <c r="D54" s="3">
        <v>0.21529999999999999</v>
      </c>
      <c r="E54" s="257">
        <f t="shared" si="8"/>
        <v>4.5199999999999907E-2</v>
      </c>
      <c r="G54" s="7">
        <f>914800/B54</f>
        <v>1677608.655785806</v>
      </c>
      <c r="H54" s="124">
        <f t="shared" ref="H54:H60" si="13">G54/$G$52</f>
        <v>0.20676038638175412</v>
      </c>
      <c r="J54" s="3">
        <v>0.19489999999999999</v>
      </c>
      <c r="S54" s="124">
        <v>-5.0000000000000001E-3</v>
      </c>
      <c r="T54" s="124">
        <f t="shared" si="9"/>
        <v>0.42148450919999997</v>
      </c>
      <c r="U54" s="124">
        <f t="shared" si="10"/>
        <v>0.43962091599999997</v>
      </c>
      <c r="W54" s="3">
        <f t="shared" si="11"/>
        <v>0.48946911361301226</v>
      </c>
      <c r="X54" s="3">
        <f t="shared" si="12"/>
        <v>0.51053088638698785</v>
      </c>
    </row>
    <row r="55" spans="1:24" x14ac:dyDescent="0.25">
      <c r="A55" t="s">
        <v>205</v>
      </c>
      <c r="B55" s="3">
        <v>0.27979999999999999</v>
      </c>
      <c r="C55" s="3">
        <v>0.2908</v>
      </c>
      <c r="D55" s="3">
        <v>0.4199</v>
      </c>
      <c r="E55" s="257">
        <f t="shared" si="8"/>
        <v>9.5000000000000639E-3</v>
      </c>
      <c r="G55" s="7">
        <f>111610/B55</f>
        <v>398892.06576125807</v>
      </c>
      <c r="H55" s="124">
        <f t="shared" si="13"/>
        <v>4.916228666141554E-2</v>
      </c>
      <c r="J55" s="3">
        <v>0.17319999999999999</v>
      </c>
      <c r="L55" s="234" t="s">
        <v>277</v>
      </c>
      <c r="M55" s="234"/>
      <c r="N55" s="234" t="s">
        <v>278</v>
      </c>
      <c r="O55" s="234"/>
      <c r="P55" s="196"/>
      <c r="Q55" s="196"/>
      <c r="S55" s="124">
        <v>-0.01</v>
      </c>
      <c r="T55" s="124">
        <f t="shared" si="9"/>
        <v>0.42148450919999997</v>
      </c>
      <c r="U55" s="124">
        <f t="shared" si="10"/>
        <v>0.43462091599999997</v>
      </c>
      <c r="W55" s="3">
        <f t="shared" si="11"/>
        <v>0.49232781009597554</v>
      </c>
      <c r="X55" s="3">
        <f t="shared" si="12"/>
        <v>0.50767218990402441</v>
      </c>
    </row>
    <row r="56" spans="1:24" x14ac:dyDescent="0.25">
      <c r="A56" t="s">
        <v>206</v>
      </c>
      <c r="B56" s="3">
        <v>0.41699999999999998</v>
      </c>
      <c r="C56" s="3">
        <v>0.4491</v>
      </c>
      <c r="D56" s="3">
        <v>0.1041</v>
      </c>
      <c r="E56" s="257">
        <f t="shared" si="8"/>
        <v>2.9800000000000049E-2</v>
      </c>
      <c r="G56" s="7">
        <f>345167/B56</f>
        <v>827738.60911270988</v>
      </c>
      <c r="H56" s="124">
        <f t="shared" si="13"/>
        <v>0.10201637554324286</v>
      </c>
      <c r="J56" s="3">
        <v>0.21360000000000001</v>
      </c>
      <c r="L56" s="229" t="s">
        <v>227</v>
      </c>
      <c r="M56" s="126" t="s">
        <v>276</v>
      </c>
      <c r="N56" s="126" t="s">
        <v>279</v>
      </c>
      <c r="O56" s="127"/>
      <c r="P56" s="127"/>
      <c r="Q56" s="127"/>
      <c r="S56" s="124">
        <v>-1.4999999999999999E-2</v>
      </c>
      <c r="T56" s="124">
        <f t="shared" si="9"/>
        <v>0.42148450919999997</v>
      </c>
      <c r="U56" s="124">
        <f t="shared" si="10"/>
        <v>0.42962091599999996</v>
      </c>
      <c r="W56" s="3">
        <f t="shared" si="11"/>
        <v>0.49522009462101124</v>
      </c>
      <c r="X56" s="3">
        <f t="shared" si="12"/>
        <v>0.50477990537898876</v>
      </c>
    </row>
    <row r="57" spans="1:24" x14ac:dyDescent="0.25">
      <c r="A57" t="s">
        <v>207</v>
      </c>
      <c r="B57" s="3">
        <v>0.33200000000000002</v>
      </c>
      <c r="C57" s="3">
        <v>0.43630000000000002</v>
      </c>
      <c r="D57" s="3">
        <v>0.18809999999999999</v>
      </c>
      <c r="E57" s="257">
        <f t="shared" si="8"/>
        <v>4.3600000000000083E-2</v>
      </c>
      <c r="G57" s="7">
        <f>82857/B57</f>
        <v>249569.27710843371</v>
      </c>
      <c r="H57" s="124">
        <f t="shared" si="13"/>
        <v>3.0758687364893487E-2</v>
      </c>
      <c r="J57" s="3">
        <v>0.12429999999999999</v>
      </c>
      <c r="K57" s="11" t="s">
        <v>263</v>
      </c>
      <c r="L57" s="226">
        <v>0.15211895121096841</v>
      </c>
      <c r="M57" s="256">
        <f>L64/SUM($L$64:$L$67)</f>
        <v>0.14776864372585397</v>
      </c>
      <c r="N57" s="121">
        <f t="shared" ref="N57:N60" si="14">O64</f>
        <v>0.14429387114103298</v>
      </c>
      <c r="O57" s="69"/>
      <c r="P57" s="127"/>
      <c r="Q57" s="127"/>
      <c r="S57" s="124">
        <v>-0.02</v>
      </c>
      <c r="T57" s="124">
        <f t="shared" si="9"/>
        <v>0.42148450919999997</v>
      </c>
      <c r="U57" s="124">
        <f t="shared" si="10"/>
        <v>0.42462091599999996</v>
      </c>
      <c r="W57" s="3">
        <f t="shared" si="11"/>
        <v>0.49814656264657642</v>
      </c>
      <c r="X57" s="3">
        <f t="shared" si="12"/>
        <v>0.50185343735342347</v>
      </c>
    </row>
    <row r="58" spans="1:24" x14ac:dyDescent="0.25">
      <c r="A58" t="s">
        <v>208</v>
      </c>
      <c r="B58" s="3">
        <v>0.51100000000000001</v>
      </c>
      <c r="C58" s="3">
        <v>0.25440000000000002</v>
      </c>
      <c r="D58" s="3">
        <v>0.1996</v>
      </c>
      <c r="E58" s="257">
        <f t="shared" si="8"/>
        <v>3.499999999999992E-2</v>
      </c>
      <c r="G58" s="7">
        <f>198939/B58</f>
        <v>389313.11154598824</v>
      </c>
      <c r="H58" s="124">
        <f t="shared" si="13"/>
        <v>4.7981708421161638E-2</v>
      </c>
      <c r="J58" s="3">
        <v>0.10440000000000001</v>
      </c>
      <c r="K58" s="11" t="s">
        <v>2</v>
      </c>
      <c r="L58" s="226">
        <v>0.2641035040137934</v>
      </c>
      <c r="M58" s="256">
        <f t="shared" ref="M58:M60" si="15">L65/SUM($L$64:$L$67)</f>
        <v>0.2662055139111647</v>
      </c>
      <c r="N58" s="121">
        <f t="shared" si="14"/>
        <v>0.26653708816184207</v>
      </c>
      <c r="O58" s="69"/>
      <c r="P58" s="127"/>
      <c r="Q58" s="127"/>
      <c r="S58" s="124">
        <v>-2.5000000000000001E-2</v>
      </c>
      <c r="T58" s="124">
        <f t="shared" si="9"/>
        <v>0.42148450919999997</v>
      </c>
      <c r="U58" s="124">
        <f t="shared" si="10"/>
        <v>0.41962091599999995</v>
      </c>
      <c r="W58" s="3">
        <f t="shared" si="11"/>
        <v>0.50110782379007779</v>
      </c>
      <c r="X58" s="3">
        <f t="shared" si="12"/>
        <v>0.49889217620992232</v>
      </c>
    </row>
    <row r="59" spans="1:24" x14ac:dyDescent="0.25">
      <c r="A59" t="s">
        <v>209</v>
      </c>
      <c r="B59" s="3">
        <v>0.53180000000000005</v>
      </c>
      <c r="C59" s="3">
        <v>0.2757</v>
      </c>
      <c r="D59" s="3">
        <v>0.16339999999999999</v>
      </c>
      <c r="E59" s="257">
        <f t="shared" si="8"/>
        <v>2.9099999999999904E-2</v>
      </c>
      <c r="G59" s="7">
        <f>2040696/B59</f>
        <v>3837337.3448664909</v>
      </c>
      <c r="H59" s="124">
        <f t="shared" si="13"/>
        <v>0.47294066429938064</v>
      </c>
      <c r="J59" s="3">
        <v>0.21099999999999999</v>
      </c>
      <c r="K59" s="11" t="s">
        <v>0</v>
      </c>
      <c r="L59" s="226">
        <v>0.42656418887237452</v>
      </c>
      <c r="M59" s="256">
        <f t="shared" si="15"/>
        <v>0.43310387258216942</v>
      </c>
      <c r="N59" s="121">
        <f t="shared" si="14"/>
        <v>0.43600746570499038</v>
      </c>
      <c r="O59" s="69"/>
      <c r="S59" s="124">
        <v>-0.03</v>
      </c>
      <c r="T59" s="124">
        <f t="shared" si="9"/>
        <v>0.42148450919999997</v>
      </c>
      <c r="U59" s="124">
        <f t="shared" si="10"/>
        <v>0.41462091599999995</v>
      </c>
      <c r="W59" s="3">
        <f t="shared" si="11"/>
        <v>0.50410450225123116</v>
      </c>
      <c r="X59" s="3">
        <f t="shared" si="12"/>
        <v>0.49589549774876879</v>
      </c>
    </row>
    <row r="60" spans="1:24" x14ac:dyDescent="0.25">
      <c r="A60" t="s">
        <v>210</v>
      </c>
      <c r="B60" s="3">
        <v>0.50229999999999997</v>
      </c>
      <c r="C60" s="3">
        <v>0.2767</v>
      </c>
      <c r="D60" s="3">
        <v>0.20530000000000001</v>
      </c>
      <c r="E60" s="257">
        <f t="shared" si="8"/>
        <v>1.5700000000000047E-2</v>
      </c>
      <c r="G60" s="7">
        <f>368348/B60</f>
        <v>733322.71550866019</v>
      </c>
      <c r="H60" s="124">
        <f t="shared" si="13"/>
        <v>9.0379891328151662E-2</v>
      </c>
      <c r="J60" s="3">
        <v>0.19600000000000001</v>
      </c>
      <c r="K60" s="11" t="s">
        <v>248</v>
      </c>
      <c r="L60" s="226">
        <v>0.15511284714240522</v>
      </c>
      <c r="M60" s="256">
        <f t="shared" si="15"/>
        <v>0.15292196978081196</v>
      </c>
      <c r="N60" s="121">
        <f t="shared" si="14"/>
        <v>0.15316157499213451</v>
      </c>
      <c r="O60" s="69"/>
      <c r="S60" s="124">
        <v>-3.5000000000000003E-2</v>
      </c>
      <c r="T60" s="124">
        <f t="shared" si="9"/>
        <v>0.42148450919999997</v>
      </c>
      <c r="U60" s="124">
        <f t="shared" si="10"/>
        <v>0.40962091599999995</v>
      </c>
      <c r="W60" s="3">
        <f t="shared" si="11"/>
        <v>0.50713723725070448</v>
      </c>
      <c r="X60" s="3">
        <f t="shared" si="12"/>
        <v>0.49286276274929558</v>
      </c>
    </row>
    <row r="61" spans="1:24" x14ac:dyDescent="0.25">
      <c r="N61" s="124"/>
      <c r="S61" s="124">
        <v>-0.04</v>
      </c>
      <c r="T61" s="124">
        <f t="shared" si="9"/>
        <v>0.42148450919999997</v>
      </c>
      <c r="U61" s="124">
        <f t="shared" si="10"/>
        <v>0.404620916</v>
      </c>
      <c r="W61" s="3">
        <f t="shared" si="11"/>
        <v>0.51020668348468801</v>
      </c>
      <c r="X61" s="3">
        <f t="shared" si="12"/>
        <v>0.48979331651531199</v>
      </c>
    </row>
    <row r="62" spans="1:24" x14ac:dyDescent="0.25">
      <c r="S62" s="124">
        <v>-4.4999999999999998E-2</v>
      </c>
      <c r="T62" s="124">
        <f t="shared" si="9"/>
        <v>0.42148450919999997</v>
      </c>
      <c r="U62" s="124">
        <f t="shared" si="10"/>
        <v>0.39962091599999999</v>
      </c>
      <c r="W62" s="3">
        <f t="shared" si="11"/>
        <v>0.51331351159607463</v>
      </c>
      <c r="X62" s="3">
        <f t="shared" si="12"/>
        <v>0.48668648840392537</v>
      </c>
    </row>
    <row r="63" spans="1:24" x14ac:dyDescent="0.25">
      <c r="A63" s="10" t="s">
        <v>264</v>
      </c>
      <c r="B63" s="227" t="s">
        <v>4</v>
      </c>
      <c r="C63" s="227" t="s">
        <v>5</v>
      </c>
      <c r="D63" s="227" t="s">
        <v>127</v>
      </c>
      <c r="E63" s="227" t="s">
        <v>89</v>
      </c>
      <c r="F63" s="227" t="s">
        <v>14</v>
      </c>
      <c r="G63" s="10" t="s">
        <v>268</v>
      </c>
      <c r="H63" s="229"/>
      <c r="I63" s="229"/>
      <c r="J63" s="229"/>
      <c r="K63" s="229" t="s">
        <v>36</v>
      </c>
      <c r="L63" t="s">
        <v>275</v>
      </c>
      <c r="M63" s="229" t="s">
        <v>231</v>
      </c>
      <c r="N63" t="s">
        <v>274</v>
      </c>
      <c r="O63" s="229" t="s">
        <v>74</v>
      </c>
      <c r="S63" s="124">
        <v>-0.05</v>
      </c>
      <c r="T63" s="124">
        <f t="shared" si="9"/>
        <v>0.42148450919999997</v>
      </c>
      <c r="U63" s="124">
        <f t="shared" si="10"/>
        <v>0.39462091599999999</v>
      </c>
      <c r="W63" s="3">
        <f t="shared" si="11"/>
        <v>0.51645840866295956</v>
      </c>
      <c r="X63" s="3">
        <f t="shared" si="12"/>
        <v>0.48354159133704044</v>
      </c>
    </row>
    <row r="64" spans="1:24" x14ac:dyDescent="0.25">
      <c r="A64" s="11" t="s">
        <v>263</v>
      </c>
      <c r="B64" s="228">
        <v>41</v>
      </c>
      <c r="C64" s="228">
        <v>28</v>
      </c>
      <c r="D64" s="228">
        <v>22</v>
      </c>
      <c r="E64" s="228">
        <v>3</v>
      </c>
      <c r="F64" s="228">
        <v>6</v>
      </c>
      <c r="G64" s="11" t="s">
        <v>263</v>
      </c>
      <c r="H64" s="121">
        <f>(J52*H52+J42*H42)/(H52+H42)</f>
        <v>0.19107641234044273</v>
      </c>
      <c r="I64" s="81">
        <v>0.05</v>
      </c>
      <c r="J64" s="121">
        <f>H64+I64</f>
        <v>0.24107641234044275</v>
      </c>
      <c r="K64" s="7">
        <f>G52+G42</f>
        <v>15825432.291766293</v>
      </c>
      <c r="L64" s="7">
        <f>K64+J79+J80</f>
        <v>16979151.291766293</v>
      </c>
      <c r="M64" s="76">
        <f>K64+L79+L80</f>
        <v>21026609.291766293</v>
      </c>
      <c r="N64" s="7">
        <f>M64*(1-J64)</f>
        <v>15957589.760023057</v>
      </c>
      <c r="O64" s="102">
        <f>N64/$N$69</f>
        <v>0.14429387114103298</v>
      </c>
    </row>
    <row r="65" spans="1:15" x14ac:dyDescent="0.25">
      <c r="A65" s="11" t="s">
        <v>2</v>
      </c>
      <c r="B65" s="228">
        <v>54</v>
      </c>
      <c r="C65" s="228">
        <v>21</v>
      </c>
      <c r="D65" s="228">
        <v>17</v>
      </c>
      <c r="E65" s="228">
        <v>2</v>
      </c>
      <c r="F65" s="228">
        <v>6</v>
      </c>
      <c r="G65" s="11" t="s">
        <v>2</v>
      </c>
      <c r="H65" s="69">
        <f>J27</f>
        <v>0.19942514769615866</v>
      </c>
      <c r="I65" s="81">
        <v>0.03</v>
      </c>
      <c r="J65" s="121">
        <f>I65+H65</f>
        <v>0.22942514769615865</v>
      </c>
      <c r="K65" s="76">
        <f>G27</f>
        <v>27475551.780475009</v>
      </c>
      <c r="L65" s="7">
        <f>K65+J78</f>
        <v>30587975.780475009</v>
      </c>
      <c r="M65" s="76">
        <f>K65+L78</f>
        <v>38252711.780475006</v>
      </c>
      <c r="N65" s="7">
        <f>M65*(1-J65)</f>
        <v>29476577.730460942</v>
      </c>
      <c r="O65" s="102">
        <f t="shared" ref="O65:O67" si="16">N65/$N$69</f>
        <v>0.26653708816184207</v>
      </c>
    </row>
    <row r="66" spans="1:15" x14ac:dyDescent="0.25">
      <c r="A66" s="11" t="s">
        <v>0</v>
      </c>
      <c r="B66" s="228">
        <v>35</v>
      </c>
      <c r="C66" s="228">
        <v>30</v>
      </c>
      <c r="D66" s="228">
        <v>19</v>
      </c>
      <c r="E66" s="228">
        <v>5</v>
      </c>
      <c r="F66" s="228">
        <v>11</v>
      </c>
      <c r="G66" s="11" t="s">
        <v>0</v>
      </c>
      <c r="H66" s="69">
        <f>J8</f>
        <v>0.19728901605962204</v>
      </c>
      <c r="I66" s="102">
        <v>2.5000000000000001E-2</v>
      </c>
      <c r="J66" s="102">
        <f>I66+H66</f>
        <v>0.22228901605962204</v>
      </c>
      <c r="K66" s="76">
        <f>G8</f>
        <v>44376868.466111459</v>
      </c>
      <c r="L66" s="7">
        <f>K66+J81</f>
        <v>49765200.466111459</v>
      </c>
      <c r="M66" s="76">
        <f>K66+L81</f>
        <v>62000487.466111459</v>
      </c>
      <c r="N66" s="7">
        <f>M66*(1-J66)</f>
        <v>48218460.112052612</v>
      </c>
      <c r="O66" s="102">
        <f t="shared" si="16"/>
        <v>0.43600746570499038</v>
      </c>
    </row>
    <row r="67" spans="1:15" x14ac:dyDescent="0.25">
      <c r="A67" s="11" t="s">
        <v>248</v>
      </c>
      <c r="B67" s="228">
        <v>32</v>
      </c>
      <c r="C67" s="228">
        <v>42</v>
      </c>
      <c r="D67" s="228">
        <v>10</v>
      </c>
      <c r="E67" s="228">
        <v>5</v>
      </c>
      <c r="F67" s="228">
        <v>11</v>
      </c>
      <c r="G67" s="11" t="s">
        <v>248</v>
      </c>
      <c r="H67" s="69">
        <f>J18</f>
        <v>0.16729180763650073</v>
      </c>
      <c r="I67" s="81">
        <v>0.03</v>
      </c>
      <c r="J67" s="121">
        <f>I67+H67</f>
        <v>0.19729180763650073</v>
      </c>
      <c r="K67" s="76">
        <f>G18</f>
        <v>16136897.082802344</v>
      </c>
      <c r="L67" s="7">
        <f>K67+J82</f>
        <v>17571287.082802344</v>
      </c>
      <c r="M67" s="76">
        <f>K67+L82</f>
        <v>21101413.082802344</v>
      </c>
      <c r="N67" s="7">
        <f>M67*(1-J67)</f>
        <v>16938277.152011767</v>
      </c>
      <c r="O67" s="102">
        <f t="shared" si="16"/>
        <v>0.15316157499213451</v>
      </c>
    </row>
    <row r="69" spans="1:15" x14ac:dyDescent="0.25">
      <c r="A69" s="11" t="s">
        <v>230</v>
      </c>
      <c r="B69" s="227" t="s">
        <v>4</v>
      </c>
      <c r="C69" s="227" t="s">
        <v>5</v>
      </c>
      <c r="D69" s="227" t="s">
        <v>127</v>
      </c>
      <c r="E69" s="227" t="s">
        <v>89</v>
      </c>
      <c r="G69" s="227" t="s">
        <v>214</v>
      </c>
      <c r="H69" s="227" t="s">
        <v>4</v>
      </c>
      <c r="I69" s="227" t="s">
        <v>5</v>
      </c>
      <c r="J69" s="227" t="s">
        <v>127</v>
      </c>
      <c r="K69" s="227" t="s">
        <v>89</v>
      </c>
      <c r="N69" s="7">
        <f>SUM(N64:N67)</f>
        <v>110590904.75454839</v>
      </c>
    </row>
    <row r="70" spans="1:15" x14ac:dyDescent="0.25">
      <c r="A70" s="11" t="s">
        <v>263</v>
      </c>
      <c r="B70" s="121">
        <f>B64/SUM($B64:$E64)</f>
        <v>0.43617021276595747</v>
      </c>
      <c r="C70" s="121">
        <f t="shared" ref="C70:E70" si="17">C64/SUM($B64:$E64)</f>
        <v>0.2978723404255319</v>
      </c>
      <c r="D70" s="121">
        <f t="shared" si="17"/>
        <v>0.23404255319148937</v>
      </c>
      <c r="E70" s="121">
        <f t="shared" si="17"/>
        <v>3.1914893617021274E-2</v>
      </c>
      <c r="G70" s="11" t="s">
        <v>263</v>
      </c>
      <c r="H70" s="121">
        <f>(B42*$H$42+B52*$H$52)/($H$42+$H$52)</f>
        <v>0.41602762430859158</v>
      </c>
      <c r="I70" s="121">
        <f>(C42*$H$42+C52*$H$52)/($H$42+$H$52)</f>
        <v>0.34391739813159261</v>
      </c>
      <c r="J70" s="121">
        <f>(D42*$H$42+D52*$H$52)/($H$42+$H$52)</f>
        <v>0.21041741635461159</v>
      </c>
      <c r="K70" s="121">
        <f>1-SUM(H70:J70)</f>
        <v>2.9637561205204221E-2</v>
      </c>
    </row>
    <row r="71" spans="1:15" x14ac:dyDescent="0.25">
      <c r="A71" s="11" t="s">
        <v>2</v>
      </c>
      <c r="B71" s="121">
        <f t="shared" ref="B71:E71" si="18">B65/SUM($B65:$E65)</f>
        <v>0.57446808510638303</v>
      </c>
      <c r="C71" s="121">
        <f t="shared" si="18"/>
        <v>0.22340425531914893</v>
      </c>
      <c r="D71" s="121">
        <f t="shared" si="18"/>
        <v>0.18085106382978725</v>
      </c>
      <c r="E71" s="121">
        <f t="shared" si="18"/>
        <v>2.1276595744680851E-2</v>
      </c>
      <c r="G71" s="11" t="s">
        <v>2</v>
      </c>
      <c r="H71" s="121">
        <f>B27</f>
        <v>0.59689931365289095</v>
      </c>
      <c r="I71" s="121">
        <f t="shared" ref="I71:J71" si="19">C27</f>
        <v>0.15379085021047084</v>
      </c>
      <c r="J71" s="121">
        <f t="shared" si="19"/>
        <v>0.22759286904026885</v>
      </c>
      <c r="K71" s="121">
        <f>1-SUM(H71:J71)</f>
        <v>2.1716967096369277E-2</v>
      </c>
    </row>
    <row r="72" spans="1:15" x14ac:dyDescent="0.25">
      <c r="A72" s="11" t="s">
        <v>0</v>
      </c>
      <c r="B72" s="121">
        <f t="shared" ref="B72:E72" si="20">B66/SUM($B66:$E66)</f>
        <v>0.39325842696629215</v>
      </c>
      <c r="C72" s="121">
        <f t="shared" si="20"/>
        <v>0.33707865168539325</v>
      </c>
      <c r="D72" s="121">
        <f t="shared" si="20"/>
        <v>0.21348314606741572</v>
      </c>
      <c r="E72" s="121">
        <f t="shared" si="20"/>
        <v>5.6179775280898875E-2</v>
      </c>
      <c r="G72" s="11" t="s">
        <v>0</v>
      </c>
      <c r="H72" s="121">
        <f>B8</f>
        <v>0.32406457456505916</v>
      </c>
      <c r="I72" s="121">
        <f>C8</f>
        <v>0.39447408292284541</v>
      </c>
      <c r="J72" s="121">
        <f>D8</f>
        <v>0.23601139839264287</v>
      </c>
      <c r="K72" s="121">
        <f>1-SUM(H72:J72)</f>
        <v>4.5449944119452579E-2</v>
      </c>
    </row>
    <row r="73" spans="1:15" x14ac:dyDescent="0.25">
      <c r="A73" s="11" t="s">
        <v>248</v>
      </c>
      <c r="B73" s="121">
        <f t="shared" ref="B73:E73" si="21">B67/SUM($B67:$E67)</f>
        <v>0.3595505617977528</v>
      </c>
      <c r="C73" s="121">
        <f t="shared" si="21"/>
        <v>0.47191011235955055</v>
      </c>
      <c r="D73" s="121">
        <f t="shared" si="21"/>
        <v>0.11235955056179775</v>
      </c>
      <c r="E73" s="121">
        <f t="shared" si="21"/>
        <v>5.6179775280898875E-2</v>
      </c>
      <c r="G73" s="11" t="s">
        <v>248</v>
      </c>
      <c r="H73" s="121">
        <f>B18</f>
        <v>0.36340883689775649</v>
      </c>
      <c r="I73" s="121">
        <f>C18</f>
        <v>0.47199855968360416</v>
      </c>
      <c r="J73" s="121">
        <f>D18</f>
        <v>0.12819952745591118</v>
      </c>
      <c r="K73" s="121">
        <f>1-SUM(H73:J73)</f>
        <v>3.6393075962728227E-2</v>
      </c>
    </row>
    <row r="75" spans="1:15" x14ac:dyDescent="0.25">
      <c r="A75" s="11" t="s">
        <v>265</v>
      </c>
      <c r="B75" s="227" t="s">
        <v>4</v>
      </c>
      <c r="C75" s="227" t="s">
        <v>5</v>
      </c>
      <c r="D75" s="227" t="s">
        <v>127</v>
      </c>
      <c r="E75" s="227" t="s">
        <v>89</v>
      </c>
      <c r="G75" s="227" t="s">
        <v>8</v>
      </c>
    </row>
    <row r="76" spans="1:15" x14ac:dyDescent="0.25">
      <c r="A76" s="11" t="s">
        <v>263</v>
      </c>
      <c r="B76" s="121">
        <f>H70-B70</f>
        <v>-2.0142588457365884E-2</v>
      </c>
      <c r="C76" s="121">
        <f t="shared" ref="C76:E76" si="22">I70-C70</f>
        <v>4.604505770606071E-2</v>
      </c>
      <c r="D76" s="121">
        <f t="shared" si="22"/>
        <v>-2.362513683687778E-2</v>
      </c>
      <c r="E76" s="121">
        <f t="shared" si="22"/>
        <v>-2.2773324118170526E-3</v>
      </c>
      <c r="G76" s="130">
        <v>0.15211895121096841</v>
      </c>
    </row>
    <row r="77" spans="1:15" x14ac:dyDescent="0.25">
      <c r="A77" s="11" t="s">
        <v>2</v>
      </c>
      <c r="B77" s="121">
        <f t="shared" ref="B77:B79" si="23">H71-B71</f>
        <v>2.243122854650792E-2</v>
      </c>
      <c r="C77" s="121">
        <f t="shared" ref="C77:C79" si="24">I71-C71</f>
        <v>-6.9613405108678084E-2</v>
      </c>
      <c r="D77" s="121">
        <f t="shared" ref="D77:D79" si="25">J71-D71</f>
        <v>4.6741805210481602E-2</v>
      </c>
      <c r="E77" s="121">
        <f t="shared" ref="E77:E79" si="26">K71-E71</f>
        <v>4.4037135168842681E-4</v>
      </c>
      <c r="G77" s="130">
        <v>0.2641035040137934</v>
      </c>
      <c r="I77" s="251"/>
      <c r="J77" s="252" t="s">
        <v>235</v>
      </c>
      <c r="K77" s="252" t="s">
        <v>269</v>
      </c>
      <c r="L77" s="252" t="s">
        <v>270</v>
      </c>
      <c r="M77" s="252" t="s">
        <v>271</v>
      </c>
      <c r="N77" s="252" t="s">
        <v>272</v>
      </c>
      <c r="O77" s="252" t="s">
        <v>273</v>
      </c>
    </row>
    <row r="78" spans="1:15" x14ac:dyDescent="0.25">
      <c r="A78" s="11" t="s">
        <v>0</v>
      </c>
      <c r="B78" s="121">
        <f t="shared" si="23"/>
        <v>-6.9193852401232991E-2</v>
      </c>
      <c r="C78" s="121">
        <f t="shared" si="24"/>
        <v>5.7395431237452166E-2</v>
      </c>
      <c r="D78" s="121">
        <f t="shared" si="25"/>
        <v>2.2528252325227149E-2</v>
      </c>
      <c r="E78" s="121">
        <f t="shared" si="26"/>
        <v>-1.0729831161446296E-2</v>
      </c>
      <c r="G78" s="130">
        <v>0.42656418887237452</v>
      </c>
      <c r="I78" s="252" t="s">
        <v>2</v>
      </c>
      <c r="J78" s="255">
        <v>3112424</v>
      </c>
      <c r="K78" s="255">
        <v>7664736</v>
      </c>
      <c r="L78" s="255">
        <v>10777160</v>
      </c>
      <c r="M78" s="253">
        <v>8.1000000000000003E-2</v>
      </c>
      <c r="N78" s="253">
        <v>0.2</v>
      </c>
      <c r="O78" s="253">
        <v>0.28199999999999997</v>
      </c>
    </row>
    <row r="79" spans="1:15" x14ac:dyDescent="0.25">
      <c r="A79" s="11" t="s">
        <v>248</v>
      </c>
      <c r="B79" s="121">
        <f t="shared" si="23"/>
        <v>3.8582751000036941E-3</v>
      </c>
      <c r="C79" s="121">
        <f t="shared" si="24"/>
        <v>8.8447324053608778E-5</v>
      </c>
      <c r="D79" s="121">
        <f t="shared" si="25"/>
        <v>1.5839976894113428E-2</v>
      </c>
      <c r="E79" s="121">
        <f t="shared" si="26"/>
        <v>-1.9786699318170647E-2</v>
      </c>
      <c r="G79" s="130">
        <v>0.15511284714240522</v>
      </c>
      <c r="I79" s="252" t="s">
        <v>247</v>
      </c>
      <c r="J79" s="254">
        <v>477011</v>
      </c>
      <c r="K79" s="254">
        <v>1940980</v>
      </c>
      <c r="L79" s="254">
        <v>2417991</v>
      </c>
      <c r="M79" s="253">
        <v>4.9000000000000002E-2</v>
      </c>
      <c r="N79" s="253">
        <v>0.19800000000000001</v>
      </c>
      <c r="O79" s="253">
        <v>0.247</v>
      </c>
    </row>
    <row r="80" spans="1:15" x14ac:dyDescent="0.25">
      <c r="I80" s="252" t="s">
        <v>3</v>
      </c>
      <c r="J80" s="254">
        <v>676708</v>
      </c>
      <c r="K80" s="254">
        <v>2106478</v>
      </c>
      <c r="L80" s="254">
        <v>2783186</v>
      </c>
      <c r="M80" s="253">
        <v>0.06</v>
      </c>
      <c r="N80" s="253">
        <v>0.188</v>
      </c>
      <c r="O80" s="253">
        <v>0.248</v>
      </c>
    </row>
    <row r="81" spans="1:15" x14ac:dyDescent="0.25">
      <c r="A81" s="189" t="s">
        <v>266</v>
      </c>
      <c r="B81" s="227" t="s">
        <v>4</v>
      </c>
      <c r="C81" s="227" t="s">
        <v>5</v>
      </c>
      <c r="D81" s="227" t="s">
        <v>127</v>
      </c>
      <c r="E81" s="227" t="s">
        <v>89</v>
      </c>
      <c r="I81" s="252" t="s">
        <v>0</v>
      </c>
      <c r="J81" s="254">
        <v>5388332</v>
      </c>
      <c r="K81" s="254">
        <v>12235287</v>
      </c>
      <c r="L81" s="254">
        <v>17623619</v>
      </c>
      <c r="M81" s="253">
        <v>8.6999999999999994E-2</v>
      </c>
      <c r="N81" s="253">
        <v>0.19700000000000001</v>
      </c>
      <c r="O81" s="253">
        <v>0.28399999999999997</v>
      </c>
    </row>
    <row r="82" spans="1:15" x14ac:dyDescent="0.25">
      <c r="A82" s="11" t="s">
        <v>263</v>
      </c>
      <c r="B82" s="121">
        <f>B76*$G76</f>
        <v>-3.0640694308086565E-3</v>
      </c>
      <c r="C82" s="121">
        <f t="shared" ref="C82:E82" si="27">C76*$G76</f>
        <v>7.0043258866944744E-3</v>
      </c>
      <c r="D82" s="121">
        <f t="shared" si="27"/>
        <v>-3.5938310378414635E-3</v>
      </c>
      <c r="E82" s="121">
        <f t="shared" si="27"/>
        <v>-3.4642541804435524E-4</v>
      </c>
      <c r="I82" s="252" t="s">
        <v>248</v>
      </c>
      <c r="J82" s="254">
        <v>1434390</v>
      </c>
      <c r="K82" s="254">
        <v>3530126</v>
      </c>
      <c r="L82" s="254">
        <v>4964516</v>
      </c>
      <c r="M82" s="253">
        <v>6.8000000000000005E-2</v>
      </c>
      <c r="N82" s="253">
        <v>0.16700000000000001</v>
      </c>
      <c r="O82" s="253">
        <v>0.23499999999999999</v>
      </c>
    </row>
    <row r="83" spans="1:15" x14ac:dyDescent="0.25">
      <c r="A83" s="11" t="s">
        <v>2</v>
      </c>
      <c r="B83" s="121">
        <f t="shared" ref="B83:E83" si="28">B77*$G77</f>
        <v>5.9241660584669715E-3</v>
      </c>
      <c r="C83" s="121">
        <f t="shared" si="28"/>
        <v>-1.8385144215533587E-2</v>
      </c>
      <c r="D83" s="121">
        <f t="shared" si="28"/>
        <v>1.2344674540018377E-2</v>
      </c>
      <c r="E83" s="121">
        <f t="shared" si="28"/>
        <v>1.1630361704820405E-4</v>
      </c>
      <c r="I83" s="252" t="s">
        <v>9</v>
      </c>
      <c r="J83" s="255">
        <v>11088865</v>
      </c>
      <c r="K83" s="255">
        <v>27477607</v>
      </c>
      <c r="L83" s="255">
        <v>38566472</v>
      </c>
      <c r="M83" s="253">
        <v>7.8E-2</v>
      </c>
      <c r="N83" s="253">
        <v>0.193</v>
      </c>
      <c r="O83" s="253">
        <v>0.27100000000000002</v>
      </c>
    </row>
    <row r="84" spans="1:15" x14ac:dyDescent="0.25">
      <c r="A84" s="11" t="s">
        <v>0</v>
      </c>
      <c r="B84" s="121">
        <f t="shared" ref="B84:E84" si="29">B78*$G78</f>
        <v>-2.9515619524486756E-2</v>
      </c>
      <c r="C84" s="121">
        <f t="shared" si="29"/>
        <v>2.4482835570783928E-2</v>
      </c>
      <c r="D84" s="121">
        <f t="shared" si="29"/>
        <v>9.6097456798227045E-3</v>
      </c>
      <c r="E84" s="121">
        <f t="shared" si="29"/>
        <v>-4.5769617261198674E-3</v>
      </c>
    </row>
    <row r="85" spans="1:15" x14ac:dyDescent="0.25">
      <c r="A85" s="11" t="s">
        <v>248</v>
      </c>
      <c r="B85" s="121">
        <f t="shared" ref="B85:E85" si="30">B79*$G79</f>
        <v>5.9846803582022125E-4</v>
      </c>
      <c r="C85" s="121">
        <f t="shared" si="30"/>
        <v>1.3719316256082198E-5</v>
      </c>
      <c r="D85" s="121">
        <f t="shared" si="30"/>
        <v>2.4569839147158467E-3</v>
      </c>
      <c r="E85" s="121">
        <f t="shared" si="30"/>
        <v>-3.0691712667921373E-3</v>
      </c>
    </row>
    <row r="87" spans="1:15" x14ac:dyDescent="0.25">
      <c r="B87" s="121">
        <f>SUM(B82:B85)</f>
        <v>-2.6057054861008223E-2</v>
      </c>
      <c r="C87" s="121">
        <f>SUM(C82:C85)</f>
        <v>1.3115736558200898E-2</v>
      </c>
      <c r="D87" s="121">
        <f>SUM(D82:D85)</f>
        <v>2.0817573096715468E-2</v>
      </c>
      <c r="E87" s="121">
        <f>SUM(E82:E85)</f>
        <v>-7.8762547939081554E-3</v>
      </c>
    </row>
    <row r="89" spans="1:15" x14ac:dyDescent="0.25">
      <c r="J89" t="s">
        <v>214</v>
      </c>
      <c r="K89" s="124">
        <f>1-SUM(H89:J89)</f>
        <v>1</v>
      </c>
      <c r="L89" t="s">
        <v>107</v>
      </c>
      <c r="M89" s="10" t="s">
        <v>245</v>
      </c>
      <c r="N89" s="10" t="s">
        <v>246</v>
      </c>
    </row>
    <row r="90" spans="1:15" x14ac:dyDescent="0.25">
      <c r="I90" s="10" t="s">
        <v>174</v>
      </c>
      <c r="J90" s="118">
        <v>0.42656418887237452</v>
      </c>
      <c r="K90" s="118">
        <v>0.44186046511627908</v>
      </c>
      <c r="L90" s="35">
        <v>0.44</v>
      </c>
      <c r="M90" s="177">
        <f>K90-J90</f>
        <v>1.5296276243904561E-2</v>
      </c>
      <c r="N90" s="177">
        <f>L90-J90</f>
        <v>1.3435811127625485E-2</v>
      </c>
    </row>
    <row r="91" spans="1:15" x14ac:dyDescent="0.25">
      <c r="I91" s="10" t="s">
        <v>175</v>
      </c>
      <c r="J91" s="118">
        <v>0.15511284714240522</v>
      </c>
      <c r="K91" s="118">
        <v>0.15348837209302327</v>
      </c>
      <c r="L91" s="35">
        <v>0.15</v>
      </c>
      <c r="M91" s="177">
        <f t="shared" ref="M91:M92" si="31">K91-J91</f>
        <v>-1.6244750493819571E-3</v>
      </c>
      <c r="N91" s="177">
        <f t="shared" ref="N91:N92" si="32">L91-J91</f>
        <v>-5.1128471424052302E-3</v>
      </c>
    </row>
    <row r="92" spans="1:15" x14ac:dyDescent="0.25">
      <c r="I92" s="10" t="s">
        <v>181</v>
      </c>
      <c r="J92" s="118">
        <v>0.2641035040137934</v>
      </c>
      <c r="K92" s="118">
        <v>0.26013289036544851</v>
      </c>
      <c r="L92" s="35">
        <v>0.27</v>
      </c>
      <c r="M92" s="177">
        <f t="shared" si="31"/>
        <v>-3.9706136483448895E-3</v>
      </c>
      <c r="N92" s="177">
        <f t="shared" si="32"/>
        <v>5.896495986206618E-3</v>
      </c>
    </row>
    <row r="93" spans="1:15" x14ac:dyDescent="0.25">
      <c r="I93" s="10" t="s">
        <v>196</v>
      </c>
      <c r="J93" s="118">
        <v>7.4126770528285077E-2</v>
      </c>
      <c r="K93" s="118">
        <v>0.14451827242524917</v>
      </c>
      <c r="L93" s="35">
        <v>7.0000000000000007E-2</v>
      </c>
      <c r="M93" s="177">
        <f>K93-J93-J94</f>
        <v>-7.6006787857192531E-3</v>
      </c>
      <c r="N93" s="177">
        <f>L93+L94-J93-J94</f>
        <v>-2.1189512109684033E-3</v>
      </c>
    </row>
    <row r="94" spans="1:15" x14ac:dyDescent="0.25">
      <c r="I94" s="10" t="s">
        <v>203</v>
      </c>
      <c r="J94" s="118">
        <v>7.7992180682683349E-2</v>
      </c>
      <c r="L94" s="35">
        <v>0.08</v>
      </c>
      <c r="M94" s="124"/>
      <c r="N94" s="124"/>
    </row>
    <row r="96" spans="1:15" x14ac:dyDescent="0.25">
      <c r="J96" t="s">
        <v>243</v>
      </c>
    </row>
    <row r="97" spans="4:11" x14ac:dyDescent="0.25">
      <c r="I97" s="10" t="s">
        <v>174</v>
      </c>
      <c r="J97" s="225">
        <v>1330</v>
      </c>
      <c r="K97" s="124">
        <f>J97/SUM($J$97:$J$100)</f>
        <v>0.44186046511627908</v>
      </c>
    </row>
    <row r="98" spans="4:11" x14ac:dyDescent="0.25">
      <c r="I98" s="10" t="s">
        <v>175</v>
      </c>
      <c r="J98" s="225">
        <v>462</v>
      </c>
      <c r="K98" s="124">
        <f t="shared" ref="K98:K100" si="33">J98/SUM($J$97:$J$100)</f>
        <v>0.15348837209302327</v>
      </c>
    </row>
    <row r="99" spans="4:11" x14ac:dyDescent="0.25">
      <c r="D99" s="3"/>
      <c r="I99" s="10" t="s">
        <v>181</v>
      </c>
      <c r="J99" s="225">
        <v>783</v>
      </c>
      <c r="K99" s="124">
        <f t="shared" si="33"/>
        <v>0.26013289036544851</v>
      </c>
    </row>
    <row r="100" spans="4:11" x14ac:dyDescent="0.25">
      <c r="D100" s="3"/>
      <c r="I100" s="10" t="s">
        <v>244</v>
      </c>
      <c r="J100" s="225">
        <v>435</v>
      </c>
      <c r="K100" s="124">
        <f t="shared" si="33"/>
        <v>0.14451827242524917</v>
      </c>
    </row>
    <row r="101" spans="4:11" x14ac:dyDescent="0.25">
      <c r="I101" s="10"/>
      <c r="J101" s="225"/>
    </row>
    <row r="102" spans="4:11" x14ac:dyDescent="0.25">
      <c r="D102" s="3"/>
    </row>
    <row r="104" spans="4:11" x14ac:dyDescent="0.25">
      <c r="D104" s="3"/>
    </row>
    <row r="105" spans="4:11" x14ac:dyDescent="0.25">
      <c r="D105" s="3"/>
    </row>
  </sheetData>
  <mergeCells count="12">
    <mergeCell ref="L55:M55"/>
    <mergeCell ref="N55:O55"/>
    <mergeCell ref="O37:P37"/>
    <mergeCell ref="N46:P46"/>
    <mergeCell ref="M33:P33"/>
    <mergeCell ref="M1:O1"/>
    <mergeCell ref="Q1:S1"/>
    <mergeCell ref="M26:N26"/>
    <mergeCell ref="O26:P26"/>
    <mergeCell ref="M30:N30"/>
    <mergeCell ref="M22:P22"/>
    <mergeCell ref="O30:P3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66"/>
  <sheetViews>
    <sheetView topLeftCell="A73" zoomScaleNormal="100" workbookViewId="0">
      <pane xSplit="1" topLeftCell="B1" activePane="topRight" state="frozen"/>
      <selection pane="topRight" activeCell="G75" sqref="G75"/>
    </sheetView>
    <sheetView workbookViewId="1"/>
  </sheetViews>
  <sheetFormatPr defaultRowHeight="15" x14ac:dyDescent="0.25"/>
  <cols>
    <col min="1" max="1" width="7" style="6" bestFit="1" customWidth="1"/>
    <col min="2" max="2" width="12.85546875" style="6" bestFit="1" customWidth="1"/>
    <col min="3" max="3" width="14.85546875" style="6" bestFit="1" customWidth="1"/>
    <col min="4" max="4" width="13.28515625" style="6" bestFit="1" customWidth="1"/>
    <col min="5" max="5" width="8.140625" style="6" bestFit="1" customWidth="1"/>
    <col min="6" max="6" width="3.5703125" style="6" customWidth="1"/>
    <col min="7" max="8" width="12" style="6" bestFit="1" customWidth="1"/>
    <col min="9" max="11" width="9.140625" style="6"/>
    <col min="12" max="12" width="12.140625" style="6" bestFit="1" customWidth="1"/>
    <col min="13" max="16384" width="9.140625" style="6"/>
  </cols>
  <sheetData>
    <row r="1" spans="1:23" s="65" customFormat="1" ht="18.75" x14ac:dyDescent="0.3">
      <c r="A1" s="20" t="s">
        <v>44</v>
      </c>
      <c r="B1" s="70"/>
      <c r="C1" s="70"/>
      <c r="D1" s="240" t="s">
        <v>45</v>
      </c>
      <c r="E1" s="240"/>
      <c r="F1" s="70"/>
      <c r="G1" s="239" t="s">
        <v>27</v>
      </c>
      <c r="H1" s="234"/>
      <c r="I1" s="76"/>
      <c r="J1" s="70" t="s">
        <v>31</v>
      </c>
      <c r="K1" s="70"/>
      <c r="L1" s="70"/>
      <c r="M1" s="70"/>
      <c r="N1" s="70"/>
      <c r="O1" s="238" t="s">
        <v>36</v>
      </c>
      <c r="P1" s="238"/>
      <c r="Q1" s="70"/>
      <c r="R1" s="70"/>
      <c r="S1" s="70"/>
      <c r="T1" s="70"/>
      <c r="U1" s="70"/>
      <c r="V1" s="70"/>
      <c r="W1" s="70"/>
    </row>
    <row r="2" spans="1:23" s="65" customFormat="1" x14ac:dyDescent="0.25">
      <c r="A2" s="90" t="s">
        <v>75</v>
      </c>
      <c r="B2" s="70"/>
      <c r="C2" s="70"/>
      <c r="D2" t="s">
        <v>41</v>
      </c>
      <c r="E2" t="s">
        <v>8</v>
      </c>
      <c r="F2" s="70"/>
      <c r="G2" s="71" t="s">
        <v>4</v>
      </c>
      <c r="H2" s="71" t="s">
        <v>24</v>
      </c>
      <c r="I2" s="76"/>
      <c r="J2" s="70" t="s">
        <v>4</v>
      </c>
      <c r="K2" s="70" t="s">
        <v>5</v>
      </c>
      <c r="L2" s="70" t="s">
        <v>32</v>
      </c>
      <c r="M2" s="70" t="s">
        <v>33</v>
      </c>
      <c r="N2" s="70"/>
      <c r="O2" s="70" t="s">
        <v>4</v>
      </c>
      <c r="P2" s="70" t="s">
        <v>5</v>
      </c>
      <c r="Q2" s="70"/>
      <c r="R2" s="70" t="s">
        <v>4</v>
      </c>
      <c r="S2" s="70" t="s">
        <v>5</v>
      </c>
      <c r="T2" s="70"/>
      <c r="U2" s="70" t="s">
        <v>4</v>
      </c>
      <c r="V2" s="70" t="s">
        <v>5</v>
      </c>
      <c r="W2" s="70"/>
    </row>
    <row r="3" spans="1:23" s="65" customFormat="1" x14ac:dyDescent="0.25">
      <c r="A3" s="71" t="s">
        <v>0</v>
      </c>
      <c r="B3" s="70"/>
      <c r="C3" s="70"/>
      <c r="D3" s="9">
        <v>43450786</v>
      </c>
      <c r="E3" s="15">
        <f t="shared" ref="E3:E8" si="0">D3/$D$86</f>
        <v>0.43743932904282745</v>
      </c>
      <c r="F3" s="70"/>
      <c r="G3" s="14">
        <v>51.876380326008373</v>
      </c>
      <c r="H3" s="14">
        <v>48.123619673991627</v>
      </c>
      <c r="I3" s="70"/>
      <c r="J3" s="73">
        <v>34</v>
      </c>
      <c r="K3" s="73">
        <v>49</v>
      </c>
      <c r="L3" s="73">
        <v>12</v>
      </c>
      <c r="M3" s="73">
        <v>5</v>
      </c>
      <c r="N3" s="70"/>
      <c r="O3" s="77">
        <f>J3/(J3+K3)</f>
        <v>0.40963855421686746</v>
      </c>
      <c r="P3" s="77">
        <f>1-O3</f>
        <v>0.59036144578313254</v>
      </c>
      <c r="Q3" s="70">
        <f>SUM(L3:M3)-SUM($L$69:$M$69)</f>
        <v>9</v>
      </c>
      <c r="R3" s="92">
        <f>Q3*0.333+J3</f>
        <v>36.997</v>
      </c>
      <c r="S3" s="92">
        <f>Q3*0.6666+K3</f>
        <v>54.999400000000001</v>
      </c>
      <c r="T3" s="70"/>
      <c r="U3" s="77">
        <f>R3/(R3+S3)</f>
        <v>0.4021570409276885</v>
      </c>
      <c r="V3" s="77">
        <f>1-U3</f>
        <v>0.59784295907231155</v>
      </c>
      <c r="W3" s="70"/>
    </row>
    <row r="4" spans="1:23" s="65" customFormat="1" x14ac:dyDescent="0.25">
      <c r="A4" s="71" t="s">
        <v>1</v>
      </c>
      <c r="B4" s="70"/>
      <c r="C4" s="70"/>
      <c r="D4" s="9">
        <v>15760631</v>
      </c>
      <c r="E4" s="15">
        <f t="shared" si="0"/>
        <v>0.15866962337416834</v>
      </c>
      <c r="F4" s="70"/>
      <c r="G4" s="14">
        <v>46.109023172993517</v>
      </c>
      <c r="H4" s="14">
        <v>53.89097682700649</v>
      </c>
      <c r="I4" s="70"/>
      <c r="J4" s="75">
        <v>41</v>
      </c>
      <c r="K4" s="75">
        <v>37</v>
      </c>
      <c r="L4" s="75">
        <v>12</v>
      </c>
      <c r="M4" s="75">
        <v>10</v>
      </c>
      <c r="N4" s="70"/>
      <c r="O4" s="78">
        <f>J4/(J4+K4)</f>
        <v>0.52564102564102566</v>
      </c>
      <c r="P4" s="78">
        <f t="shared" ref="P4:P5" si="1">1-O4</f>
        <v>0.47435897435897434</v>
      </c>
      <c r="Q4" s="70">
        <f>SUM(L4:M4)-SUM($L$69:$M$69)</f>
        <v>14</v>
      </c>
      <c r="R4" s="93">
        <f t="shared" ref="R4:R5" si="2">Q4*0.333+J4</f>
        <v>45.661999999999999</v>
      </c>
      <c r="S4" s="93">
        <f t="shared" ref="S4:S5" si="3">Q4*0.6666+K4</f>
        <v>46.3324</v>
      </c>
      <c r="T4" s="70"/>
      <c r="U4" s="78">
        <f t="shared" ref="U4:U5" si="4">R4/(R4+S4)</f>
        <v>0.49635629994869251</v>
      </c>
      <c r="V4" s="78">
        <f t="shared" ref="V4:V5" si="5">1-U4</f>
        <v>0.50364370005130743</v>
      </c>
      <c r="W4" s="70"/>
    </row>
    <row r="5" spans="1:23" s="65" customFormat="1" x14ac:dyDescent="0.25">
      <c r="A5" s="71" t="s">
        <v>2</v>
      </c>
      <c r="B5" s="70"/>
      <c r="C5" s="70"/>
      <c r="D5" s="9">
        <v>26077771</v>
      </c>
      <c r="E5" s="15">
        <f t="shared" si="0"/>
        <v>0.26253708389009361</v>
      </c>
      <c r="F5" s="70"/>
      <c r="G5" s="14">
        <v>70.578842800636593</v>
      </c>
      <c r="H5" s="14">
        <v>29.421157199363396</v>
      </c>
      <c r="I5" s="70"/>
      <c r="J5" s="74">
        <v>60</v>
      </c>
      <c r="K5" s="74">
        <v>28</v>
      </c>
      <c r="L5" s="74">
        <v>8</v>
      </c>
      <c r="M5" s="74">
        <v>4</v>
      </c>
      <c r="N5" s="70"/>
      <c r="O5" s="79">
        <f>J5/(J5+K5)</f>
        <v>0.68181818181818177</v>
      </c>
      <c r="P5" s="79">
        <f t="shared" si="1"/>
        <v>0.31818181818181823</v>
      </c>
      <c r="Q5" s="70">
        <f>SUM(L5:M5)-SUM($L$69:$M$69)</f>
        <v>4</v>
      </c>
      <c r="R5" s="94">
        <f t="shared" si="2"/>
        <v>61.332000000000001</v>
      </c>
      <c r="S5" s="94">
        <f t="shared" si="3"/>
        <v>30.666399999999999</v>
      </c>
      <c r="T5" s="70"/>
      <c r="U5" s="79">
        <f t="shared" si="4"/>
        <v>0.66666376806553151</v>
      </c>
      <c r="V5" s="79">
        <f t="shared" si="5"/>
        <v>0.33333623193446849</v>
      </c>
      <c r="W5" s="70"/>
    </row>
    <row r="6" spans="1:23" s="65" customFormat="1" x14ac:dyDescent="0.25">
      <c r="A6" s="71" t="s">
        <v>3</v>
      </c>
      <c r="B6" s="70"/>
      <c r="C6" s="70"/>
      <c r="D6" s="9">
        <v>7008759</v>
      </c>
      <c r="E6" s="15">
        <f t="shared" si="0"/>
        <v>7.0560445888893208E-2</v>
      </c>
      <c r="F6" s="70"/>
      <c r="G6" s="14">
        <v>49.079758627739942</v>
      </c>
      <c r="H6" s="14">
        <v>50.920241372260058</v>
      </c>
      <c r="I6" s="70"/>
      <c r="J6" s="70">
        <v>40</v>
      </c>
      <c r="K6" s="70">
        <v>48</v>
      </c>
      <c r="L6" s="70">
        <v>9</v>
      </c>
      <c r="M6" s="70">
        <v>3</v>
      </c>
      <c r="N6" s="70"/>
      <c r="O6" s="27">
        <f>J6/(J6+K6)</f>
        <v>0.45454545454545453</v>
      </c>
      <c r="P6" s="27">
        <f t="shared" ref="P6:P7" si="6">1-O6</f>
        <v>0.54545454545454541</v>
      </c>
      <c r="Q6" s="70"/>
      <c r="R6" s="70"/>
      <c r="S6" s="70"/>
      <c r="T6" s="70"/>
      <c r="U6" s="70"/>
      <c r="V6" s="70"/>
      <c r="W6" s="70"/>
    </row>
    <row r="7" spans="1:23" s="65" customFormat="1" ht="15.75" thickBot="1" x14ac:dyDescent="0.3">
      <c r="A7" s="71" t="s">
        <v>6</v>
      </c>
      <c r="B7" s="70"/>
      <c r="C7" s="70"/>
      <c r="D7" s="9">
        <v>7031910</v>
      </c>
      <c r="E7" s="15">
        <f t="shared" si="0"/>
        <v>7.0793517804017381E-2</v>
      </c>
      <c r="F7" s="70"/>
      <c r="G7" s="14">
        <v>57.429062658651773</v>
      </c>
      <c r="H7" s="14">
        <v>42.570937341348227</v>
      </c>
      <c r="I7" s="70"/>
      <c r="J7" s="70">
        <v>53</v>
      </c>
      <c r="K7" s="70">
        <v>35</v>
      </c>
      <c r="L7" s="70">
        <v>6</v>
      </c>
      <c r="M7" s="70">
        <v>6</v>
      </c>
      <c r="N7" s="70"/>
      <c r="O7" s="27">
        <f>J7/(J7+K7)</f>
        <v>0.60227272727272729</v>
      </c>
      <c r="P7" s="27">
        <f t="shared" si="6"/>
        <v>0.39772727272727271</v>
      </c>
      <c r="Q7" s="70"/>
      <c r="R7" s="70"/>
      <c r="S7" s="70"/>
      <c r="T7" s="70"/>
      <c r="U7" s="70"/>
      <c r="V7" s="70"/>
      <c r="W7" s="70"/>
    </row>
    <row r="8" spans="1:23" s="65" customFormat="1" ht="15.75" thickBot="1" x14ac:dyDescent="0.3">
      <c r="A8" s="22" t="s">
        <v>34</v>
      </c>
      <c r="B8" s="23"/>
      <c r="C8" s="23"/>
      <c r="D8" s="24">
        <f>SUM(D6:D7,D3:D5)</f>
        <v>99329857</v>
      </c>
      <c r="E8" s="25">
        <f t="shared" si="0"/>
        <v>1</v>
      </c>
      <c r="F8" s="23"/>
      <c r="G8" s="28">
        <v>56.05</v>
      </c>
      <c r="H8" s="28">
        <v>43.95</v>
      </c>
      <c r="I8" s="23"/>
      <c r="J8" s="23">
        <v>44</v>
      </c>
      <c r="K8" s="23">
        <v>40</v>
      </c>
      <c r="L8" s="23">
        <v>10</v>
      </c>
      <c r="M8" s="26">
        <v>5</v>
      </c>
      <c r="N8" s="70"/>
      <c r="O8" s="72">
        <f>E7*O7+O6*E6+O5*E5+O4*E4+O3*E3</f>
        <v>0.51630777006351747</v>
      </c>
      <c r="P8" s="72">
        <f>E7*P7+P6*E6+P5*E5+P4*E4+P3*E3</f>
        <v>0.48369222993648259</v>
      </c>
      <c r="Q8" s="70"/>
      <c r="R8" s="29"/>
      <c r="S8" s="29"/>
      <c r="T8" s="70"/>
      <c r="U8" s="48">
        <f>U9*E9+U5*E5+U4*E4+U3*E3</f>
        <v>0.50320944986374316</v>
      </c>
      <c r="V8" s="48">
        <f>1-U8</f>
        <v>0.49679055013625684</v>
      </c>
      <c r="W8" s="49">
        <f>U8-V8</f>
        <v>6.4188997274863269E-3</v>
      </c>
    </row>
    <row r="9" spans="1:23" s="70" customFormat="1" x14ac:dyDescent="0.25">
      <c r="A9" s="71" t="s">
        <v>35</v>
      </c>
      <c r="D9" s="9">
        <v>14040669</v>
      </c>
      <c r="E9" s="15">
        <v>0.14135396369291059</v>
      </c>
      <c r="G9" s="14">
        <v>56.87706398315018</v>
      </c>
      <c r="H9" s="14">
        <v>43.122936016849827</v>
      </c>
      <c r="J9" s="91">
        <f>SUMPRODUCT(J6:J7,$E$6:$E$7)/SUM($E$6:$E$7)</f>
        <v>46.510717544869124</v>
      </c>
      <c r="K9" s="91">
        <f>SUMPRODUCT(K6:K7,$E$6:$E$7)/SUM($E$6:$E$7)</f>
        <v>41.489282455130876</v>
      </c>
      <c r="L9" s="91">
        <f>SUMPRODUCT(L6:L7,$E$6:$E$7)/SUM($E$6:$E$7)</f>
        <v>7.4975267204148182</v>
      </c>
      <c r="M9" s="91">
        <f>SUMPRODUCT(M6:M7,$E$6:$E$7)/SUM($E$6:$E$7)</f>
        <v>4.5024732795851818</v>
      </c>
      <c r="O9" s="27"/>
      <c r="P9" s="27"/>
      <c r="Q9" s="70">
        <f>SUM(L9:M9)-SUM($L$69:$M$69)</f>
        <v>4</v>
      </c>
      <c r="R9" s="29">
        <f t="shared" ref="R9" si="7">Q9*0.333+J9</f>
        <v>47.842717544869124</v>
      </c>
      <c r="S9" s="29">
        <f t="shared" ref="S9" si="8">Q9*0.6666+K9</f>
        <v>44.155682455130879</v>
      </c>
      <c r="U9" s="27">
        <f t="shared" ref="U9" si="9">R9/(R9+S9)</f>
        <v>0.52003858268045011</v>
      </c>
      <c r="V9" s="27">
        <f t="shared" ref="V9" si="10">1-U9</f>
        <v>0.47996141731954989</v>
      </c>
    </row>
    <row r="10" spans="1:23" s="70" customFormat="1" x14ac:dyDescent="0.25">
      <c r="A10" s="85"/>
      <c r="B10" s="86"/>
      <c r="C10" s="86"/>
      <c r="D10" s="87"/>
      <c r="E10" s="88"/>
      <c r="F10" s="86"/>
      <c r="G10" s="89"/>
      <c r="H10" s="89"/>
      <c r="I10" s="86"/>
      <c r="J10" s="86"/>
      <c r="K10" s="86"/>
      <c r="L10" s="86"/>
      <c r="M10" s="86"/>
      <c r="O10" s="72"/>
      <c r="P10" s="72"/>
      <c r="R10" s="29"/>
      <c r="S10" s="29"/>
      <c r="U10" s="48"/>
      <c r="V10" s="48"/>
      <c r="W10" s="49"/>
    </row>
    <row r="11" spans="1:23" s="70" customFormat="1" x14ac:dyDescent="0.25">
      <c r="A11" s="85"/>
      <c r="B11" s="86"/>
      <c r="C11" s="86"/>
      <c r="D11" s="87"/>
      <c r="E11" s="88"/>
      <c r="F11" s="86"/>
      <c r="G11" s="89"/>
      <c r="H11" s="89"/>
      <c r="I11" s="86"/>
      <c r="J11" s="86"/>
      <c r="K11" s="86"/>
      <c r="L11" s="86"/>
      <c r="M11" s="86"/>
      <c r="O11" s="72"/>
      <c r="P11" s="72"/>
      <c r="R11" s="29"/>
      <c r="S11" s="29"/>
      <c r="U11" s="48"/>
      <c r="V11" s="48"/>
      <c r="W11" s="49"/>
    </row>
    <row r="12" spans="1:23" s="70" customFormat="1" x14ac:dyDescent="0.25">
      <c r="A12" s="85"/>
      <c r="B12" s="86"/>
      <c r="C12" s="86"/>
      <c r="D12" s="87"/>
      <c r="E12" s="88"/>
      <c r="F12" s="86"/>
      <c r="G12" s="89"/>
      <c r="H12" s="89"/>
      <c r="I12" s="86"/>
      <c r="J12" s="86"/>
      <c r="K12" s="86"/>
      <c r="L12" s="86"/>
      <c r="M12" s="86"/>
      <c r="O12" s="72"/>
      <c r="P12" s="72"/>
      <c r="R12" s="29"/>
      <c r="S12" s="29"/>
      <c r="U12" s="48"/>
      <c r="V12" s="48"/>
      <c r="W12" s="49"/>
    </row>
    <row r="13" spans="1:23" s="70" customFormat="1" ht="18.75" x14ac:dyDescent="0.3">
      <c r="A13" s="20" t="s">
        <v>44</v>
      </c>
      <c r="D13" s="240" t="s">
        <v>45</v>
      </c>
      <c r="E13" s="240"/>
      <c r="G13" s="239" t="s">
        <v>27</v>
      </c>
      <c r="H13" s="239"/>
      <c r="J13" s="70" t="s">
        <v>31</v>
      </c>
      <c r="O13" s="238" t="s">
        <v>36</v>
      </c>
      <c r="P13" s="238"/>
    </row>
    <row r="14" spans="1:23" s="70" customFormat="1" x14ac:dyDescent="0.25">
      <c r="A14" s="90" t="s">
        <v>76</v>
      </c>
      <c r="D14" t="s">
        <v>41</v>
      </c>
      <c r="E14" t="s">
        <v>8</v>
      </c>
      <c r="G14" s="71" t="s">
        <v>4</v>
      </c>
      <c r="H14" s="71" t="s">
        <v>24</v>
      </c>
      <c r="J14" s="70" t="s">
        <v>4</v>
      </c>
      <c r="K14" s="70" t="s">
        <v>5</v>
      </c>
      <c r="L14" s="70" t="s">
        <v>32</v>
      </c>
      <c r="M14" s="70" t="s">
        <v>33</v>
      </c>
      <c r="O14" s="70" t="s">
        <v>4</v>
      </c>
      <c r="P14" s="70" t="s">
        <v>5</v>
      </c>
      <c r="V14" s="30"/>
    </row>
    <row r="15" spans="1:23" s="70" customFormat="1" x14ac:dyDescent="0.25">
      <c r="A15" s="71" t="s">
        <v>0</v>
      </c>
      <c r="D15" s="9">
        <v>43450786</v>
      </c>
      <c r="E15" s="15">
        <f>D15/$D$86</f>
        <v>0.43743932904282745</v>
      </c>
      <c r="G15" s="14">
        <v>51.876380326008373</v>
      </c>
      <c r="H15" s="14">
        <v>48.123619673991627</v>
      </c>
      <c r="J15" s="73">
        <v>36</v>
      </c>
      <c r="K15" s="73">
        <v>48</v>
      </c>
      <c r="L15" s="73">
        <v>12</v>
      </c>
      <c r="M15" s="73">
        <v>4</v>
      </c>
      <c r="O15" s="77">
        <f t="shared" ref="O15:O20" si="11">J15/(J15+K15)</f>
        <v>0.42857142857142855</v>
      </c>
      <c r="P15" s="77">
        <f>1-O15</f>
        <v>0.5714285714285714</v>
      </c>
      <c r="Q15" s="70">
        <f>SUM(L15:M15)-SUM($L$80:$M$80)</f>
        <v>6</v>
      </c>
      <c r="R15" s="29">
        <f>Q15*0.333+J15</f>
        <v>37.997999999999998</v>
      </c>
      <c r="S15" s="29">
        <f>Q15*0.6666+K15</f>
        <v>51.999600000000001</v>
      </c>
      <c r="U15" s="33">
        <f>R15/(R15+S15)</f>
        <v>0.42221125896690576</v>
      </c>
      <c r="V15" s="27">
        <f>1-U15</f>
        <v>0.57778874103309419</v>
      </c>
    </row>
    <row r="16" spans="1:23" s="65" customFormat="1" x14ac:dyDescent="0.25">
      <c r="A16" s="71" t="s">
        <v>1</v>
      </c>
      <c r="B16" s="70"/>
      <c r="C16" s="70"/>
      <c r="D16" s="9">
        <v>15760631</v>
      </c>
      <c r="E16" s="15">
        <f>D16/$D$86</f>
        <v>0.15866962337416834</v>
      </c>
      <c r="F16" s="70"/>
      <c r="G16" s="14">
        <v>46.109023172993517</v>
      </c>
      <c r="H16" s="14">
        <v>53.89097682700649</v>
      </c>
      <c r="I16" s="70"/>
      <c r="J16" s="75">
        <v>39</v>
      </c>
      <c r="K16" s="75">
        <v>43</v>
      </c>
      <c r="L16" s="75">
        <v>9</v>
      </c>
      <c r="M16" s="75">
        <v>10</v>
      </c>
      <c r="N16" s="70"/>
      <c r="O16" s="78">
        <f t="shared" si="11"/>
        <v>0.47560975609756095</v>
      </c>
      <c r="P16" s="78">
        <f t="shared" ref="P16:P20" si="12">1-O16</f>
        <v>0.52439024390243905</v>
      </c>
      <c r="Q16" s="70">
        <f>SUM(L16:M16)-SUM($L$80:$M$80)</f>
        <v>9</v>
      </c>
      <c r="R16" s="29">
        <f t="shared" ref="R16:R18" si="13">Q16*0.333+J16</f>
        <v>41.997</v>
      </c>
      <c r="S16" s="29">
        <f t="shared" ref="S16:S18" si="14">Q16*0.6666+K16</f>
        <v>48.999400000000001</v>
      </c>
      <c r="T16" s="70"/>
      <c r="U16" s="27">
        <f t="shared" ref="U16:U17" si="15">R16/(R16+S16)</f>
        <v>0.46152375258801448</v>
      </c>
      <c r="V16" s="27">
        <f t="shared" ref="V16:V17" si="16">1-U16</f>
        <v>0.53847624741198552</v>
      </c>
      <c r="W16" s="70"/>
    </row>
    <row r="17" spans="1:24" s="65" customFormat="1" x14ac:dyDescent="0.25">
      <c r="A17" s="71" t="s">
        <v>2</v>
      </c>
      <c r="B17" s="70"/>
      <c r="C17" s="70"/>
      <c r="D17" s="9">
        <v>26077771</v>
      </c>
      <c r="E17" s="15">
        <f>D17/$D$86</f>
        <v>0.26253708389009361</v>
      </c>
      <c r="F17" s="70"/>
      <c r="G17" s="14">
        <v>70.578842800636593</v>
      </c>
      <c r="H17" s="14">
        <v>29.421157199363396</v>
      </c>
      <c r="I17" s="70"/>
      <c r="J17" s="74">
        <v>66</v>
      </c>
      <c r="K17" s="74">
        <v>21</v>
      </c>
      <c r="L17" s="74">
        <v>10</v>
      </c>
      <c r="M17" s="74">
        <v>3</v>
      </c>
      <c r="N17" s="70"/>
      <c r="O17" s="79">
        <f t="shared" si="11"/>
        <v>0.75862068965517238</v>
      </c>
      <c r="P17" s="79">
        <f t="shared" si="12"/>
        <v>0.24137931034482762</v>
      </c>
      <c r="Q17" s="70">
        <f>SUM(L17:M17)-SUM($L$80:$M$80)</f>
        <v>3</v>
      </c>
      <c r="R17" s="29">
        <f t="shared" si="13"/>
        <v>66.998999999999995</v>
      </c>
      <c r="S17" s="29">
        <f t="shared" si="14"/>
        <v>22.9998</v>
      </c>
      <c r="T17" s="70"/>
      <c r="U17" s="27">
        <f t="shared" si="15"/>
        <v>0.74444325924345667</v>
      </c>
      <c r="V17" s="27">
        <f t="shared" si="16"/>
        <v>0.25555674075654333</v>
      </c>
      <c r="W17" s="70"/>
    </row>
    <row r="18" spans="1:24" x14ac:dyDescent="0.25">
      <c r="A18" s="71" t="s">
        <v>35</v>
      </c>
      <c r="B18" s="70"/>
      <c r="C18" s="70"/>
      <c r="D18" s="9">
        <v>14040669</v>
      </c>
      <c r="E18" s="15">
        <v>0.14135396369291059</v>
      </c>
      <c r="F18" s="70"/>
      <c r="G18" s="14">
        <v>56.87706398315018</v>
      </c>
      <c r="H18" s="14">
        <v>43.122936016849827</v>
      </c>
      <c r="I18" s="70"/>
      <c r="J18" s="91">
        <f>SUMPRODUCT(J19:J20,$E$6:$E$7)/SUM($E$6:$E$7)</f>
        <v>47.510717544869124</v>
      </c>
      <c r="K18" s="91">
        <f>SUMPRODUCT(K19:K20,$E$6:$E$7)/SUM($E$6:$E$7)</f>
        <v>40.489282455130869</v>
      </c>
      <c r="L18" s="91">
        <f>SUMPRODUCT(L19:L20,$E$6:$E$7)/SUM($E$6:$E$7)</f>
        <v>7</v>
      </c>
      <c r="M18" s="91">
        <f>SUMPRODUCT(M19:M20,$E$6:$E$7)/SUM($E$6:$E$7)</f>
        <v>4.5008244265283937</v>
      </c>
      <c r="N18" s="70"/>
      <c r="O18" s="27">
        <f t="shared" si="11"/>
        <v>0.53989451755533091</v>
      </c>
      <c r="P18" s="27">
        <f t="shared" ref="P18" si="17">1-O18</f>
        <v>0.46010548244466909</v>
      </c>
      <c r="Q18" s="70">
        <f>SUM(L18:M18)-SUM($L$69:$M$69)</f>
        <v>3.5008244265283928</v>
      </c>
      <c r="R18" s="29">
        <f t="shared" si="13"/>
        <v>48.676492078903081</v>
      </c>
      <c r="S18" s="29">
        <f t="shared" si="14"/>
        <v>42.822932017854697</v>
      </c>
      <c r="T18" s="70"/>
      <c r="U18" s="70"/>
      <c r="V18" s="70"/>
      <c r="W18" s="70"/>
    </row>
    <row r="19" spans="1:24" x14ac:dyDescent="0.25">
      <c r="A19" s="71" t="s">
        <v>3</v>
      </c>
      <c r="B19" s="70"/>
      <c r="C19" s="70"/>
      <c r="D19" s="9">
        <v>7008759</v>
      </c>
      <c r="E19" s="15">
        <f>D19/$D$86</f>
        <v>7.0560445888893208E-2</v>
      </c>
      <c r="F19" s="70"/>
      <c r="G19" s="14">
        <v>49.079758627739942</v>
      </c>
      <c r="H19" s="14">
        <v>50.920241372260058</v>
      </c>
      <c r="I19" s="70"/>
      <c r="J19" s="70">
        <v>41</v>
      </c>
      <c r="K19" s="70">
        <v>47</v>
      </c>
      <c r="L19" s="70">
        <v>7</v>
      </c>
      <c r="M19" s="70">
        <v>4</v>
      </c>
      <c r="N19" s="70"/>
      <c r="O19" s="27">
        <f t="shared" si="11"/>
        <v>0.46590909090909088</v>
      </c>
      <c r="P19" s="27">
        <f t="shared" si="12"/>
        <v>0.53409090909090917</v>
      </c>
      <c r="Q19" s="70"/>
      <c r="R19" s="70"/>
      <c r="S19" s="70"/>
      <c r="T19" s="70"/>
      <c r="U19" s="70"/>
      <c r="V19" s="70"/>
      <c r="W19" s="70"/>
    </row>
    <row r="20" spans="1:24" ht="15.75" thickBot="1" x14ac:dyDescent="0.3">
      <c r="A20" s="71" t="s">
        <v>6</v>
      </c>
      <c r="B20" s="70"/>
      <c r="C20" s="70"/>
      <c r="D20" s="9">
        <v>7031910</v>
      </c>
      <c r="E20" s="15">
        <f>D20/$D$86</f>
        <v>7.0793517804017381E-2</v>
      </c>
      <c r="F20" s="70"/>
      <c r="G20" s="14">
        <v>57.429062658651773</v>
      </c>
      <c r="H20" s="14">
        <v>42.570937341348227</v>
      </c>
      <c r="I20" s="70"/>
      <c r="J20" s="70">
        <v>54</v>
      </c>
      <c r="K20" s="70">
        <v>34</v>
      </c>
      <c r="L20" s="70">
        <v>7</v>
      </c>
      <c r="M20" s="70">
        <v>5</v>
      </c>
      <c r="N20" s="70"/>
      <c r="O20" s="27">
        <f t="shared" si="11"/>
        <v>0.61363636363636365</v>
      </c>
      <c r="P20" s="27">
        <f t="shared" si="12"/>
        <v>0.38636363636363635</v>
      </c>
      <c r="Q20" s="70"/>
      <c r="R20" s="70"/>
      <c r="S20" s="70"/>
      <c r="T20" s="70"/>
      <c r="U20" s="48" t="e">
        <f>#REF!*#REF!+U17*E17+U16*E16+U15*E15</f>
        <v>#REF!</v>
      </c>
      <c r="V20" s="48" t="e">
        <f>1-U20</f>
        <v>#REF!</v>
      </c>
      <c r="W20" s="49" t="e">
        <f>U20-V20</f>
        <v>#REF!</v>
      </c>
    </row>
    <row r="21" spans="1:24" ht="15.75" thickBot="1" x14ac:dyDescent="0.3">
      <c r="A21" s="22" t="s">
        <v>34</v>
      </c>
      <c r="B21" s="23"/>
      <c r="C21" s="23"/>
      <c r="D21" s="24">
        <f>SUM(D19:D20,D15:D17)</f>
        <v>99329857</v>
      </c>
      <c r="E21" s="25">
        <f>D21/$D$86</f>
        <v>1</v>
      </c>
      <c r="F21" s="23"/>
      <c r="G21" s="28">
        <v>56.05</v>
      </c>
      <c r="H21" s="28">
        <v>43.95</v>
      </c>
      <c r="I21" s="23"/>
      <c r="J21" s="23">
        <v>46</v>
      </c>
      <c r="K21" s="23">
        <v>39</v>
      </c>
      <c r="L21" s="23">
        <v>10</v>
      </c>
      <c r="M21" s="26">
        <v>5</v>
      </c>
      <c r="N21" s="70"/>
      <c r="O21" s="72">
        <f>E20*O20+O19*E19+O17*E17+O16*E16+O15*E15</f>
        <v>0.5384211127075702</v>
      </c>
      <c r="P21" s="72">
        <f>E20*P20+P19*E19+P17*E17+P16*E16+P15*E15</f>
        <v>0.4615788872924298</v>
      </c>
      <c r="Q21" s="70"/>
      <c r="R21" s="29"/>
      <c r="S21" s="29"/>
      <c r="T21" s="70"/>
      <c r="U21" s="48"/>
      <c r="V21" s="48"/>
      <c r="W21" s="49"/>
    </row>
    <row r="22" spans="1:24" s="117" customFormat="1" x14ac:dyDescent="0.25">
      <c r="A22" s="85"/>
      <c r="B22" s="86"/>
      <c r="C22" s="86"/>
      <c r="D22" s="87"/>
      <c r="E22" s="88"/>
      <c r="F22" s="86"/>
      <c r="G22" s="89"/>
      <c r="H22" s="89"/>
      <c r="I22" s="86"/>
      <c r="J22" s="86"/>
      <c r="K22" s="86"/>
      <c r="L22" s="86"/>
      <c r="M22" s="86"/>
      <c r="O22" s="72"/>
      <c r="P22" s="72"/>
      <c r="R22" s="29"/>
      <c r="S22" s="29"/>
      <c r="U22" s="48"/>
      <c r="V22" s="48"/>
      <c r="W22" s="49"/>
    </row>
    <row r="23" spans="1:24" x14ac:dyDescent="0.25">
      <c r="A23" s="85"/>
      <c r="B23" s="86"/>
      <c r="C23" s="86"/>
      <c r="D23" s="87"/>
      <c r="E23" s="88"/>
      <c r="F23" s="86"/>
      <c r="G23" s="89"/>
      <c r="H23" s="89"/>
      <c r="I23" s="86"/>
      <c r="J23" s="86"/>
      <c r="K23" s="86"/>
      <c r="L23" s="86"/>
      <c r="M23" s="86"/>
      <c r="N23" s="70"/>
      <c r="O23" s="72"/>
      <c r="P23" s="72"/>
      <c r="Q23" s="70"/>
      <c r="R23" s="29"/>
      <c r="S23" s="29"/>
      <c r="T23" s="70"/>
      <c r="U23" s="48"/>
      <c r="V23" s="48"/>
      <c r="W23" s="49"/>
    </row>
    <row r="24" spans="1:24" s="117" customFormat="1" ht="18.75" x14ac:dyDescent="0.3">
      <c r="A24" s="20" t="s">
        <v>58</v>
      </c>
      <c r="D24" s="240" t="s">
        <v>45</v>
      </c>
      <c r="E24" s="240"/>
      <c r="G24" s="239" t="s">
        <v>27</v>
      </c>
      <c r="H24" s="234"/>
      <c r="J24" s="117" t="s">
        <v>31</v>
      </c>
      <c r="O24" s="238" t="s">
        <v>36</v>
      </c>
      <c r="P24" s="238"/>
      <c r="V24" s="30"/>
    </row>
    <row r="25" spans="1:24" s="117" customFormat="1" x14ac:dyDescent="0.25">
      <c r="A25" s="90" t="s">
        <v>98</v>
      </c>
      <c r="D25" t="s">
        <v>41</v>
      </c>
      <c r="E25" t="s">
        <v>8</v>
      </c>
      <c r="G25" s="116" t="s">
        <v>4</v>
      </c>
      <c r="H25" s="116" t="s">
        <v>24</v>
      </c>
      <c r="J25" s="117" t="s">
        <v>4</v>
      </c>
      <c r="K25" s="117" t="s">
        <v>5</v>
      </c>
      <c r="L25" s="117" t="s">
        <v>32</v>
      </c>
      <c r="M25" s="117" t="s">
        <v>33</v>
      </c>
      <c r="O25" s="117" t="s">
        <v>4</v>
      </c>
      <c r="P25" s="117" t="s">
        <v>5</v>
      </c>
      <c r="U25" s="33">
        <f>R26/(R26+S26)</f>
        <v>0.42589695267219008</v>
      </c>
      <c r="V25" s="27">
        <f>1-U25</f>
        <v>0.57410304732780992</v>
      </c>
      <c r="W25" s="81"/>
      <c r="X25" s="81"/>
    </row>
    <row r="26" spans="1:24" s="117" customFormat="1" x14ac:dyDescent="0.25">
      <c r="A26" s="116" t="s">
        <v>0</v>
      </c>
      <c r="D26" s="9">
        <v>43450786</v>
      </c>
      <c r="E26" s="15">
        <f>D26/$D$86</f>
        <v>0.43743932904282745</v>
      </c>
      <c r="G26" s="14">
        <v>51.876380326008373</v>
      </c>
      <c r="H26" s="14">
        <v>48.123619673991627</v>
      </c>
      <c r="J26" s="73">
        <v>33</v>
      </c>
      <c r="K26" s="73">
        <v>41</v>
      </c>
      <c r="L26" s="73">
        <v>18</v>
      </c>
      <c r="M26" s="73">
        <v>8</v>
      </c>
      <c r="O26" s="77">
        <f>J26/(J26+K26)</f>
        <v>0.44594594594594594</v>
      </c>
      <c r="P26" s="77">
        <f>1-O26</f>
        <v>0.55405405405405406</v>
      </c>
      <c r="Q26" s="117">
        <f>SUM(L26:M26)-SUM(L80:M80)</f>
        <v>16</v>
      </c>
      <c r="R26" s="29">
        <f>Q26*0.333+J26</f>
        <v>38.328000000000003</v>
      </c>
      <c r="S26" s="29">
        <f>Q26*0.6666+K26</f>
        <v>51.665599999999998</v>
      </c>
      <c r="U26" s="27">
        <f>R27/(R27+S27)</f>
        <v>0.45785730299047422</v>
      </c>
      <c r="V26" s="27">
        <f t="shared" ref="V26:V28" si="18">1-U26</f>
        <v>0.54214269700952578</v>
      </c>
      <c r="W26" s="81"/>
      <c r="X26" s="81"/>
    </row>
    <row r="27" spans="1:24" s="117" customFormat="1" x14ac:dyDescent="0.25">
      <c r="A27" s="116" t="s">
        <v>1</v>
      </c>
      <c r="D27" s="9">
        <v>15760631</v>
      </c>
      <c r="E27" s="15">
        <f>D27/$D$86</f>
        <v>0.15866962337416834</v>
      </c>
      <c r="G27" s="14">
        <v>46.109023172993517</v>
      </c>
      <c r="H27" s="14">
        <v>53.89097682700649</v>
      </c>
      <c r="J27" s="75">
        <v>38</v>
      </c>
      <c r="K27" s="75">
        <v>42</v>
      </c>
      <c r="L27" s="75">
        <v>12</v>
      </c>
      <c r="M27" s="75">
        <v>8</v>
      </c>
      <c r="O27" s="78">
        <f>J27/(J27+K27)</f>
        <v>0.47499999999999998</v>
      </c>
      <c r="P27" s="78">
        <f t="shared" ref="P27:P29" si="19">1-O27</f>
        <v>0.52500000000000002</v>
      </c>
      <c r="Q27" s="117">
        <f t="shared" ref="Q27:Q29" si="20">SUM(L27:M27)-SUM(L81:M81)</f>
        <v>11</v>
      </c>
      <c r="R27" s="29">
        <f t="shared" ref="R27:R29" si="21">Q27*0.333+J27</f>
        <v>41.662999999999997</v>
      </c>
      <c r="S27" s="29">
        <f t="shared" ref="S27:S29" si="22">Q27*0.6666+K27</f>
        <v>49.332599999999999</v>
      </c>
      <c r="U27" s="27">
        <f>R28/(R28+S28)</f>
        <v>0.65956337638572671</v>
      </c>
      <c r="V27" s="27">
        <f t="shared" si="18"/>
        <v>0.34043662361427329</v>
      </c>
      <c r="W27" s="81"/>
      <c r="X27" s="81"/>
    </row>
    <row r="28" spans="1:24" s="117" customFormat="1" x14ac:dyDescent="0.25">
      <c r="A28" s="116" t="s">
        <v>2</v>
      </c>
      <c r="D28" s="9">
        <v>26077771</v>
      </c>
      <c r="E28" s="15">
        <f>D28/$D$86</f>
        <v>0.26253708389009361</v>
      </c>
      <c r="G28" s="14">
        <v>70.578842800636593</v>
      </c>
      <c r="H28" s="14">
        <v>29.421157199363396</v>
      </c>
      <c r="J28" s="74">
        <v>57</v>
      </c>
      <c r="K28" s="74">
        <v>22</v>
      </c>
      <c r="L28" s="74">
        <v>14</v>
      </c>
      <c r="M28" s="74">
        <v>6</v>
      </c>
      <c r="O28" s="79">
        <f>J28/(J28+K28)</f>
        <v>0.72151898734177211</v>
      </c>
      <c r="P28" s="79">
        <f t="shared" si="19"/>
        <v>0.27848101265822789</v>
      </c>
      <c r="Q28" s="117">
        <f>SUM(L28:M28)-SUM(L82:M82)</f>
        <v>15</v>
      </c>
      <c r="R28" s="29">
        <f t="shared" si="21"/>
        <v>61.994999999999997</v>
      </c>
      <c r="S28" s="29">
        <f t="shared" si="22"/>
        <v>31.998999999999999</v>
      </c>
      <c r="U28" s="27">
        <f>R29/(R29+S29)</f>
        <v>0.54165572875649504</v>
      </c>
      <c r="V28" s="27">
        <f t="shared" si="18"/>
        <v>0.45834427124350496</v>
      </c>
      <c r="W28" s="81"/>
      <c r="X28" s="81"/>
    </row>
    <row r="29" spans="1:24" s="117" customFormat="1" x14ac:dyDescent="0.25">
      <c r="A29" s="116" t="s">
        <v>35</v>
      </c>
      <c r="D29" s="9">
        <f>SUM(D30:D31)</f>
        <v>14040669</v>
      </c>
      <c r="E29" s="15">
        <f>SUM(E30:E31)</f>
        <v>0.14135396369291059</v>
      </c>
      <c r="G29" s="14">
        <f>SUMPRODUCT(G30:G31,E31:E32)/SUM(E31:E32)</f>
        <v>56.87706398315018</v>
      </c>
      <c r="H29" s="14">
        <f>SUMPRODUCT(H30:H31,E31:E32)/SUM(E31:E32)</f>
        <v>43.122936016849827</v>
      </c>
      <c r="J29" s="117">
        <v>49</v>
      </c>
      <c r="K29" s="117">
        <v>38</v>
      </c>
      <c r="L29" s="117">
        <v>9</v>
      </c>
      <c r="M29" s="117">
        <v>5</v>
      </c>
      <c r="O29" s="33">
        <f>J29/(J29+K29)</f>
        <v>0.56321839080459768</v>
      </c>
      <c r="P29" s="33">
        <f t="shared" si="19"/>
        <v>0.43678160919540232</v>
      </c>
      <c r="Q29" s="117">
        <f t="shared" si="20"/>
        <v>9</v>
      </c>
      <c r="R29" s="29">
        <f t="shared" si="21"/>
        <v>51.997</v>
      </c>
      <c r="S29" s="29">
        <f t="shared" si="22"/>
        <v>43.999400000000001</v>
      </c>
    </row>
    <row r="30" spans="1:24" s="117" customFormat="1" x14ac:dyDescent="0.25">
      <c r="A30" s="116" t="s">
        <v>3</v>
      </c>
      <c r="D30" s="9">
        <v>7008759</v>
      </c>
      <c r="E30" s="15">
        <f>D30/$D$86</f>
        <v>7.0560445888893208E-2</v>
      </c>
      <c r="G30" s="14">
        <v>49.079758627739942</v>
      </c>
      <c r="H30" s="14">
        <v>50.920241372260058</v>
      </c>
      <c r="X30" s="69"/>
    </row>
    <row r="31" spans="1:24" s="117" customFormat="1" ht="15.75" thickBot="1" x14ac:dyDescent="0.3">
      <c r="A31" s="116" t="s">
        <v>6</v>
      </c>
      <c r="D31" s="9">
        <v>7031910</v>
      </c>
      <c r="E31" s="15">
        <f>D31/$D$86</f>
        <v>7.0793517804017381E-2</v>
      </c>
      <c r="G31" s="14">
        <v>57.429062658651773</v>
      </c>
      <c r="H31" s="14">
        <v>42.570937341348227</v>
      </c>
      <c r="R31" s="30">
        <f>2*R32/3</f>
        <v>9.3333333333333339</v>
      </c>
      <c r="S31" s="30">
        <f>R31+K32</f>
        <v>45.333333333333336</v>
      </c>
      <c r="T31" s="121">
        <f>S31/SUM(S31,S33)</f>
        <v>0.49275362318840582</v>
      </c>
      <c r="U31" s="48">
        <f>SUMPRODUCT(U25:U28,E26:E29)</f>
        <v>0.50867715273663427</v>
      </c>
      <c r="V31" s="48">
        <f>SUMPRODUCT(V25:V28,E26:E29)</f>
        <v>0.49132284726336578</v>
      </c>
      <c r="W31" s="49">
        <f>U31-V31</f>
        <v>1.7354305473268494E-2</v>
      </c>
      <c r="X31" s="102"/>
    </row>
    <row r="32" spans="1:24" s="117" customFormat="1" ht="15.75" thickBot="1" x14ac:dyDescent="0.3">
      <c r="A32" s="22" t="s">
        <v>34</v>
      </c>
      <c r="B32" s="23"/>
      <c r="C32" s="23"/>
      <c r="D32" s="24">
        <f>SUM(D30:D31,D26:D28)</f>
        <v>99329857</v>
      </c>
      <c r="E32" s="25">
        <f>D32/$D$86</f>
        <v>1</v>
      </c>
      <c r="F32" s="23"/>
      <c r="G32" s="28">
        <v>56.05</v>
      </c>
      <c r="H32" s="28">
        <v>43.95</v>
      </c>
      <c r="I32" s="23"/>
      <c r="J32" s="23">
        <v>42</v>
      </c>
      <c r="K32" s="23">
        <v>36</v>
      </c>
      <c r="L32" s="23">
        <v>15</v>
      </c>
      <c r="M32" s="26">
        <v>7</v>
      </c>
      <c r="O32" s="123">
        <f>O29*E29+O28*E28+O27*E27+O26*E26</f>
        <v>0.53948100935970844</v>
      </c>
      <c r="P32" s="123">
        <f t="shared" ref="P32" si="23">1-O32</f>
        <v>0.46051899064029156</v>
      </c>
      <c r="R32" s="29">
        <f>SUM(L32:M32)-SUM(L33:M33)</f>
        <v>14</v>
      </c>
      <c r="S32" s="29"/>
      <c r="T32" s="121"/>
    </row>
    <row r="33" spans="1:23" s="117" customFormat="1" x14ac:dyDescent="0.25">
      <c r="A33" s="85"/>
      <c r="B33" s="86"/>
      <c r="C33" s="86"/>
      <c r="D33" s="87"/>
      <c r="E33" s="88"/>
      <c r="F33" s="86"/>
      <c r="G33" s="89"/>
      <c r="H33" s="89"/>
      <c r="I33" s="86"/>
      <c r="J33" s="86"/>
      <c r="K33" s="86"/>
      <c r="L33" s="86">
        <v>4</v>
      </c>
      <c r="M33" s="86">
        <v>4</v>
      </c>
      <c r="O33" s="122"/>
      <c r="P33" s="122"/>
      <c r="R33" s="29">
        <f>R32-R31</f>
        <v>4.6666666666666661</v>
      </c>
      <c r="S33" s="29">
        <f>R33+J32</f>
        <v>46.666666666666664</v>
      </c>
      <c r="T33" s="121">
        <f>S33/SUM(S33,S31)</f>
        <v>0.50724637681159412</v>
      </c>
    </row>
    <row r="34" spans="1:23" s="98" customFormat="1" x14ac:dyDescent="0.25">
      <c r="A34" s="85"/>
      <c r="B34" s="86"/>
      <c r="C34" s="86"/>
      <c r="D34" s="87"/>
      <c r="E34" s="88"/>
      <c r="F34" s="86"/>
      <c r="G34" s="89"/>
      <c r="H34" s="89"/>
      <c r="I34" s="86"/>
      <c r="J34" s="86"/>
      <c r="K34" s="86"/>
      <c r="L34" s="86"/>
      <c r="M34" s="86"/>
      <c r="O34" s="72"/>
      <c r="P34" s="72"/>
      <c r="R34" s="29"/>
      <c r="S34" s="29"/>
      <c r="U34" s="48"/>
      <c r="V34" s="48"/>
      <c r="W34" s="49"/>
    </row>
    <row r="35" spans="1:23" s="98" customFormat="1" ht="18.75" x14ac:dyDescent="0.3">
      <c r="A35" s="20" t="s">
        <v>58</v>
      </c>
      <c r="D35" s="240" t="s">
        <v>45</v>
      </c>
      <c r="E35" s="240"/>
      <c r="G35" s="239" t="s">
        <v>27</v>
      </c>
      <c r="H35" s="234"/>
      <c r="J35" s="98" t="s">
        <v>31</v>
      </c>
      <c r="O35" s="238" t="s">
        <v>36</v>
      </c>
      <c r="P35" s="238"/>
      <c r="V35" s="30"/>
    </row>
    <row r="36" spans="1:23" s="98" customFormat="1" x14ac:dyDescent="0.25">
      <c r="A36" s="90" t="s">
        <v>90</v>
      </c>
      <c r="D36" t="s">
        <v>41</v>
      </c>
      <c r="E36" t="s">
        <v>8</v>
      </c>
      <c r="G36" s="97" t="s">
        <v>4</v>
      </c>
      <c r="H36" s="97" t="s">
        <v>24</v>
      </c>
      <c r="J36" s="98" t="s">
        <v>4</v>
      </c>
      <c r="K36" s="98" t="s">
        <v>5</v>
      </c>
      <c r="L36" s="98" t="s">
        <v>32</v>
      </c>
      <c r="M36" s="98" t="s">
        <v>33</v>
      </c>
      <c r="O36" s="98" t="s">
        <v>4</v>
      </c>
      <c r="P36" s="98" t="s">
        <v>5</v>
      </c>
      <c r="U36" s="33">
        <f>R37/(R37+S37)</f>
        <v>0.4407110759479605</v>
      </c>
      <c r="V36" s="27">
        <f>1-U36</f>
        <v>0.55928892405203956</v>
      </c>
    </row>
    <row r="37" spans="1:23" s="98" customFormat="1" x14ac:dyDescent="0.25">
      <c r="A37" s="97" t="s">
        <v>0</v>
      </c>
      <c r="D37" s="9">
        <v>43450786</v>
      </c>
      <c r="E37" s="15">
        <f>D37/$D$86</f>
        <v>0.43743932904282745</v>
      </c>
      <c r="G37" s="14">
        <v>51.876380326008373</v>
      </c>
      <c r="H37" s="14">
        <v>48.123619673991627</v>
      </c>
      <c r="J37" s="73">
        <v>34</v>
      </c>
      <c r="K37" s="73">
        <v>39</v>
      </c>
      <c r="L37" s="73">
        <v>20</v>
      </c>
      <c r="M37" s="73">
        <v>7</v>
      </c>
      <c r="O37" s="77">
        <f>J37/(J37+K37)</f>
        <v>0.46575342465753422</v>
      </c>
      <c r="P37" s="77">
        <f>1-O37</f>
        <v>0.53424657534246578</v>
      </c>
      <c r="Q37" s="98">
        <f>SUM(L37:M37)-SUM(L80:M80)</f>
        <v>17</v>
      </c>
      <c r="R37" s="29">
        <f>Q37*0.333+J37</f>
        <v>39.661000000000001</v>
      </c>
      <c r="S37" s="29">
        <f>Q37*0.6666+K37</f>
        <v>50.3322</v>
      </c>
      <c r="U37" s="27">
        <f>R38/(R38+S38)</f>
        <v>0.43220093106677038</v>
      </c>
      <c r="V37" s="27">
        <f t="shared" ref="V37:V39" si="24">1-U37</f>
        <v>0.56779906893322962</v>
      </c>
    </row>
    <row r="38" spans="1:23" x14ac:dyDescent="0.25">
      <c r="A38" s="97" t="s">
        <v>1</v>
      </c>
      <c r="B38" s="98"/>
      <c r="C38" s="98"/>
      <c r="D38" s="9">
        <v>15760631</v>
      </c>
      <c r="E38" s="15">
        <f>D38/$D$86</f>
        <v>0.15866962337416834</v>
      </c>
      <c r="F38" s="98"/>
      <c r="G38" s="14">
        <v>46.109023172993517</v>
      </c>
      <c r="H38" s="14">
        <v>53.89097682700649</v>
      </c>
      <c r="I38" s="98"/>
      <c r="J38" s="75">
        <v>33</v>
      </c>
      <c r="K38" s="75">
        <v>39</v>
      </c>
      <c r="L38" s="75">
        <v>19</v>
      </c>
      <c r="M38" s="75">
        <v>9</v>
      </c>
      <c r="N38" s="98"/>
      <c r="O38" s="78">
        <f>J38/(J38+K38)</f>
        <v>0.45833333333333331</v>
      </c>
      <c r="P38" s="78">
        <f t="shared" ref="P38:P40" si="25">1-O38</f>
        <v>0.54166666666666674</v>
      </c>
      <c r="Q38" s="117">
        <f>SUM(L38:M38)-SUM(L81:M81)</f>
        <v>19</v>
      </c>
      <c r="R38" s="29">
        <f t="shared" ref="R38:R40" si="26">Q38*0.333+J38</f>
        <v>39.326999999999998</v>
      </c>
      <c r="S38" s="29">
        <f t="shared" ref="S38:S40" si="27">Q38*0.6666+K38</f>
        <v>51.665399999999998</v>
      </c>
      <c r="T38" s="98"/>
      <c r="U38" s="27">
        <f>R39/(R39+S39)</f>
        <v>0.68419922352009832</v>
      </c>
      <c r="V38" s="27">
        <f t="shared" si="24"/>
        <v>0.31580077647990168</v>
      </c>
      <c r="W38" s="98"/>
    </row>
    <row r="39" spans="1:23" x14ac:dyDescent="0.25">
      <c r="A39" s="97" t="s">
        <v>2</v>
      </c>
      <c r="B39" s="98"/>
      <c r="C39" s="98"/>
      <c r="D39" s="9">
        <v>26077771</v>
      </c>
      <c r="E39" s="15">
        <f>D39/$D$86</f>
        <v>0.26253708389009361</v>
      </c>
      <c r="F39" s="98"/>
      <c r="G39" s="14">
        <v>70.578842800636593</v>
      </c>
      <c r="H39" s="14">
        <v>29.421157199363396</v>
      </c>
      <c r="I39" s="98"/>
      <c r="J39" s="74">
        <v>59</v>
      </c>
      <c r="K39" s="74">
        <v>18</v>
      </c>
      <c r="L39" s="74">
        <v>14</v>
      </c>
      <c r="M39" s="74">
        <v>9</v>
      </c>
      <c r="N39" s="98"/>
      <c r="O39" s="79">
        <f>J39/(J39+K39)</f>
        <v>0.76623376623376627</v>
      </c>
      <c r="P39" s="79">
        <f t="shared" si="25"/>
        <v>0.23376623376623373</v>
      </c>
      <c r="Q39" s="117">
        <f>SUM(L39:M39)-SUM(L82:M82)</f>
        <v>18</v>
      </c>
      <c r="R39" s="29">
        <f t="shared" si="26"/>
        <v>64.994</v>
      </c>
      <c r="S39" s="29">
        <f t="shared" si="27"/>
        <v>29.998799999999999</v>
      </c>
      <c r="T39" s="98"/>
      <c r="U39" s="27">
        <f>R40/(R40+S40)</f>
        <v>0.44557811670975844</v>
      </c>
      <c r="V39" s="27">
        <f t="shared" si="24"/>
        <v>0.55442188329024156</v>
      </c>
      <c r="W39" s="98"/>
    </row>
    <row r="40" spans="1:23" x14ac:dyDescent="0.25">
      <c r="A40" s="97" t="s">
        <v>35</v>
      </c>
      <c r="B40" s="98"/>
      <c r="C40" s="98"/>
      <c r="D40" s="9">
        <f>SUM(D41:D42)</f>
        <v>14040669</v>
      </c>
      <c r="E40" s="15">
        <f>SUM(E41:E42)</f>
        <v>0.14135396369291059</v>
      </c>
      <c r="F40" s="98"/>
      <c r="G40" s="14">
        <f>SUMPRODUCT(G41:G42,E42:E43)/SUM(E42:E43)</f>
        <v>56.87706398315018</v>
      </c>
      <c r="H40" s="14">
        <f>SUMPRODUCT(H41:H42,E42:E43)/SUM(E42:E43)</f>
        <v>43.122936016849827</v>
      </c>
      <c r="I40" s="98"/>
      <c r="J40" s="98">
        <v>35</v>
      </c>
      <c r="K40" s="98">
        <v>38</v>
      </c>
      <c r="L40" s="98">
        <v>17</v>
      </c>
      <c r="M40" s="98">
        <v>10</v>
      </c>
      <c r="N40" s="98"/>
      <c r="O40" s="27">
        <f>J40/(J40+K40)</f>
        <v>0.47945205479452052</v>
      </c>
      <c r="P40" s="27">
        <f t="shared" si="25"/>
        <v>0.52054794520547953</v>
      </c>
      <c r="Q40" s="117">
        <f>SUM(L40:M40)-SUM(L83:M83)</f>
        <v>22</v>
      </c>
      <c r="R40" s="29">
        <f t="shared" si="26"/>
        <v>42.326000000000001</v>
      </c>
      <c r="S40" s="29">
        <f t="shared" si="27"/>
        <v>52.665199999999999</v>
      </c>
      <c r="T40" s="98"/>
      <c r="U40" s="98"/>
      <c r="V40" s="98"/>
      <c r="W40" s="98"/>
    </row>
    <row r="41" spans="1:23" x14ac:dyDescent="0.25">
      <c r="A41" s="97" t="s">
        <v>3</v>
      </c>
      <c r="B41" s="98"/>
      <c r="C41" s="98"/>
      <c r="D41" s="9">
        <v>7008759</v>
      </c>
      <c r="E41" s="15">
        <f>D41/$D$86</f>
        <v>7.0560445888893208E-2</v>
      </c>
      <c r="F41" s="98"/>
      <c r="G41" s="14">
        <v>49.079758627739942</v>
      </c>
      <c r="H41" s="14">
        <v>50.920241372260058</v>
      </c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</row>
    <row r="42" spans="1:23" ht="15.75" thickBot="1" x14ac:dyDescent="0.3">
      <c r="A42" s="97" t="s">
        <v>6</v>
      </c>
      <c r="B42" s="98"/>
      <c r="C42" s="98"/>
      <c r="D42" s="9">
        <v>7031910</v>
      </c>
      <c r="E42" s="15">
        <f>D42/$D$86</f>
        <v>7.0793517804017381E-2</v>
      </c>
      <c r="F42" s="98"/>
      <c r="G42" s="14">
        <v>57.429062658651773</v>
      </c>
      <c r="H42" s="14">
        <v>42.570937341348227</v>
      </c>
      <c r="I42" s="98"/>
      <c r="J42" s="98"/>
      <c r="K42" s="98"/>
      <c r="L42" s="98"/>
      <c r="M42" s="98"/>
      <c r="N42" s="98"/>
      <c r="O42" s="98"/>
      <c r="P42" s="98"/>
      <c r="Q42" s="98"/>
      <c r="R42" s="30">
        <f>2*R43/3</f>
        <v>12</v>
      </c>
      <c r="S42" s="30">
        <f>R42+K43</f>
        <v>45</v>
      </c>
      <c r="T42" s="121">
        <f>S42/SUM(S42,S44)</f>
        <v>0.4891304347826087</v>
      </c>
      <c r="U42" s="48">
        <f>SUMPRODUCT(U36:U39,E37:E40)</f>
        <v>0.50397341819332742</v>
      </c>
      <c r="V42" s="48">
        <f>SUMPRODUCT(V36:V39,E37:E40)</f>
        <v>0.4960265818066727</v>
      </c>
      <c r="W42" s="49">
        <f>U42-V42</f>
        <v>7.9468363866547209E-3</v>
      </c>
    </row>
    <row r="43" spans="1:23" ht="15.75" thickBot="1" x14ac:dyDescent="0.3">
      <c r="A43" s="22" t="s">
        <v>34</v>
      </c>
      <c r="B43" s="23"/>
      <c r="C43" s="23"/>
      <c r="D43" s="24">
        <f>SUM(D41:D42,D37:D39)</f>
        <v>99329857</v>
      </c>
      <c r="E43" s="25">
        <f>D43/$D$86</f>
        <v>1</v>
      </c>
      <c r="F43" s="23"/>
      <c r="G43" s="28">
        <v>56.05</v>
      </c>
      <c r="H43" s="28">
        <v>43.95</v>
      </c>
      <c r="I43" s="23"/>
      <c r="J43" s="23">
        <v>41</v>
      </c>
      <c r="K43" s="23">
        <v>33</v>
      </c>
      <c r="L43" s="23">
        <v>18</v>
      </c>
      <c r="M43" s="26">
        <v>8</v>
      </c>
      <c r="N43" s="98"/>
      <c r="O43" s="123">
        <f>O40*E40+O39*E39+O38*E38+O37*E37</f>
        <v>0.54539966987247068</v>
      </c>
      <c r="P43" s="123">
        <f t="shared" ref="P43" si="28">1-O43</f>
        <v>0.45460033012752932</v>
      </c>
      <c r="Q43" s="98"/>
      <c r="R43" s="29">
        <f>SUM(L43:M43)-SUM(L44:M44)</f>
        <v>18</v>
      </c>
      <c r="S43" s="29"/>
      <c r="T43" s="121"/>
      <c r="U43" s="98"/>
      <c r="V43" s="98"/>
      <c r="W43" s="98"/>
    </row>
    <row r="44" spans="1:23" x14ac:dyDescent="0.25">
      <c r="A44" s="85"/>
      <c r="B44" s="86"/>
      <c r="C44" s="86"/>
      <c r="D44" s="87"/>
      <c r="E44" s="88"/>
      <c r="F44" s="86"/>
      <c r="G44" s="89"/>
      <c r="H44" s="89"/>
      <c r="I44" s="86"/>
      <c r="J44" s="86"/>
      <c r="K44" s="86"/>
      <c r="L44" s="86">
        <v>4</v>
      </c>
      <c r="M44" s="86">
        <v>4</v>
      </c>
      <c r="N44" s="98"/>
      <c r="O44" s="72"/>
      <c r="P44" s="72"/>
      <c r="Q44" s="98"/>
      <c r="R44" s="29">
        <f>R43-R42</f>
        <v>6</v>
      </c>
      <c r="S44" s="29">
        <f>R44+J43</f>
        <v>47</v>
      </c>
      <c r="T44" s="121">
        <f>S44/SUM(S44,S42)</f>
        <v>0.51086956521739135</v>
      </c>
      <c r="U44" s="48"/>
      <c r="V44" s="48"/>
      <c r="W44" s="49"/>
    </row>
    <row r="45" spans="1:23" x14ac:dyDescent="0.25">
      <c r="A45" s="85"/>
      <c r="B45" s="86"/>
      <c r="C45" s="86"/>
      <c r="D45" s="87"/>
      <c r="E45" s="88"/>
      <c r="F45" s="86"/>
      <c r="G45" s="89"/>
      <c r="H45" s="89"/>
      <c r="I45" s="86"/>
      <c r="J45" s="86"/>
      <c r="K45" s="86"/>
      <c r="L45" s="86"/>
      <c r="M45" s="86"/>
      <c r="N45" s="70"/>
      <c r="O45" s="72"/>
      <c r="P45" s="72"/>
      <c r="Q45" s="70"/>
      <c r="R45" s="29"/>
      <c r="S45" s="29"/>
      <c r="T45" s="65"/>
      <c r="U45" s="65"/>
      <c r="V45" s="65"/>
      <c r="W45" s="65"/>
    </row>
    <row r="46" spans="1:23" ht="18.75" x14ac:dyDescent="0.3">
      <c r="A46" s="20" t="s">
        <v>58</v>
      </c>
      <c r="B46" s="65"/>
      <c r="C46" s="65"/>
      <c r="D46" s="240" t="s">
        <v>45</v>
      </c>
      <c r="E46" s="240"/>
      <c r="F46" s="65"/>
      <c r="G46" s="239" t="s">
        <v>27</v>
      </c>
      <c r="H46" s="234"/>
      <c r="I46" s="65"/>
      <c r="J46" s="65" t="s">
        <v>31</v>
      </c>
      <c r="K46" s="65"/>
      <c r="L46" s="65"/>
      <c r="M46" s="65"/>
      <c r="N46" s="65"/>
      <c r="O46" s="238" t="s">
        <v>36</v>
      </c>
      <c r="P46" s="238"/>
      <c r="Q46" s="65"/>
      <c r="R46" s="65"/>
      <c r="S46" s="65"/>
      <c r="T46" s="65"/>
      <c r="U46" s="65"/>
      <c r="V46" s="30"/>
      <c r="W46" s="65"/>
    </row>
    <row r="47" spans="1:23" x14ac:dyDescent="0.25">
      <c r="A47" s="90" t="s">
        <v>79</v>
      </c>
      <c r="B47" s="65"/>
      <c r="C47" s="65"/>
      <c r="D47" t="s">
        <v>41</v>
      </c>
      <c r="E47" t="s">
        <v>8</v>
      </c>
      <c r="F47" s="65"/>
      <c r="G47" s="66" t="s">
        <v>4</v>
      </c>
      <c r="H47" s="66" t="s">
        <v>24</v>
      </c>
      <c r="I47" s="65"/>
      <c r="J47" s="65" t="s">
        <v>4</v>
      </c>
      <c r="K47" s="65" t="s">
        <v>5</v>
      </c>
      <c r="L47" s="65" t="s">
        <v>32</v>
      </c>
      <c r="M47" s="65" t="s">
        <v>33</v>
      </c>
      <c r="N47" s="65"/>
      <c r="O47" s="65" t="s">
        <v>4</v>
      </c>
      <c r="P47" s="65" t="s">
        <v>5</v>
      </c>
      <c r="Q47" s="65"/>
      <c r="R47" s="65"/>
      <c r="S47" s="65"/>
      <c r="T47" s="65"/>
      <c r="U47" s="33">
        <f>R48/(R48+S48)</f>
        <v>0.48885673773996685</v>
      </c>
      <c r="V47" s="27">
        <f>1-U47</f>
        <v>0.51114326226003315</v>
      </c>
      <c r="W47" s="65"/>
    </row>
    <row r="48" spans="1:23" x14ac:dyDescent="0.25">
      <c r="A48" s="66" t="s">
        <v>0</v>
      </c>
      <c r="B48" s="65"/>
      <c r="C48" s="65"/>
      <c r="D48" s="9">
        <v>43450786</v>
      </c>
      <c r="E48" s="15">
        <f>D48/$D$86</f>
        <v>0.43743932904282745</v>
      </c>
      <c r="F48" s="65"/>
      <c r="G48" s="14">
        <v>51.876380326008373</v>
      </c>
      <c r="H48" s="14">
        <v>48.123619673991627</v>
      </c>
      <c r="I48" s="65"/>
      <c r="J48" s="73">
        <v>37</v>
      </c>
      <c r="K48" s="73">
        <v>32</v>
      </c>
      <c r="L48" s="73">
        <v>22</v>
      </c>
      <c r="M48" s="73">
        <f>100-SUM(J48:L48)</f>
        <v>9</v>
      </c>
      <c r="N48" s="65"/>
      <c r="O48" s="77">
        <f>J48/(J48+K48)</f>
        <v>0.53623188405797106</v>
      </c>
      <c r="P48" s="77">
        <f>1-O48</f>
        <v>0.46376811594202894</v>
      </c>
      <c r="Q48" s="65">
        <f>SUM(L48:M48)-SUM(L80:M80)</f>
        <v>21</v>
      </c>
      <c r="R48" s="29">
        <f>Q48*0.333+J48</f>
        <v>43.993000000000002</v>
      </c>
      <c r="S48" s="29">
        <f>Q48*0.6666+K48</f>
        <v>45.998599999999996</v>
      </c>
      <c r="T48" s="65"/>
      <c r="U48" s="27">
        <f>R49/(R49+S49)</f>
        <v>0.44441333084424528</v>
      </c>
      <c r="V48" s="27">
        <f t="shared" ref="V48:V50" si="29">1-U48</f>
        <v>0.55558666915575472</v>
      </c>
      <c r="W48" s="65"/>
    </row>
    <row r="49" spans="1:23" x14ac:dyDescent="0.25">
      <c r="A49" s="66" t="s">
        <v>1</v>
      </c>
      <c r="B49" s="65"/>
      <c r="C49" s="65"/>
      <c r="D49" s="9">
        <v>15760631</v>
      </c>
      <c r="E49" s="15">
        <f>D49/$D$86</f>
        <v>0.15866962337416834</v>
      </c>
      <c r="F49" s="65"/>
      <c r="G49" s="14">
        <v>46.109023172993517</v>
      </c>
      <c r="H49" s="14">
        <v>53.89097682700649</v>
      </c>
      <c r="I49" s="65"/>
      <c r="J49" s="75">
        <v>34</v>
      </c>
      <c r="K49" s="75">
        <v>38</v>
      </c>
      <c r="L49" s="75">
        <v>21</v>
      </c>
      <c r="M49" s="75">
        <v>6</v>
      </c>
      <c r="N49" s="65"/>
      <c r="O49" s="78">
        <f>J49/(J49+K49)</f>
        <v>0.47222222222222221</v>
      </c>
      <c r="P49" s="78">
        <f t="shared" ref="P49:P51" si="30">1-O49</f>
        <v>0.52777777777777779</v>
      </c>
      <c r="Q49" s="117">
        <f t="shared" ref="Q49:Q51" si="31">SUM(L49:M49)-SUM(L81:M81)</f>
        <v>18</v>
      </c>
      <c r="R49" s="29">
        <f t="shared" ref="R49:R51" si="32">Q49*0.333+J49</f>
        <v>39.994</v>
      </c>
      <c r="S49" s="29">
        <f t="shared" ref="S49:S51" si="33">Q49*0.6666+K49</f>
        <v>49.998800000000003</v>
      </c>
      <c r="T49" s="65"/>
      <c r="U49" s="27">
        <f>R50/(R50+S50)</f>
        <v>0.65963668978411083</v>
      </c>
      <c r="V49" s="27">
        <f t="shared" si="29"/>
        <v>0.34036331021588917</v>
      </c>
      <c r="W49" s="65"/>
    </row>
    <row r="50" spans="1:23" x14ac:dyDescent="0.25">
      <c r="A50" s="66" t="s">
        <v>2</v>
      </c>
      <c r="B50" s="65"/>
      <c r="C50" s="65"/>
      <c r="D50" s="9">
        <v>26077771</v>
      </c>
      <c r="E50" s="15">
        <f>D50/$D$86</f>
        <v>0.26253708389009361</v>
      </c>
      <c r="F50" s="65"/>
      <c r="G50" s="14">
        <v>70.578842800636593</v>
      </c>
      <c r="H50" s="14">
        <v>29.421157199363396</v>
      </c>
      <c r="I50" s="65"/>
      <c r="J50" s="74">
        <v>57</v>
      </c>
      <c r="K50" s="74">
        <v>21</v>
      </c>
      <c r="L50" s="74">
        <v>15</v>
      </c>
      <c r="M50" s="74">
        <f>100-SUM(J50:L50)</f>
        <v>7</v>
      </c>
      <c r="N50" s="65"/>
      <c r="O50" s="79">
        <f>J50/(J50+K50)</f>
        <v>0.73076923076923073</v>
      </c>
      <c r="P50" s="79">
        <f t="shared" si="30"/>
        <v>0.26923076923076927</v>
      </c>
      <c r="Q50" s="117">
        <f t="shared" si="31"/>
        <v>17</v>
      </c>
      <c r="R50" s="29">
        <f t="shared" si="32"/>
        <v>62.661000000000001</v>
      </c>
      <c r="S50" s="29">
        <f t="shared" si="33"/>
        <v>32.3322</v>
      </c>
      <c r="T50" s="65"/>
      <c r="U50" s="27">
        <f>R51/(R51+S51)</f>
        <v>0.49642952894464709</v>
      </c>
      <c r="V50" s="27">
        <f t="shared" si="29"/>
        <v>0.50357047105535291</v>
      </c>
      <c r="W50" s="65"/>
    </row>
    <row r="51" spans="1:23" x14ac:dyDescent="0.25">
      <c r="A51" s="66" t="s">
        <v>35</v>
      </c>
      <c r="B51" s="65"/>
      <c r="C51" s="65"/>
      <c r="D51" s="9">
        <f>SUM(D52:D53)</f>
        <v>14040669</v>
      </c>
      <c r="E51" s="15">
        <f>SUM(E52:E53)</f>
        <v>0.14135396369291059</v>
      </c>
      <c r="F51" s="65"/>
      <c r="G51" s="14">
        <f>SUMPRODUCT(G52:G53,E53:E54)/SUM(E53:E54)</f>
        <v>56.87706398315018</v>
      </c>
      <c r="H51" s="14">
        <f>SUMPRODUCT(H52:H53,E53:E54)/SUM(E53:E54)</f>
        <v>43.122936016849827</v>
      </c>
      <c r="I51" s="65"/>
      <c r="J51" s="65">
        <v>41</v>
      </c>
      <c r="K51" s="65">
        <v>36</v>
      </c>
      <c r="L51" s="65">
        <v>16</v>
      </c>
      <c r="M51" s="65">
        <v>6</v>
      </c>
      <c r="N51" s="65"/>
      <c r="O51" s="27">
        <f>J51/(J51+K51)</f>
        <v>0.53246753246753242</v>
      </c>
      <c r="P51" s="27">
        <f t="shared" si="30"/>
        <v>0.46753246753246758</v>
      </c>
      <c r="Q51" s="117">
        <f t="shared" si="31"/>
        <v>17</v>
      </c>
      <c r="R51" s="29">
        <f t="shared" si="32"/>
        <v>46.661000000000001</v>
      </c>
      <c r="S51" s="29">
        <f t="shared" si="33"/>
        <v>47.3322</v>
      </c>
      <c r="T51" s="65"/>
      <c r="U51" s="65"/>
      <c r="V51" s="65"/>
      <c r="W51" s="65"/>
    </row>
    <row r="52" spans="1:23" x14ac:dyDescent="0.25">
      <c r="A52" s="66" t="s">
        <v>3</v>
      </c>
      <c r="B52" s="65"/>
      <c r="C52" s="65"/>
      <c r="D52" s="9">
        <v>7008759</v>
      </c>
      <c r="E52" s="15">
        <f>D52/$D$86</f>
        <v>7.0560445888893208E-2</v>
      </c>
      <c r="F52" s="65"/>
      <c r="G52" s="14">
        <v>49.079758627739942</v>
      </c>
      <c r="H52" s="14">
        <v>50.920241372260058</v>
      </c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</row>
    <row r="53" spans="1:23" ht="15.75" thickBot="1" x14ac:dyDescent="0.3">
      <c r="A53" s="66" t="s">
        <v>6</v>
      </c>
      <c r="B53" s="65"/>
      <c r="C53" s="65"/>
      <c r="D53" s="9">
        <v>7031910</v>
      </c>
      <c r="E53" s="15">
        <f>D53/$D$86</f>
        <v>7.0793517804017381E-2</v>
      </c>
      <c r="F53" s="65"/>
      <c r="G53" s="14">
        <v>57.429062658651773</v>
      </c>
      <c r="H53" s="14">
        <v>42.570937341348227</v>
      </c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48">
        <f>U50*E51+U49*E50+U48*E49+U47*E48</f>
        <v>0.52771143375591778</v>
      </c>
      <c r="V53" s="48">
        <f>1-U53</f>
        <v>0.47228856624408222</v>
      </c>
      <c r="W53" s="49">
        <f>U53-V53</f>
        <v>5.5422867511835561E-2</v>
      </c>
    </row>
    <row r="54" spans="1:23" ht="15.75" thickBot="1" x14ac:dyDescent="0.3">
      <c r="A54" s="22" t="s">
        <v>34</v>
      </c>
      <c r="B54" s="23"/>
      <c r="C54" s="23"/>
      <c r="D54" s="24">
        <f>SUM(D52:D53,D48:D50)</f>
        <v>99329857</v>
      </c>
      <c r="E54" s="25">
        <f>D54/$D$86</f>
        <v>1</v>
      </c>
      <c r="F54" s="23"/>
      <c r="G54" s="28">
        <v>56.05</v>
      </c>
      <c r="H54" s="28">
        <v>43.95</v>
      </c>
      <c r="I54" s="23"/>
      <c r="J54" s="23">
        <v>43</v>
      </c>
      <c r="K54" s="23">
        <v>30</v>
      </c>
      <c r="L54" s="23">
        <v>19</v>
      </c>
      <c r="M54" s="26">
        <v>8</v>
      </c>
      <c r="N54" s="65"/>
      <c r="O54" s="72">
        <f>O51*E51+O50*E50+O49*E49+O48*E48</f>
        <v>0.5766166568174329</v>
      </c>
      <c r="P54" s="72">
        <f t="shared" ref="P54" si="34">1-O54</f>
        <v>0.4233833431825671</v>
      </c>
      <c r="Q54" s="65"/>
      <c r="R54" s="29"/>
      <c r="S54" s="29"/>
      <c r="T54" s="65"/>
      <c r="U54" s="65"/>
      <c r="V54" s="65"/>
      <c r="W54" s="65"/>
    </row>
    <row r="55" spans="1:23" x14ac:dyDescent="0.2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</row>
    <row r="56" spans="1:23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</row>
    <row r="57" spans="1:23" s="70" customFormat="1" ht="18.75" x14ac:dyDescent="0.3">
      <c r="A57" s="20" t="s">
        <v>44</v>
      </c>
      <c r="B57" s="6"/>
      <c r="C57" s="6"/>
      <c r="D57" s="240" t="s">
        <v>45</v>
      </c>
      <c r="E57" s="240"/>
      <c r="F57" s="6"/>
      <c r="G57" s="239" t="s">
        <v>27</v>
      </c>
      <c r="H57" s="234"/>
      <c r="I57" s="13"/>
      <c r="J57" s="13" t="s">
        <v>31</v>
      </c>
      <c r="K57" s="13"/>
      <c r="L57" s="13"/>
      <c r="M57" s="13"/>
      <c r="N57" s="6"/>
      <c r="O57" s="238" t="s">
        <v>36</v>
      </c>
      <c r="P57" s="238"/>
      <c r="Q57" s="13"/>
      <c r="R57" s="6"/>
      <c r="S57" s="6"/>
      <c r="T57" s="6"/>
      <c r="U57" s="6"/>
      <c r="V57" s="30"/>
      <c r="W57" s="6"/>
    </row>
    <row r="58" spans="1:23" s="70" customFormat="1" x14ac:dyDescent="0.25">
      <c r="A58" s="6"/>
      <c r="B58" s="6"/>
      <c r="C58" s="6"/>
      <c r="D58" t="s">
        <v>41</v>
      </c>
      <c r="E58" t="s">
        <v>8</v>
      </c>
      <c r="F58" s="6"/>
      <c r="G58" s="16" t="s">
        <v>4</v>
      </c>
      <c r="H58" s="16" t="s">
        <v>24</v>
      </c>
      <c r="I58" s="13"/>
      <c r="J58" s="13" t="s">
        <v>4</v>
      </c>
      <c r="K58" s="13" t="s">
        <v>5</v>
      </c>
      <c r="L58" s="13" t="s">
        <v>32</v>
      </c>
      <c r="M58" s="13" t="s">
        <v>33</v>
      </c>
      <c r="N58" s="6"/>
      <c r="O58" s="13" t="s">
        <v>4</v>
      </c>
      <c r="P58" s="13" t="s">
        <v>5</v>
      </c>
      <c r="Q58" s="13"/>
      <c r="R58" s="6"/>
      <c r="S58" s="6"/>
      <c r="T58" s="6"/>
      <c r="U58" s="33">
        <f>R59/(R59+S59)</f>
        <v>0.44440814476017759</v>
      </c>
      <c r="V58" s="27">
        <f>1-U58</f>
        <v>0.55559185523982246</v>
      </c>
      <c r="W58" s="6"/>
    </row>
    <row r="59" spans="1:23" s="70" customFormat="1" x14ac:dyDescent="0.25">
      <c r="A59" s="16" t="s">
        <v>0</v>
      </c>
      <c r="B59" s="6"/>
      <c r="C59" s="6"/>
      <c r="D59" s="9">
        <v>43450786</v>
      </c>
      <c r="E59" s="15">
        <f>D59/$D$86</f>
        <v>0.43743932904282745</v>
      </c>
      <c r="F59" s="6"/>
      <c r="G59" s="14">
        <v>51.876380326008373</v>
      </c>
      <c r="H59" s="14">
        <v>48.123619673991627</v>
      </c>
      <c r="I59" s="13"/>
      <c r="J59" s="73">
        <v>33</v>
      </c>
      <c r="K59" s="73">
        <v>36</v>
      </c>
      <c r="L59" s="73">
        <v>27</v>
      </c>
      <c r="M59" s="73">
        <f>100-SUM(J59:L59)</f>
        <v>4</v>
      </c>
      <c r="N59" s="6"/>
      <c r="O59" s="77">
        <f>J59/(J59+K59)</f>
        <v>0.47826086956521741</v>
      </c>
      <c r="P59" s="77">
        <f>1-O59</f>
        <v>0.52173913043478259</v>
      </c>
      <c r="Q59" s="13">
        <f>L59-L80+M59-M80</f>
        <v>21</v>
      </c>
      <c r="R59" s="29">
        <f>Q59*0.333+J59</f>
        <v>39.993000000000002</v>
      </c>
      <c r="S59" s="29">
        <f>Q59*0.6666+K59</f>
        <v>49.998599999999996</v>
      </c>
      <c r="T59" s="6"/>
      <c r="U59" s="27">
        <f>R60/(R60+S60)</f>
        <v>0.39556975936557615</v>
      </c>
      <c r="V59" s="27">
        <f t="shared" ref="V59:V61" si="35">1-U59</f>
        <v>0.60443024063442385</v>
      </c>
      <c r="W59" s="6"/>
    </row>
    <row r="60" spans="1:23" s="70" customFormat="1" x14ac:dyDescent="0.25">
      <c r="A60" s="16" t="s">
        <v>1</v>
      </c>
      <c r="B60" s="6"/>
      <c r="C60" s="6"/>
      <c r="D60" s="9">
        <v>15760631</v>
      </c>
      <c r="E60" s="15">
        <f>D60/$D$86</f>
        <v>0.15866962337416834</v>
      </c>
      <c r="F60" s="6"/>
      <c r="G60" s="14">
        <v>46.109023172993517</v>
      </c>
      <c r="H60" s="14">
        <v>53.89097682700649</v>
      </c>
      <c r="I60" s="13"/>
      <c r="J60" s="75">
        <v>30</v>
      </c>
      <c r="K60" s="75">
        <v>43</v>
      </c>
      <c r="L60" s="75">
        <v>17</v>
      </c>
      <c r="M60" s="75">
        <v>10</v>
      </c>
      <c r="N60" s="6"/>
      <c r="O60" s="78">
        <f>J60/(J60+K60)</f>
        <v>0.41095890410958902</v>
      </c>
      <c r="P60" s="78">
        <f t="shared" ref="P60:P62" si="36">1-O60</f>
        <v>0.58904109589041098</v>
      </c>
      <c r="Q60" s="21">
        <f>L60-L81+M60-M81</f>
        <v>18</v>
      </c>
      <c r="R60" s="29">
        <f t="shared" ref="R60:R62" si="37">Q60*0.333+J60</f>
        <v>35.994</v>
      </c>
      <c r="S60" s="29">
        <f t="shared" ref="S60:S62" si="38">Q60*0.6666+K60</f>
        <v>54.998800000000003</v>
      </c>
      <c r="T60" s="6"/>
      <c r="U60" s="27">
        <f>R61/(R61+S61)</f>
        <v>0.71874427054686063</v>
      </c>
      <c r="V60" s="27">
        <f t="shared" si="35"/>
        <v>0.28125572945313937</v>
      </c>
      <c r="W60" s="6"/>
    </row>
    <row r="61" spans="1:23" s="70" customFormat="1" x14ac:dyDescent="0.25">
      <c r="A61" s="16" t="s">
        <v>2</v>
      </c>
      <c r="B61" s="6"/>
      <c r="C61" s="6"/>
      <c r="D61" s="9">
        <v>26077771</v>
      </c>
      <c r="E61" s="15">
        <f>D61/$D$86</f>
        <v>0.26253708389009361</v>
      </c>
      <c r="F61" s="6"/>
      <c r="G61" s="14">
        <v>70.578842800636593</v>
      </c>
      <c r="H61" s="14">
        <v>29.421157199363396</v>
      </c>
      <c r="I61" s="13"/>
      <c r="J61" s="74">
        <v>65</v>
      </c>
      <c r="K61" s="74">
        <v>19</v>
      </c>
      <c r="L61" s="74">
        <v>13</v>
      </c>
      <c r="M61" s="74">
        <v>4</v>
      </c>
      <c r="N61" s="6"/>
      <c r="O61" s="79">
        <f>J61/(J61+K61)</f>
        <v>0.77380952380952384</v>
      </c>
      <c r="P61" s="79">
        <f t="shared" si="36"/>
        <v>0.22619047619047616</v>
      </c>
      <c r="Q61" s="21">
        <f>L61-L82+M61-M82</f>
        <v>12</v>
      </c>
      <c r="R61" s="29">
        <f t="shared" si="37"/>
        <v>68.995999999999995</v>
      </c>
      <c r="S61" s="29">
        <f t="shared" si="38"/>
        <v>26.999200000000002</v>
      </c>
      <c r="T61" s="6"/>
      <c r="U61" s="27">
        <f>R62/(R62+S62)</f>
        <v>0.47014944227586819</v>
      </c>
      <c r="V61" s="27">
        <f t="shared" si="35"/>
        <v>0.52985055772413181</v>
      </c>
      <c r="W61" s="6"/>
    </row>
    <row r="62" spans="1:23" s="70" customFormat="1" x14ac:dyDescent="0.25">
      <c r="A62" s="16" t="s">
        <v>35</v>
      </c>
      <c r="B62" s="6"/>
      <c r="C62" s="6"/>
      <c r="D62" s="9">
        <f>SUM(D63:D64)</f>
        <v>14040669</v>
      </c>
      <c r="E62" s="15">
        <f>SUM(E63:E64)</f>
        <v>0.14135396369291059</v>
      </c>
      <c r="F62" s="6"/>
      <c r="G62" s="14">
        <f>SUMPRODUCT(G63:G64,E64:E65)/SUM(E64:E65)</f>
        <v>56.87706398315018</v>
      </c>
      <c r="H62" s="14">
        <f>SUMPRODUCT(H63:H64,E64:E65)/SUM(E64:E65)</f>
        <v>43.122936016849827</v>
      </c>
      <c r="I62" s="13"/>
      <c r="J62" s="13">
        <v>39</v>
      </c>
      <c r="K62" s="13">
        <v>39</v>
      </c>
      <c r="L62" s="13">
        <v>17</v>
      </c>
      <c r="M62" s="13">
        <v>5</v>
      </c>
      <c r="N62" s="6"/>
      <c r="O62" s="27">
        <f>J62/(J62+K62)</f>
        <v>0.5</v>
      </c>
      <c r="P62" s="27">
        <f t="shared" si="36"/>
        <v>0.5</v>
      </c>
      <c r="Q62" s="21">
        <f>L62-L83+M62-M83</f>
        <v>17</v>
      </c>
      <c r="R62" s="29">
        <f t="shared" si="37"/>
        <v>44.661000000000001</v>
      </c>
      <c r="S62" s="29">
        <f t="shared" si="38"/>
        <v>50.3322</v>
      </c>
      <c r="T62" s="6"/>
      <c r="U62" s="6"/>
      <c r="V62" s="6"/>
      <c r="W62" s="6"/>
    </row>
    <row r="63" spans="1:23" s="70" customFormat="1" x14ac:dyDescent="0.25">
      <c r="A63" s="16" t="s">
        <v>3</v>
      </c>
      <c r="B63" s="6"/>
      <c r="C63" s="6"/>
      <c r="D63" s="9">
        <v>7008759</v>
      </c>
      <c r="E63" s="15">
        <f>D63/$D$86</f>
        <v>7.0560445888893208E-2</v>
      </c>
      <c r="F63" s="6"/>
      <c r="G63" s="14">
        <v>49.079758627739942</v>
      </c>
      <c r="H63" s="14">
        <v>50.920241372260058</v>
      </c>
      <c r="I63" s="13"/>
      <c r="J63" s="13"/>
      <c r="K63" s="13"/>
      <c r="L63" s="13"/>
      <c r="M63" s="13"/>
      <c r="N63" s="6"/>
      <c r="O63" s="13"/>
      <c r="P63" s="13"/>
      <c r="Q63" s="13"/>
      <c r="R63" s="6"/>
      <c r="S63" s="6"/>
      <c r="T63" s="6"/>
      <c r="U63" s="6"/>
      <c r="V63" s="6"/>
      <c r="W63" s="6"/>
    </row>
    <row r="64" spans="1:23" s="70" customFormat="1" ht="15.75" thickBot="1" x14ac:dyDescent="0.3">
      <c r="A64" s="16" t="s">
        <v>6</v>
      </c>
      <c r="B64" s="6"/>
      <c r="C64" s="6"/>
      <c r="D64" s="9">
        <v>7031910</v>
      </c>
      <c r="E64" s="15">
        <f>D64/$D$86</f>
        <v>7.0793517804017381E-2</v>
      </c>
      <c r="F64" s="6"/>
      <c r="G64" s="14">
        <v>57.429062658651773</v>
      </c>
      <c r="H64" s="14">
        <v>42.570937341348227</v>
      </c>
      <c r="I64" s="13"/>
      <c r="J64" s="13"/>
      <c r="K64" s="13"/>
      <c r="L64" s="13"/>
      <c r="M64" s="13"/>
      <c r="N64" s="6"/>
      <c r="O64" s="13"/>
      <c r="P64" s="13"/>
      <c r="Q64" s="13"/>
      <c r="R64" s="6"/>
      <c r="S64" s="6"/>
      <c r="T64" s="6"/>
      <c r="U64" s="48">
        <f>U61*E62+U60*E61+U59*E60+U58*E59</f>
        <v>0.51232101744759673</v>
      </c>
      <c r="V64" s="48">
        <f>1-U64</f>
        <v>0.48767898255240327</v>
      </c>
      <c r="W64" s="49">
        <f>U64-V64</f>
        <v>2.4642034895193454E-2</v>
      </c>
    </row>
    <row r="65" spans="1:23" s="70" customFormat="1" ht="15.75" thickBot="1" x14ac:dyDescent="0.3">
      <c r="A65" s="22" t="s">
        <v>34</v>
      </c>
      <c r="B65" s="23"/>
      <c r="C65" s="23"/>
      <c r="D65" s="24">
        <f>SUM(D63:D64,D59:D61)</f>
        <v>99329857</v>
      </c>
      <c r="E65" s="25">
        <f>D65/$D$86</f>
        <v>1</v>
      </c>
      <c r="F65" s="23"/>
      <c r="G65" s="28">
        <v>56.05</v>
      </c>
      <c r="H65" s="28">
        <v>43.95</v>
      </c>
      <c r="I65" s="23"/>
      <c r="J65" s="23">
        <v>42</v>
      </c>
      <c r="K65" s="23">
        <v>33</v>
      </c>
      <c r="L65" s="23">
        <v>20</v>
      </c>
      <c r="M65" s="26">
        <v>5</v>
      </c>
      <c r="N65" s="6"/>
      <c r="O65" s="27">
        <f>O62*E62+O61*E61+O60*E60+O59*E59</f>
        <v>0.54824748614116703</v>
      </c>
      <c r="P65" s="27">
        <f t="shared" ref="P65" si="39">1-O65</f>
        <v>0.45175251385883297</v>
      </c>
      <c r="Q65" s="13"/>
      <c r="R65" s="29"/>
      <c r="S65" s="29"/>
      <c r="T65" s="6"/>
      <c r="U65" s="15"/>
      <c r="V65" s="15"/>
      <c r="W65" s="19"/>
    </row>
    <row r="66" spans="1:23" x14ac:dyDescent="0.25">
      <c r="O66" s="13"/>
      <c r="P66" s="13"/>
      <c r="Q66" s="13"/>
      <c r="T66" s="70"/>
      <c r="U66" s="70"/>
      <c r="V66" s="70"/>
      <c r="W66" s="70"/>
    </row>
    <row r="67" spans="1:23" ht="18.75" x14ac:dyDescent="0.3">
      <c r="A67" s="18">
        <v>2010</v>
      </c>
      <c r="B67" s="18"/>
      <c r="C67" s="18"/>
      <c r="D67" s="70"/>
      <c r="E67" s="70"/>
      <c r="F67" s="70"/>
      <c r="G67" s="238" t="s">
        <v>27</v>
      </c>
      <c r="H67" s="238"/>
      <c r="I67" s="70"/>
      <c r="J67" s="238" t="s">
        <v>78</v>
      </c>
      <c r="K67" s="238"/>
      <c r="L67" s="238"/>
      <c r="M67" s="238"/>
      <c r="N67" s="70"/>
      <c r="O67" s="238" t="s">
        <v>36</v>
      </c>
      <c r="P67" s="238"/>
      <c r="Q67" s="70"/>
      <c r="R67" s="70"/>
      <c r="S67" s="70"/>
      <c r="T67" s="70"/>
      <c r="U67" s="70"/>
      <c r="V67" s="70"/>
      <c r="W67" s="70"/>
    </row>
    <row r="68" spans="1:23" x14ac:dyDescent="0.25">
      <c r="A68" s="70"/>
      <c r="B68" s="70"/>
      <c r="C68" s="70"/>
      <c r="D68" t="s">
        <v>41</v>
      </c>
      <c r="E68" t="s">
        <v>8</v>
      </c>
      <c r="F68" s="70"/>
      <c r="G68" s="70" t="s">
        <v>4</v>
      </c>
      <c r="H68" s="70" t="s">
        <v>24</v>
      </c>
      <c r="I68" s="70"/>
      <c r="J68" s="70" t="s">
        <v>4</v>
      </c>
      <c r="K68" s="70" t="s">
        <v>24</v>
      </c>
      <c r="L68" s="70" t="s">
        <v>32</v>
      </c>
      <c r="M68" s="70" t="s">
        <v>33</v>
      </c>
      <c r="N68" s="70"/>
      <c r="O68" s="70" t="s">
        <v>4</v>
      </c>
      <c r="P68" s="70" t="s">
        <v>24</v>
      </c>
      <c r="Q68" s="70"/>
      <c r="R68" s="70"/>
      <c r="S68" s="70"/>
      <c r="T68" s="70"/>
      <c r="U68" s="70"/>
      <c r="V68" s="70"/>
      <c r="W68" s="70"/>
    </row>
    <row r="69" spans="1:23" x14ac:dyDescent="0.25">
      <c r="A69" s="71" t="s">
        <v>0</v>
      </c>
      <c r="B69" s="71"/>
      <c r="C69" s="71"/>
      <c r="D69" s="9">
        <v>43450786</v>
      </c>
      <c r="E69" s="15">
        <f>D69/$D$86</f>
        <v>0.43743932904282745</v>
      </c>
      <c r="F69" s="70"/>
      <c r="G69" s="14">
        <v>51.876380326008373</v>
      </c>
      <c r="H69" s="14">
        <v>48.123619673991627</v>
      </c>
      <c r="I69" s="70"/>
      <c r="J69" s="70">
        <v>48</v>
      </c>
      <c r="K69" s="70">
        <v>44</v>
      </c>
      <c r="L69" s="70">
        <v>5</v>
      </c>
      <c r="M69" s="70">
        <v>3</v>
      </c>
      <c r="N69" s="70"/>
      <c r="O69" s="17">
        <f>J69/SUM(J69:K69)*100</f>
        <v>52.173913043478258</v>
      </c>
      <c r="P69" s="17">
        <f>K69/SUM(J69:K69)*100</f>
        <v>47.826086956521742</v>
      </c>
      <c r="Q69" s="70"/>
      <c r="R69" s="70"/>
      <c r="S69" s="70"/>
      <c r="T69" s="70"/>
      <c r="U69" s="70"/>
      <c r="V69" s="70"/>
      <c r="W69" s="70"/>
    </row>
    <row r="70" spans="1:23" x14ac:dyDescent="0.25">
      <c r="A70" s="71" t="s">
        <v>1</v>
      </c>
      <c r="B70" s="71"/>
      <c r="C70" s="71"/>
      <c r="D70" s="9">
        <v>15760631</v>
      </c>
      <c r="E70" s="15">
        <f>D70/$D$86</f>
        <v>0.15866962337416834</v>
      </c>
      <c r="F70" s="70"/>
      <c r="G70" s="14">
        <v>46.109023172993517</v>
      </c>
      <c r="H70" s="14">
        <v>53.89097682700649</v>
      </c>
      <c r="I70" s="70"/>
      <c r="J70" s="70">
        <v>42</v>
      </c>
      <c r="K70" s="70">
        <v>50</v>
      </c>
      <c r="L70" s="70">
        <v>3</v>
      </c>
      <c r="M70" s="70">
        <v>5</v>
      </c>
      <c r="N70" s="70"/>
      <c r="O70" s="17">
        <f t="shared" ref="O70:O72" si="40">J70/SUM(J70:K70)*100</f>
        <v>45.652173913043477</v>
      </c>
      <c r="P70" s="17">
        <f t="shared" ref="P70:P72" si="41">K70/SUM(J70:K70)*100</f>
        <v>54.347826086956516</v>
      </c>
      <c r="Q70" s="70"/>
      <c r="R70" s="70"/>
      <c r="S70" s="70"/>
      <c r="T70" s="69"/>
      <c r="U70" s="70"/>
      <c r="V70" s="70"/>
      <c r="W70" s="70"/>
    </row>
    <row r="71" spans="1:23" x14ac:dyDescent="0.25">
      <c r="A71" s="71" t="s">
        <v>2</v>
      </c>
      <c r="B71" s="71"/>
      <c r="C71" s="71"/>
      <c r="D71" s="9">
        <v>26077771</v>
      </c>
      <c r="E71" s="15">
        <f>D71/$D$86</f>
        <v>0.26253708389009361</v>
      </c>
      <c r="F71" s="70"/>
      <c r="G71" s="14">
        <v>70.578842800636593</v>
      </c>
      <c r="H71" s="14">
        <v>29.421157199363396</v>
      </c>
      <c r="I71" s="70"/>
      <c r="J71" s="70">
        <v>63</v>
      </c>
      <c r="K71" s="70">
        <v>30</v>
      </c>
      <c r="L71" s="70">
        <v>3</v>
      </c>
      <c r="M71" s="70">
        <v>4</v>
      </c>
      <c r="N71" s="70"/>
      <c r="O71" s="17">
        <f t="shared" si="40"/>
        <v>67.741935483870961</v>
      </c>
      <c r="P71" s="17">
        <f t="shared" si="41"/>
        <v>32.258064516129032</v>
      </c>
      <c r="Q71" s="70"/>
      <c r="R71" s="70"/>
      <c r="S71" s="69"/>
      <c r="T71" s="70"/>
      <c r="U71" s="70"/>
      <c r="V71" s="70"/>
      <c r="W71" s="70"/>
    </row>
    <row r="72" spans="1:23" x14ac:dyDescent="0.25">
      <c r="A72" s="71" t="s">
        <v>35</v>
      </c>
      <c r="B72" s="71"/>
      <c r="C72" s="71"/>
      <c r="D72" s="9">
        <f>SUM(D73:D74)</f>
        <v>14040669</v>
      </c>
      <c r="E72" s="15">
        <f>SUM(E73:E74)</f>
        <v>0.14135396369291059</v>
      </c>
      <c r="F72" s="70"/>
      <c r="G72" s="14">
        <f>SUMPRODUCT(G73:G74,E73:E74)/SUM(E73:E74)</f>
        <v>53.261294030932568</v>
      </c>
      <c r="H72" s="14">
        <f>SUMPRODUCT(H73:H74,E73:E74)/SUM(E73:E74)</f>
        <v>46.738705969067432</v>
      </c>
      <c r="I72" s="70"/>
      <c r="J72" s="70">
        <v>50</v>
      </c>
      <c r="K72" s="70">
        <v>42</v>
      </c>
      <c r="L72" s="70">
        <v>3</v>
      </c>
      <c r="M72" s="70">
        <v>5</v>
      </c>
      <c r="N72" s="70"/>
      <c r="O72" s="17">
        <f t="shared" si="40"/>
        <v>54.347826086956516</v>
      </c>
      <c r="P72" s="17">
        <f t="shared" si="41"/>
        <v>45.652173913043477</v>
      </c>
      <c r="Q72" s="70"/>
      <c r="R72" s="70"/>
      <c r="S72" s="70"/>
      <c r="T72" s="70"/>
      <c r="U72" s="70"/>
      <c r="V72" s="70"/>
      <c r="W72" s="70"/>
    </row>
    <row r="73" spans="1:23" x14ac:dyDescent="0.25">
      <c r="A73" s="71" t="s">
        <v>3</v>
      </c>
      <c r="B73" s="71"/>
      <c r="C73" s="71"/>
      <c r="D73" s="9">
        <v>7008759</v>
      </c>
      <c r="E73" s="15">
        <f t="shared" ref="E73:E75" si="42">D73/$D$86</f>
        <v>7.0560445888893208E-2</v>
      </c>
      <c r="F73" s="70"/>
      <c r="G73" s="14">
        <v>49.079758627739942</v>
      </c>
      <c r="H73" s="14">
        <v>50.920241372260058</v>
      </c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</row>
    <row r="74" spans="1:23" x14ac:dyDescent="0.25">
      <c r="A74" s="71" t="s">
        <v>6</v>
      </c>
      <c r="B74" s="71"/>
      <c r="C74" s="71"/>
      <c r="D74" s="9">
        <v>7031910</v>
      </c>
      <c r="E74" s="15">
        <f t="shared" si="42"/>
        <v>7.0793517804017381E-2</v>
      </c>
      <c r="F74" s="70"/>
      <c r="G74" s="14">
        <v>57.429062658651773</v>
      </c>
      <c r="H74" s="14">
        <v>42.570937341348227</v>
      </c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</row>
    <row r="75" spans="1:23" x14ac:dyDescent="0.25">
      <c r="A75" s="71" t="s">
        <v>34</v>
      </c>
      <c r="B75" s="71"/>
      <c r="C75" s="71"/>
      <c r="D75" s="9">
        <f>SUM(D73:D74,D69:D71)</f>
        <v>99329857</v>
      </c>
      <c r="E75" s="15">
        <f t="shared" si="42"/>
        <v>1</v>
      </c>
      <c r="F75" s="70"/>
      <c r="G75" s="70">
        <v>56.05</v>
      </c>
      <c r="H75" s="70">
        <v>43.95</v>
      </c>
      <c r="I75" s="70"/>
      <c r="J75" s="70">
        <v>51</v>
      </c>
      <c r="K75" s="70">
        <v>41</v>
      </c>
      <c r="L75" s="70">
        <v>4</v>
      </c>
      <c r="M75" s="70">
        <v>4</v>
      </c>
      <c r="N75" s="70"/>
      <c r="O75" s="17">
        <f t="shared" ref="O75" si="43">J75/SUM(J75:K75)*100</f>
        <v>55.434782608695656</v>
      </c>
      <c r="P75" s="17">
        <f t="shared" ref="P75" si="44">K75/SUM(J75:K75)*100</f>
        <v>44.565217391304344</v>
      </c>
      <c r="Q75" s="70"/>
      <c r="R75" s="70"/>
      <c r="S75" s="70"/>
    </row>
    <row r="76" spans="1:23" x14ac:dyDescent="0.25">
      <c r="O76" s="13"/>
      <c r="P76" s="13"/>
      <c r="Q76" s="13"/>
    </row>
    <row r="78" spans="1:23" ht="18.75" x14ac:dyDescent="0.3">
      <c r="A78" s="18">
        <v>2010</v>
      </c>
      <c r="B78" s="18"/>
      <c r="C78" s="18"/>
      <c r="G78" s="238" t="s">
        <v>27</v>
      </c>
      <c r="H78" s="238"/>
      <c r="J78" s="238" t="s">
        <v>77</v>
      </c>
      <c r="K78" s="238"/>
      <c r="L78" s="238"/>
      <c r="M78" s="238"/>
      <c r="O78" s="238" t="s">
        <v>36</v>
      </c>
      <c r="P78" s="238"/>
    </row>
    <row r="79" spans="1:23" x14ac:dyDescent="0.25">
      <c r="D79" t="s">
        <v>41</v>
      </c>
      <c r="E79" t="s">
        <v>8</v>
      </c>
      <c r="G79" s="6" t="s">
        <v>4</v>
      </c>
      <c r="H79" s="6" t="s">
        <v>24</v>
      </c>
      <c r="J79" s="6" t="s">
        <v>4</v>
      </c>
      <c r="K79" s="6" t="s">
        <v>24</v>
      </c>
      <c r="L79" s="6" t="s">
        <v>32</v>
      </c>
      <c r="M79" s="6" t="s">
        <v>33</v>
      </c>
      <c r="O79" s="6" t="s">
        <v>4</v>
      </c>
      <c r="P79" s="6" t="s">
        <v>24</v>
      </c>
    </row>
    <row r="80" spans="1:23" x14ac:dyDescent="0.25">
      <c r="A80" s="16" t="s">
        <v>0</v>
      </c>
      <c r="B80" s="16"/>
      <c r="C80" s="16"/>
      <c r="D80" s="9">
        <v>43450786</v>
      </c>
      <c r="E80" s="15">
        <f>D80/$D$86</f>
        <v>0.43743932904282745</v>
      </c>
      <c r="G80" s="14">
        <v>51.876380326008373</v>
      </c>
      <c r="H80" s="14">
        <v>48.123619673991627</v>
      </c>
      <c r="J80" s="6">
        <v>50</v>
      </c>
      <c r="K80" s="6">
        <v>40</v>
      </c>
      <c r="L80" s="6">
        <v>6</v>
      </c>
      <c r="M80" s="6">
        <v>4</v>
      </c>
      <c r="O80" s="17">
        <v>55</v>
      </c>
      <c r="P80" s="17">
        <v>45</v>
      </c>
    </row>
    <row r="81" spans="1:20" x14ac:dyDescent="0.25">
      <c r="A81" s="16" t="s">
        <v>1</v>
      </c>
      <c r="B81" s="16"/>
      <c r="C81" s="16"/>
      <c r="D81" s="9">
        <v>15760631</v>
      </c>
      <c r="E81" s="15">
        <f t="shared" ref="E81:E86" si="45">D81/$D$86</f>
        <v>0.15866962337416834</v>
      </c>
      <c r="G81" s="14">
        <v>46.109023172993517</v>
      </c>
      <c r="H81" s="14">
        <v>53.89097682700649</v>
      </c>
      <c r="J81" s="6">
        <v>42</v>
      </c>
      <c r="K81" s="6">
        <v>49</v>
      </c>
      <c r="L81" s="6">
        <v>6</v>
      </c>
      <c r="M81" s="6">
        <v>3</v>
      </c>
      <c r="O81" s="17">
        <v>46</v>
      </c>
      <c r="P81" s="17">
        <v>54</v>
      </c>
      <c r="T81" s="69"/>
    </row>
    <row r="82" spans="1:20" x14ac:dyDescent="0.25">
      <c r="A82" s="16" t="s">
        <v>2</v>
      </c>
      <c r="B82" s="16"/>
      <c r="C82" s="16"/>
      <c r="D82" s="9">
        <v>26077771</v>
      </c>
      <c r="E82" s="15">
        <f t="shared" si="45"/>
        <v>0.26253708389009361</v>
      </c>
      <c r="G82" s="14">
        <v>70.578842800636593</v>
      </c>
      <c r="H82" s="14">
        <v>29.421157199363396</v>
      </c>
      <c r="J82" s="6">
        <v>66</v>
      </c>
      <c r="K82" s="6">
        <v>29</v>
      </c>
      <c r="L82" s="6">
        <v>3</v>
      </c>
      <c r="M82" s="6">
        <v>2</v>
      </c>
      <c r="O82" s="17">
        <v>69</v>
      </c>
      <c r="P82" s="17">
        <v>31</v>
      </c>
      <c r="S82" s="69"/>
    </row>
    <row r="83" spans="1:20" x14ac:dyDescent="0.25">
      <c r="A83" s="16" t="s">
        <v>35</v>
      </c>
      <c r="B83" s="16"/>
      <c r="C83" s="16"/>
      <c r="D83" s="9">
        <f>SUM(D84:D85)</f>
        <v>14040669</v>
      </c>
      <c r="E83" s="15">
        <f>SUM(E84:E85)</f>
        <v>0.14135396369291059</v>
      </c>
      <c r="G83" s="14">
        <f>SUMPRODUCT(G84:G85,E84:E85)/SUM(E84:E85)</f>
        <v>53.261294030932568</v>
      </c>
      <c r="H83" s="14">
        <f>SUMPRODUCT(H84:H85,E84:E85)/SUM(E84:E85)</f>
        <v>46.738705969067432</v>
      </c>
      <c r="J83" s="6">
        <v>43</v>
      </c>
      <c r="K83" s="6">
        <v>52</v>
      </c>
      <c r="L83" s="6">
        <v>3</v>
      </c>
      <c r="M83" s="6">
        <v>2</v>
      </c>
      <c r="O83" s="17">
        <v>46</v>
      </c>
      <c r="P83" s="17">
        <v>54</v>
      </c>
    </row>
    <row r="84" spans="1:20" x14ac:dyDescent="0.25">
      <c r="A84" s="16" t="s">
        <v>3</v>
      </c>
      <c r="B84" s="16"/>
      <c r="C84" s="16"/>
      <c r="D84" s="9">
        <v>7008759</v>
      </c>
      <c r="E84" s="15">
        <f t="shared" si="45"/>
        <v>7.0560445888893208E-2</v>
      </c>
      <c r="G84" s="14">
        <v>49.079758627739942</v>
      </c>
      <c r="H84" s="14">
        <v>50.920241372260058</v>
      </c>
    </row>
    <row r="85" spans="1:20" x14ac:dyDescent="0.25">
      <c r="A85" s="16" t="s">
        <v>6</v>
      </c>
      <c r="B85" s="16"/>
      <c r="C85" s="16"/>
      <c r="D85" s="9">
        <v>7031910</v>
      </c>
      <c r="E85" s="15">
        <f t="shared" si="45"/>
        <v>7.0793517804017381E-2</v>
      </c>
      <c r="G85" s="14">
        <v>57.429062658651773</v>
      </c>
      <c r="H85" s="14">
        <v>42.570937341348227</v>
      </c>
    </row>
    <row r="86" spans="1:20" x14ac:dyDescent="0.25">
      <c r="A86" s="16" t="s">
        <v>34</v>
      </c>
      <c r="B86" s="16"/>
      <c r="C86" s="16"/>
      <c r="D86" s="9">
        <f>SUM(D84:D85,D80:D82)</f>
        <v>99329857</v>
      </c>
      <c r="E86" s="15">
        <f t="shared" si="45"/>
        <v>1</v>
      </c>
      <c r="G86" s="6">
        <v>56.05</v>
      </c>
      <c r="H86" s="6">
        <v>43.95</v>
      </c>
      <c r="J86" s="6">
        <v>52</v>
      </c>
      <c r="K86" s="6">
        <v>40</v>
      </c>
      <c r="L86" s="6">
        <v>5</v>
      </c>
      <c r="M86" s="6">
        <v>2</v>
      </c>
      <c r="O86" s="6">
        <v>56</v>
      </c>
      <c r="P86" s="6">
        <v>44</v>
      </c>
    </row>
    <row r="87" spans="1:20" x14ac:dyDescent="0.25">
      <c r="S87" s="76"/>
    </row>
    <row r="90" spans="1:20" ht="18.75" x14ac:dyDescent="0.3">
      <c r="A90" s="18">
        <v>2006</v>
      </c>
      <c r="B90" s="18"/>
      <c r="C90" s="18"/>
      <c r="G90" s="238" t="s">
        <v>39</v>
      </c>
      <c r="H90" s="238"/>
      <c r="J90" s="238" t="s">
        <v>31</v>
      </c>
      <c r="K90" s="238"/>
      <c r="L90" s="238"/>
      <c r="M90" s="238"/>
      <c r="O90" s="238" t="s">
        <v>36</v>
      </c>
      <c r="P90" s="238"/>
    </row>
    <row r="91" spans="1:20" x14ac:dyDescent="0.25">
      <c r="B91" s="6" t="s">
        <v>43</v>
      </c>
      <c r="C91" s="6" t="s">
        <v>42</v>
      </c>
      <c r="D91" t="s">
        <v>41</v>
      </c>
      <c r="E91" t="s">
        <v>8</v>
      </c>
      <c r="G91" s="6" t="s">
        <v>37</v>
      </c>
      <c r="H91" s="6" t="s">
        <v>38</v>
      </c>
      <c r="J91" s="6" t="s">
        <v>37</v>
      </c>
      <c r="K91" s="6" t="s">
        <v>38</v>
      </c>
      <c r="L91" s="6" t="s">
        <v>32</v>
      </c>
      <c r="M91" s="6" t="s">
        <v>33</v>
      </c>
      <c r="O91" s="6" t="s">
        <v>37</v>
      </c>
      <c r="P91" s="6" t="s">
        <v>38</v>
      </c>
    </row>
    <row r="92" spans="1:20" x14ac:dyDescent="0.25">
      <c r="A92" s="16" t="s">
        <v>0</v>
      </c>
      <c r="B92" s="19">
        <v>0.17480000000000001</v>
      </c>
      <c r="C92" s="19">
        <v>0.93910000000000005</v>
      </c>
      <c r="D92" s="9">
        <v>42580441</v>
      </c>
      <c r="E92" s="15">
        <f>D92/$D$86</f>
        <v>0.42867715998020617</v>
      </c>
      <c r="G92" s="14">
        <v>56.87</v>
      </c>
      <c r="H92" s="14">
        <v>43.13</v>
      </c>
      <c r="J92" s="6">
        <v>53</v>
      </c>
      <c r="K92" s="17">
        <v>39</v>
      </c>
      <c r="O92" s="14">
        <f>J92/(SUM(J92:K92)/100)</f>
        <v>57.608695652173914</v>
      </c>
      <c r="P92" s="14">
        <f>K92/(SUM(J92:K92)/100)</f>
        <v>42.391304347826086</v>
      </c>
    </row>
    <row r="93" spans="1:20" x14ac:dyDescent="0.25">
      <c r="A93" s="16" t="s">
        <v>1</v>
      </c>
      <c r="B93" s="19">
        <v>0.16189999999999999</v>
      </c>
      <c r="C93" s="19">
        <v>0.93769999999999998</v>
      </c>
      <c r="D93" s="9">
        <v>14963814</v>
      </c>
      <c r="E93" s="15">
        <f>D93/$D$86</f>
        <v>0.15064769498258715</v>
      </c>
      <c r="G93" s="6">
        <v>46.49</v>
      </c>
      <c r="H93" s="14">
        <v>53.51</v>
      </c>
      <c r="J93" s="6">
        <v>45</v>
      </c>
      <c r="K93" s="17">
        <v>48</v>
      </c>
      <c r="O93" s="14">
        <f t="shared" ref="O93:O95" si="46">J93/(SUM(J93:K93)/100)</f>
        <v>48.387096774193544</v>
      </c>
      <c r="P93" s="14">
        <f t="shared" ref="P93:P95" si="47">K93/(SUM(J93:K93)/100)</f>
        <v>51.612903225806448</v>
      </c>
    </row>
    <row r="94" spans="1:20" x14ac:dyDescent="0.25">
      <c r="A94" s="16" t="s">
        <v>2</v>
      </c>
      <c r="B94" s="19">
        <v>0.2114</v>
      </c>
      <c r="C94" s="19">
        <v>0.93210000000000004</v>
      </c>
      <c r="D94" s="9">
        <v>25090197</v>
      </c>
      <c r="E94" s="15">
        <f>D94/$D$86</f>
        <v>0.25259471580634613</v>
      </c>
      <c r="G94" s="14">
        <v>77.13</v>
      </c>
      <c r="H94" s="14">
        <v>22.87</v>
      </c>
      <c r="J94" s="6">
        <v>75</v>
      </c>
      <c r="K94" s="17">
        <v>21</v>
      </c>
      <c r="O94" s="14">
        <f t="shared" si="46"/>
        <v>78.125</v>
      </c>
      <c r="P94" s="14">
        <f t="shared" si="47"/>
        <v>21.875</v>
      </c>
    </row>
    <row r="95" spans="1:20" x14ac:dyDescent="0.25">
      <c r="A95" s="16" t="s">
        <v>35</v>
      </c>
      <c r="B95" s="19">
        <f>SUMPRODUCT(B96:B97,E96:E97)/SUM(E96:E97)</f>
        <v>0.2237326893587103</v>
      </c>
      <c r="C95" s="19">
        <f>SUMPRODUCT(C96:C97,E96:E97)/SUM(E96:E97)</f>
        <v>0.95821029567392335</v>
      </c>
      <c r="D95" s="9">
        <f>SUM(D96:D97)</f>
        <v>13164908</v>
      </c>
      <c r="E95" s="15">
        <f>SUM(E96:E97)</f>
        <v>0.13253726923215042</v>
      </c>
      <c r="G95" s="14">
        <f>SUMPRODUCT(G96:G97,E96:E97)/SUM(E96:E97)</f>
        <v>58.890075979262448</v>
      </c>
      <c r="H95" s="14">
        <f>SUMPRODUCT(H96:H97,E96:E97)/SUM(E96:E97)</f>
        <v>41.109924020737544</v>
      </c>
      <c r="J95" s="6">
        <v>62</v>
      </c>
      <c r="K95" s="17">
        <v>32</v>
      </c>
      <c r="O95" s="14">
        <f t="shared" si="46"/>
        <v>65.957446808510639</v>
      </c>
      <c r="P95" s="14">
        <f t="shared" si="47"/>
        <v>34.042553191489361</v>
      </c>
    </row>
    <row r="96" spans="1:20" x14ac:dyDescent="0.25">
      <c r="A96" s="16" t="s">
        <v>3</v>
      </c>
      <c r="B96" s="19">
        <v>0.2054</v>
      </c>
      <c r="C96" s="19">
        <v>0.94520000000000004</v>
      </c>
      <c r="D96" s="9">
        <v>6677054</v>
      </c>
      <c r="E96" s="15">
        <f>D96/$D$86</f>
        <v>6.7221016939549197E-2</v>
      </c>
      <c r="G96" s="14">
        <v>52.38</v>
      </c>
      <c r="H96" s="14">
        <v>47.62</v>
      </c>
    </row>
    <row r="97" spans="1:16" x14ac:dyDescent="0.25">
      <c r="A97" s="16" t="s">
        <v>6</v>
      </c>
      <c r="B97" s="19">
        <v>0.24260000000000001</v>
      </c>
      <c r="C97" s="19">
        <v>0.97160000000000002</v>
      </c>
      <c r="D97" s="9">
        <v>6487854</v>
      </c>
      <c r="E97" s="15">
        <f>D97/$D$86</f>
        <v>6.5316252292601212E-2</v>
      </c>
      <c r="G97" s="14">
        <v>65.59</v>
      </c>
      <c r="H97" s="14">
        <v>34.409999999999997</v>
      </c>
    </row>
    <row r="98" spans="1:16" x14ac:dyDescent="0.25">
      <c r="A98" s="16" t="s">
        <v>34</v>
      </c>
      <c r="B98" s="19">
        <v>0.18990000000000001</v>
      </c>
      <c r="C98" s="19">
        <f>100%-1.32%-4.71%</f>
        <v>0.93969999999999998</v>
      </c>
      <c r="D98" s="9">
        <f>SUM(D96:D97,D92:D94)</f>
        <v>95799360</v>
      </c>
      <c r="E98" s="15">
        <f>D98/$D$86</f>
        <v>0.96445684000128984</v>
      </c>
      <c r="G98" s="6">
        <v>60.83</v>
      </c>
      <c r="H98" s="6">
        <v>39.17</v>
      </c>
      <c r="O98" s="6">
        <v>61</v>
      </c>
      <c r="P98" s="6">
        <v>39</v>
      </c>
    </row>
    <row r="102" spans="1:16" ht="18.75" x14ac:dyDescent="0.3">
      <c r="A102" s="18">
        <v>2002</v>
      </c>
      <c r="B102" s="18"/>
      <c r="C102" s="18"/>
      <c r="G102" s="238" t="s">
        <v>40</v>
      </c>
      <c r="H102" s="238"/>
      <c r="J102" s="238" t="s">
        <v>31</v>
      </c>
      <c r="K102" s="238"/>
      <c r="L102" s="238"/>
      <c r="M102" s="238"/>
      <c r="O102" s="238" t="s">
        <v>36</v>
      </c>
      <c r="P102" s="238"/>
    </row>
    <row r="103" spans="1:16" x14ac:dyDescent="0.25">
      <c r="G103" s="6" t="s">
        <v>37</v>
      </c>
      <c r="H103" s="6" t="s">
        <v>38</v>
      </c>
      <c r="J103" s="6" t="s">
        <v>37</v>
      </c>
      <c r="K103" s="6" t="s">
        <v>38</v>
      </c>
      <c r="L103" s="6" t="s">
        <v>32</v>
      </c>
      <c r="M103" s="6" t="s">
        <v>33</v>
      </c>
      <c r="O103" s="6" t="s">
        <v>37</v>
      </c>
      <c r="P103" s="6" t="s">
        <v>38</v>
      </c>
    </row>
    <row r="104" spans="1:16" x14ac:dyDescent="0.25">
      <c r="A104" s="16" t="s">
        <v>0</v>
      </c>
      <c r="B104" s="16"/>
      <c r="C104" s="16"/>
      <c r="G104" s="14"/>
      <c r="H104" s="14"/>
      <c r="O104" s="17"/>
      <c r="P104" s="17"/>
    </row>
    <row r="105" spans="1:16" x14ac:dyDescent="0.25">
      <c r="A105" s="16" t="s">
        <v>1</v>
      </c>
      <c r="B105" s="16"/>
      <c r="C105" s="16"/>
      <c r="G105" s="14"/>
      <c r="H105" s="14"/>
      <c r="O105" s="17"/>
      <c r="P105" s="17"/>
    </row>
    <row r="106" spans="1:16" x14ac:dyDescent="0.25">
      <c r="A106" s="16" t="s">
        <v>2</v>
      </c>
      <c r="B106" s="16"/>
      <c r="C106" s="16"/>
      <c r="G106" s="14"/>
      <c r="H106" s="14"/>
      <c r="O106" s="17"/>
      <c r="P106" s="17"/>
    </row>
    <row r="107" spans="1:16" x14ac:dyDescent="0.25">
      <c r="A107" s="16" t="s">
        <v>35</v>
      </c>
      <c r="B107" s="16"/>
      <c r="C107" s="16"/>
      <c r="G107" s="14"/>
      <c r="H107" s="14"/>
      <c r="O107" s="17"/>
      <c r="P107" s="17"/>
    </row>
    <row r="108" spans="1:16" x14ac:dyDescent="0.25">
      <c r="A108" s="16" t="s">
        <v>3</v>
      </c>
      <c r="B108" s="16"/>
      <c r="C108" s="16"/>
      <c r="G108" s="14"/>
      <c r="H108" s="14"/>
    </row>
    <row r="109" spans="1:16" x14ac:dyDescent="0.25">
      <c r="A109" s="16" t="s">
        <v>6</v>
      </c>
      <c r="B109" s="16"/>
      <c r="C109" s="16"/>
      <c r="G109" s="14"/>
      <c r="H109" s="14"/>
    </row>
    <row r="110" spans="1:16" x14ac:dyDescent="0.25">
      <c r="A110" s="16" t="s">
        <v>34</v>
      </c>
      <c r="B110" s="16"/>
      <c r="C110" s="16"/>
      <c r="G110" s="6">
        <v>61.3</v>
      </c>
      <c r="H110" s="6">
        <v>38.700000000000003</v>
      </c>
      <c r="J110" s="6">
        <v>58</v>
      </c>
      <c r="K110" s="6">
        <v>36</v>
      </c>
      <c r="O110" s="6">
        <v>62</v>
      </c>
      <c r="P110" s="6">
        <v>38</v>
      </c>
    </row>
    <row r="146" spans="1:16" ht="18.75" x14ac:dyDescent="0.3">
      <c r="A146" s="20" t="s">
        <v>44</v>
      </c>
      <c r="B146" s="70"/>
      <c r="C146" s="70"/>
      <c r="D146" s="240" t="s">
        <v>45</v>
      </c>
      <c r="E146" s="240"/>
      <c r="F146" s="70"/>
      <c r="G146" s="239" t="s">
        <v>27</v>
      </c>
      <c r="H146" s="239"/>
      <c r="I146" s="70"/>
      <c r="J146" s="70" t="s">
        <v>31</v>
      </c>
      <c r="K146" s="70"/>
      <c r="L146" s="70"/>
      <c r="M146" s="70"/>
      <c r="N146" s="70"/>
      <c r="O146" s="238" t="s">
        <v>36</v>
      </c>
      <c r="P146" s="238"/>
    </row>
    <row r="147" spans="1:16" x14ac:dyDescent="0.25">
      <c r="A147" s="90" t="s">
        <v>76</v>
      </c>
      <c r="B147" s="70"/>
      <c r="C147" s="70"/>
      <c r="D147" t="s">
        <v>41</v>
      </c>
      <c r="E147" t="s">
        <v>8</v>
      </c>
      <c r="F147" s="70"/>
      <c r="G147" s="71" t="s">
        <v>4</v>
      </c>
      <c r="H147" s="71" t="s">
        <v>24</v>
      </c>
      <c r="I147" s="70"/>
      <c r="J147" s="70" t="s">
        <v>4</v>
      </c>
      <c r="K147" s="70" t="s">
        <v>5</v>
      </c>
      <c r="L147" s="70" t="s">
        <v>32</v>
      </c>
      <c r="M147" s="70" t="s">
        <v>33</v>
      </c>
      <c r="N147" s="70"/>
      <c r="O147" s="70" t="s">
        <v>4</v>
      </c>
      <c r="P147" s="70" t="s">
        <v>5</v>
      </c>
    </row>
    <row r="148" spans="1:16" x14ac:dyDescent="0.25">
      <c r="A148" s="71" t="s">
        <v>0</v>
      </c>
      <c r="B148" s="70"/>
      <c r="C148" s="70"/>
      <c r="D148" s="9">
        <v>43450786</v>
      </c>
      <c r="E148" s="15">
        <f>D148/$D$86</f>
        <v>0.43743932904282745</v>
      </c>
      <c r="F148" s="70"/>
      <c r="G148" s="14">
        <v>51.876380326008373</v>
      </c>
      <c r="H148" s="14">
        <v>48.123619673991627</v>
      </c>
      <c r="I148" s="70"/>
      <c r="J148" s="73">
        <v>28</v>
      </c>
      <c r="K148" s="73">
        <v>27</v>
      </c>
      <c r="L148" s="73">
        <v>17</v>
      </c>
      <c r="M148" s="73">
        <v>9</v>
      </c>
      <c r="N148" s="70"/>
      <c r="O148" s="92">
        <f>J148/(100-SUM(L148:M148))*100</f>
        <v>37.837837837837839</v>
      </c>
      <c r="P148" s="92">
        <f>K148/(100-SUM(L148:M148))*100</f>
        <v>36.486486486486484</v>
      </c>
    </row>
    <row r="149" spans="1:16" x14ac:dyDescent="0.25">
      <c r="A149" s="71" t="s">
        <v>1</v>
      </c>
      <c r="B149" s="70"/>
      <c r="C149" s="70"/>
      <c r="D149" s="9">
        <v>15760631</v>
      </c>
      <c r="E149" s="15">
        <f>D149/$D$86</f>
        <v>0.15866962337416834</v>
      </c>
      <c r="F149" s="70"/>
      <c r="G149" s="14">
        <v>46.109023172993517</v>
      </c>
      <c r="H149" s="14">
        <v>53.89097682700649</v>
      </c>
      <c r="I149" s="70"/>
      <c r="J149" s="75">
        <v>33</v>
      </c>
      <c r="K149" s="75">
        <v>22</v>
      </c>
      <c r="L149" s="75">
        <v>10</v>
      </c>
      <c r="M149" s="75">
        <v>21</v>
      </c>
      <c r="N149" s="70"/>
      <c r="O149" s="93">
        <f>J149/(100-SUM(L149:M149))*100</f>
        <v>47.826086956521742</v>
      </c>
      <c r="P149" s="93">
        <f>K149/(100-SUM(L149:M149))*100</f>
        <v>31.884057971014489</v>
      </c>
    </row>
    <row r="150" spans="1:16" x14ac:dyDescent="0.25">
      <c r="A150" s="71" t="s">
        <v>2</v>
      </c>
      <c r="B150" s="70"/>
      <c r="C150" s="70"/>
      <c r="D150" s="9">
        <v>26077771</v>
      </c>
      <c r="E150" s="15">
        <f>D150/$D$86</f>
        <v>0.26253708389009361</v>
      </c>
      <c r="F150" s="70"/>
      <c r="G150" s="14">
        <v>70.578842800636593</v>
      </c>
      <c r="H150" s="14">
        <v>29.421157199363396</v>
      </c>
      <c r="I150" s="70"/>
      <c r="J150" s="74">
        <v>55</v>
      </c>
      <c r="K150" s="74">
        <v>10</v>
      </c>
      <c r="L150" s="74">
        <v>9</v>
      </c>
      <c r="M150" s="74">
        <v>7</v>
      </c>
      <c r="N150" s="70"/>
      <c r="O150" s="94">
        <f>J150/(100-SUM(L150:M150))*100</f>
        <v>65.476190476190482</v>
      </c>
      <c r="P150" s="94">
        <f>K150/(100-SUM(L150:M150))*100</f>
        <v>11.904761904761903</v>
      </c>
    </row>
    <row r="151" spans="1:16" x14ac:dyDescent="0.25">
      <c r="A151" s="71" t="s">
        <v>35</v>
      </c>
      <c r="B151" s="70"/>
      <c r="C151" s="70"/>
      <c r="D151" s="9">
        <v>14040669</v>
      </c>
      <c r="E151" s="15">
        <v>0.14135396369291059</v>
      </c>
      <c r="F151" s="70"/>
      <c r="G151" s="14">
        <v>56.87706398315018</v>
      </c>
      <c r="H151" s="14">
        <v>43.122936016849827</v>
      </c>
      <c r="I151" s="70"/>
      <c r="J151" s="91">
        <f>SUMPRODUCT(J152:J153,$E$6:$E$7)/SUM($E$6:$E$7)</f>
        <v>39.507419838755546</v>
      </c>
      <c r="K151" s="91">
        <f>SUMPRODUCT(K152:K153,$E$6:$E$7)/SUM($E$6:$E$7)</f>
        <v>19.495877867358029</v>
      </c>
      <c r="L151" s="91">
        <f>SUMPRODUCT(L152:L153,$E$6:$E$7)/SUM($E$6:$E$7)</f>
        <v>10.495877867358031</v>
      </c>
      <c r="M151" s="91">
        <f>SUMPRODUCT(M152:M153,$E$6:$E$7)/SUM($E$6:$E$7)</f>
        <v>9.9983511469432127</v>
      </c>
      <c r="N151" s="70"/>
      <c r="O151" s="95">
        <f>J151/(100-SUM(L151:M151))*100</f>
        <v>49.691260582658856</v>
      </c>
      <c r="P151" s="95">
        <f>K151/(100-SUM(L151:M151))*100</f>
        <v>24.521336785558479</v>
      </c>
    </row>
    <row r="152" spans="1:16" x14ac:dyDescent="0.25">
      <c r="A152" s="71" t="s">
        <v>3</v>
      </c>
      <c r="B152" s="70"/>
      <c r="C152" s="70"/>
      <c r="D152" s="9">
        <v>7008759</v>
      </c>
      <c r="E152" s="15">
        <f>D152/$D$86</f>
        <v>7.0560445888893208E-2</v>
      </c>
      <c r="F152" s="70"/>
      <c r="G152" s="14">
        <v>49.079758627739942</v>
      </c>
      <c r="H152" s="14">
        <v>50.920241372260058</v>
      </c>
      <c r="I152" s="70"/>
      <c r="J152" s="70">
        <v>35</v>
      </c>
      <c r="K152" s="70">
        <v>22</v>
      </c>
      <c r="L152" s="70">
        <v>13</v>
      </c>
      <c r="M152" s="70">
        <v>11</v>
      </c>
      <c r="N152" s="70"/>
      <c r="O152" s="95">
        <f t="shared" ref="O152:O153" si="48">J152/(100-SUM(L152:M152))*100</f>
        <v>46.05263157894737</v>
      </c>
      <c r="P152" s="95">
        <f t="shared" ref="P152:P153" si="49">K152/(100-SUM(L152:M152))*100</f>
        <v>28.947368421052634</v>
      </c>
    </row>
    <row r="153" spans="1:16" ht="15.75" thickBot="1" x14ac:dyDescent="0.3">
      <c r="A153" s="71" t="s">
        <v>6</v>
      </c>
      <c r="B153" s="70"/>
      <c r="C153" s="70"/>
      <c r="D153" s="9">
        <v>7031910</v>
      </c>
      <c r="E153" s="15">
        <f>D153/$D$86</f>
        <v>7.0793517804017381E-2</v>
      </c>
      <c r="F153" s="70"/>
      <c r="G153" s="14">
        <v>57.429062658651773</v>
      </c>
      <c r="H153" s="14">
        <v>42.570937341348227</v>
      </c>
      <c r="I153" s="70"/>
      <c r="J153" s="70">
        <v>44</v>
      </c>
      <c r="K153" s="70">
        <v>17</v>
      </c>
      <c r="L153" s="70">
        <v>8</v>
      </c>
      <c r="M153" s="70">
        <v>9</v>
      </c>
      <c r="N153" s="70"/>
      <c r="O153" s="95">
        <f t="shared" si="48"/>
        <v>53.01204819277109</v>
      </c>
      <c r="P153" s="95">
        <f t="shared" si="49"/>
        <v>20.481927710843372</v>
      </c>
    </row>
    <row r="154" spans="1:16" ht="15.75" thickBot="1" x14ac:dyDescent="0.3">
      <c r="A154" s="22" t="s">
        <v>34</v>
      </c>
      <c r="B154" s="23"/>
      <c r="C154" s="23"/>
      <c r="D154" s="24">
        <f>SUM(D152:D153,D148:D150)</f>
        <v>99329857</v>
      </c>
      <c r="E154" s="25">
        <f>D154/$D$86</f>
        <v>1</v>
      </c>
      <c r="F154" s="23"/>
      <c r="G154" s="28">
        <v>56.05</v>
      </c>
      <c r="H154" s="28">
        <v>43.95</v>
      </c>
      <c r="I154" s="23"/>
      <c r="J154" s="23">
        <v>46</v>
      </c>
      <c r="K154" s="23">
        <v>39</v>
      </c>
      <c r="L154" s="23">
        <v>10</v>
      </c>
      <c r="M154" s="26">
        <v>5</v>
      </c>
      <c r="N154" s="70"/>
      <c r="O154" s="96">
        <f>O151*E151+O150*E150+O149*E149+O148*E148</f>
        <v>48.354290357174108</v>
      </c>
      <c r="P154" s="96">
        <f>P151*E151+P150*E150+P149*E149+P148*E148</f>
        <v>27.611285262249389</v>
      </c>
    </row>
    <row r="155" spans="1:16" x14ac:dyDescent="0.25">
      <c r="A155" s="85"/>
      <c r="B155" s="86"/>
      <c r="C155" s="86"/>
      <c r="D155" s="87"/>
      <c r="E155" s="88"/>
      <c r="F155" s="86"/>
      <c r="G155" s="89"/>
      <c r="H155" s="89"/>
      <c r="I155" s="86"/>
      <c r="J155" s="86"/>
      <c r="K155" s="86"/>
      <c r="L155" s="86"/>
      <c r="M155" s="86"/>
      <c r="N155" s="70"/>
      <c r="O155" s="72"/>
      <c r="P155" s="72"/>
    </row>
    <row r="156" spans="1:16" x14ac:dyDescent="0.25">
      <c r="A156" s="85"/>
      <c r="B156" s="86"/>
      <c r="C156" s="86"/>
      <c r="D156" s="87"/>
      <c r="E156" s="88"/>
      <c r="F156" s="86"/>
      <c r="G156" s="89"/>
      <c r="H156" s="89"/>
      <c r="I156" s="86"/>
      <c r="J156" s="86"/>
      <c r="K156" s="86"/>
      <c r="L156" s="86"/>
      <c r="M156" s="86"/>
      <c r="N156" s="70"/>
      <c r="O156" s="72"/>
      <c r="P156" s="72"/>
    </row>
    <row r="157" spans="1:16" x14ac:dyDescent="0.25">
      <c r="A157" s="85"/>
      <c r="B157" s="86"/>
      <c r="C157" s="86"/>
      <c r="D157" s="87"/>
      <c r="E157" s="88"/>
      <c r="F157" s="86"/>
      <c r="G157" s="89"/>
      <c r="H157" s="89"/>
      <c r="I157" s="86"/>
      <c r="J157" s="86"/>
      <c r="K157" s="86"/>
      <c r="L157" s="86"/>
      <c r="M157" s="86"/>
      <c r="N157" s="70"/>
      <c r="O157" s="72"/>
      <c r="P157" s="72"/>
    </row>
    <row r="158" spans="1:16" ht="18.75" x14ac:dyDescent="0.3">
      <c r="A158" s="20" t="s">
        <v>58</v>
      </c>
      <c r="B158" s="70"/>
      <c r="C158" s="70"/>
      <c r="D158" s="240" t="s">
        <v>45</v>
      </c>
      <c r="E158" s="240"/>
      <c r="F158" s="70"/>
      <c r="G158" s="239" t="s">
        <v>27</v>
      </c>
      <c r="H158" s="234"/>
      <c r="I158" s="70"/>
      <c r="J158" s="70" t="s">
        <v>31</v>
      </c>
      <c r="K158" s="70"/>
      <c r="L158" s="70"/>
      <c r="M158" s="70"/>
      <c r="N158" s="70"/>
      <c r="O158" s="238" t="s">
        <v>36</v>
      </c>
      <c r="P158" s="238"/>
    </row>
    <row r="159" spans="1:16" x14ac:dyDescent="0.25">
      <c r="A159" s="90" t="s">
        <v>79</v>
      </c>
      <c r="B159" s="70"/>
      <c r="C159" s="70"/>
      <c r="D159" t="s">
        <v>41</v>
      </c>
      <c r="E159" t="s">
        <v>8</v>
      </c>
      <c r="F159" s="70"/>
      <c r="G159" s="71" t="s">
        <v>4</v>
      </c>
      <c r="H159" s="71" t="s">
        <v>24</v>
      </c>
      <c r="I159" s="70"/>
      <c r="J159" s="70" t="s">
        <v>4</v>
      </c>
      <c r="K159" s="70" t="s">
        <v>5</v>
      </c>
      <c r="L159" s="70" t="s">
        <v>32</v>
      </c>
      <c r="M159" s="70" t="s">
        <v>33</v>
      </c>
      <c r="N159" s="70"/>
      <c r="O159" s="70" t="s">
        <v>4</v>
      </c>
      <c r="P159" s="70" t="s">
        <v>5</v>
      </c>
    </row>
    <row r="160" spans="1:16" x14ac:dyDescent="0.25">
      <c r="A160" s="71" t="s">
        <v>0</v>
      </c>
      <c r="B160" s="70"/>
      <c r="C160" s="70"/>
      <c r="D160" s="9">
        <v>43450786</v>
      </c>
      <c r="E160" s="15">
        <f>D160/$D$86</f>
        <v>0.43743932904282745</v>
      </c>
      <c r="F160" s="70"/>
      <c r="G160" s="14">
        <v>51.876380326008373</v>
      </c>
      <c r="H160" s="14">
        <v>48.123619673991627</v>
      </c>
      <c r="I160" s="70"/>
      <c r="J160" s="73">
        <v>30</v>
      </c>
      <c r="K160" s="73">
        <v>26</v>
      </c>
      <c r="L160" s="73">
        <v>16</v>
      </c>
      <c r="M160" s="73">
        <v>6</v>
      </c>
      <c r="N160" s="70"/>
      <c r="O160" s="92">
        <f>J160/(100-SUM(L160:M160))*100</f>
        <v>38.461538461538467</v>
      </c>
      <c r="P160" s="92">
        <f>K160/(100-SUM(L160:M160))*100</f>
        <v>33.333333333333329</v>
      </c>
    </row>
    <row r="161" spans="1:16" x14ac:dyDescent="0.25">
      <c r="A161" s="71" t="s">
        <v>1</v>
      </c>
      <c r="B161" s="70"/>
      <c r="C161" s="70"/>
      <c r="D161" s="9">
        <v>15760631</v>
      </c>
      <c r="E161" s="15">
        <f>D161/$D$86</f>
        <v>0.15866962337416834</v>
      </c>
      <c r="F161" s="70"/>
      <c r="G161" s="14">
        <v>46.109023172993517</v>
      </c>
      <c r="H161" s="14">
        <v>53.89097682700649</v>
      </c>
      <c r="I161" s="70"/>
      <c r="J161" s="75">
        <v>30</v>
      </c>
      <c r="K161" s="75">
        <v>26</v>
      </c>
      <c r="L161" s="75">
        <v>16</v>
      </c>
      <c r="M161" s="75">
        <v>6</v>
      </c>
      <c r="N161" s="70"/>
      <c r="O161" s="93">
        <f>J161/(100-SUM(L161:M161))*100</f>
        <v>38.461538461538467</v>
      </c>
      <c r="P161" s="93">
        <f>K161/(100-SUM(L161:M161))*100</f>
        <v>33.333333333333329</v>
      </c>
    </row>
    <row r="162" spans="1:16" x14ac:dyDescent="0.25">
      <c r="A162" s="71" t="s">
        <v>2</v>
      </c>
      <c r="B162" s="70"/>
      <c r="C162" s="70"/>
      <c r="D162" s="9">
        <v>26077771</v>
      </c>
      <c r="E162" s="15">
        <f>D162/$D$86</f>
        <v>0.26253708389009361</v>
      </c>
      <c r="F162" s="70"/>
      <c r="G162" s="14">
        <v>70.578842800636593</v>
      </c>
      <c r="H162" s="14">
        <v>29.421157199363396</v>
      </c>
      <c r="I162" s="70"/>
      <c r="J162" s="74">
        <v>52</v>
      </c>
      <c r="K162" s="74">
        <v>8</v>
      </c>
      <c r="L162" s="74">
        <v>11</v>
      </c>
      <c r="M162" s="74">
        <v>8</v>
      </c>
      <c r="N162" s="70"/>
      <c r="O162" s="94">
        <f>J162/(100-SUM(L162:M162))*100</f>
        <v>64.197530864197532</v>
      </c>
      <c r="P162" s="94">
        <f>K162/(100-SUM(L162:M162))*100</f>
        <v>9.8765432098765427</v>
      </c>
    </row>
    <row r="163" spans="1:16" x14ac:dyDescent="0.25">
      <c r="A163" s="71" t="s">
        <v>35</v>
      </c>
      <c r="B163" s="70"/>
      <c r="C163" s="70"/>
      <c r="D163" s="9">
        <f>SUM(D164:D165)</f>
        <v>14040669</v>
      </c>
      <c r="E163" s="15">
        <f>SUM(E164:E165)</f>
        <v>0.14135396369291059</v>
      </c>
      <c r="F163" s="70"/>
      <c r="G163" s="14">
        <f>SUMPRODUCT(G164:G165,E165:E166)/SUM(E165:E166)</f>
        <v>56.87706398315018</v>
      </c>
      <c r="H163" s="14">
        <f>SUMPRODUCT(H164:H165,E165:E166)/SUM(E165:E166)</f>
        <v>43.122936016849827</v>
      </c>
      <c r="I163" s="70"/>
      <c r="J163" s="70">
        <v>41</v>
      </c>
      <c r="K163" s="70">
        <v>26</v>
      </c>
      <c r="L163" s="70">
        <v>11</v>
      </c>
      <c r="M163" s="70">
        <v>6</v>
      </c>
      <c r="N163" s="70"/>
      <c r="O163" s="95">
        <f>J163/(100-SUM(L163:M163))*100</f>
        <v>49.397590361445779</v>
      </c>
      <c r="P163" s="95">
        <f>K163/(100-SUM(L163:M163))*100</f>
        <v>31.325301204819279</v>
      </c>
    </row>
    <row r="164" spans="1:16" x14ac:dyDescent="0.25">
      <c r="A164" s="71" t="s">
        <v>3</v>
      </c>
      <c r="B164" s="70"/>
      <c r="C164" s="70"/>
      <c r="D164" s="9">
        <v>7008759</v>
      </c>
      <c r="E164" s="15">
        <f>D164/$D$86</f>
        <v>7.0560445888893208E-2</v>
      </c>
      <c r="F164" s="70"/>
      <c r="G164" s="14">
        <v>49.079758627739942</v>
      </c>
      <c r="H164" s="14">
        <v>50.920241372260058</v>
      </c>
      <c r="I164" s="70"/>
      <c r="J164" s="70"/>
      <c r="K164" s="70"/>
      <c r="L164" s="70"/>
      <c r="M164" s="70"/>
      <c r="N164" s="70"/>
      <c r="O164" s="70"/>
      <c r="P164" s="70"/>
    </row>
    <row r="165" spans="1:16" ht="15.75" thickBot="1" x14ac:dyDescent="0.3">
      <c r="A165" s="71" t="s">
        <v>6</v>
      </c>
      <c r="B165" s="70"/>
      <c r="C165" s="70"/>
      <c r="D165" s="9">
        <v>7031910</v>
      </c>
      <c r="E165" s="15">
        <f>D165/$D$86</f>
        <v>7.0793517804017381E-2</v>
      </c>
      <c r="F165" s="70"/>
      <c r="G165" s="14">
        <v>57.429062658651773</v>
      </c>
      <c r="H165" s="14">
        <v>42.570937341348227</v>
      </c>
      <c r="I165" s="70"/>
      <c r="J165" s="70"/>
      <c r="K165" s="70"/>
      <c r="L165" s="70"/>
      <c r="M165" s="70"/>
      <c r="N165" s="70"/>
      <c r="O165" s="70"/>
      <c r="P165" s="70"/>
    </row>
    <row r="166" spans="1:16" ht="15.75" thickBot="1" x14ac:dyDescent="0.3">
      <c r="A166" s="22" t="s">
        <v>34</v>
      </c>
      <c r="B166" s="23"/>
      <c r="C166" s="23"/>
      <c r="D166" s="24">
        <f>SUM(D164:D165,D160:D162)</f>
        <v>99329857</v>
      </c>
      <c r="E166" s="25">
        <f>D166/$D$86</f>
        <v>1</v>
      </c>
      <c r="F166" s="23"/>
      <c r="G166" s="28">
        <v>56.05</v>
      </c>
      <c r="H166" s="28">
        <v>43.95</v>
      </c>
      <c r="I166" s="23"/>
      <c r="J166" s="23">
        <v>43</v>
      </c>
      <c r="K166" s="23">
        <v>30</v>
      </c>
      <c r="L166" s="23">
        <v>19</v>
      </c>
      <c r="M166" s="26">
        <v>8</v>
      </c>
      <c r="N166" s="70"/>
      <c r="O166" s="96">
        <f>O163*E163+O162*E162+O161*E161+O160*E160</f>
        <v>46.764045141153467</v>
      </c>
      <c r="P166" s="96">
        <f>P163*E163+P162*E162+P161*E161+P160*E160</f>
        <v>26.891212756310864</v>
      </c>
    </row>
  </sheetData>
  <mergeCells count="36">
    <mergeCell ref="D158:E158"/>
    <mergeCell ref="G158:H158"/>
    <mergeCell ref="O158:P158"/>
    <mergeCell ref="D146:E146"/>
    <mergeCell ref="G146:H146"/>
    <mergeCell ref="O146:P146"/>
    <mergeCell ref="G67:H67"/>
    <mergeCell ref="J67:M67"/>
    <mergeCell ref="O67:P67"/>
    <mergeCell ref="D57:E57"/>
    <mergeCell ref="G57:H57"/>
    <mergeCell ref="O57:P57"/>
    <mergeCell ref="G1:H1"/>
    <mergeCell ref="O1:P1"/>
    <mergeCell ref="D1:E1"/>
    <mergeCell ref="D46:E46"/>
    <mergeCell ref="G46:H46"/>
    <mergeCell ref="O46:P46"/>
    <mergeCell ref="O13:P13"/>
    <mergeCell ref="G13:H13"/>
    <mergeCell ref="D13:E13"/>
    <mergeCell ref="D35:E35"/>
    <mergeCell ref="G35:H35"/>
    <mergeCell ref="O35:P35"/>
    <mergeCell ref="D24:E24"/>
    <mergeCell ref="G24:H24"/>
    <mergeCell ref="O24:P24"/>
    <mergeCell ref="G102:H102"/>
    <mergeCell ref="J102:M102"/>
    <mergeCell ref="O102:P102"/>
    <mergeCell ref="G78:H78"/>
    <mergeCell ref="J78:M78"/>
    <mergeCell ref="O78:P78"/>
    <mergeCell ref="G90:H90"/>
    <mergeCell ref="J90:M90"/>
    <mergeCell ref="O90:P90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T82"/>
  <sheetViews>
    <sheetView topLeftCell="A4" workbookViewId="0">
      <selection activeCell="F41" sqref="F41"/>
    </sheetView>
    <sheetView workbookViewId="1"/>
  </sheetViews>
  <sheetFormatPr defaultRowHeight="15" x14ac:dyDescent="0.25"/>
  <cols>
    <col min="1" max="1" width="7.28515625" customWidth="1"/>
    <col min="2" max="2" width="10.140625" bestFit="1" customWidth="1"/>
    <col min="3" max="3" width="8.140625" bestFit="1" customWidth="1"/>
    <col min="5" max="5" width="6.140625" bestFit="1" customWidth="1"/>
    <col min="6" max="6" width="15.140625" bestFit="1" customWidth="1"/>
    <col min="7" max="7" width="6" bestFit="1" customWidth="1"/>
    <col min="8" max="8" width="7" bestFit="1" customWidth="1"/>
    <col min="9" max="9" width="14" bestFit="1" customWidth="1"/>
    <col min="10" max="10" width="9.28515625" bestFit="1" customWidth="1"/>
    <col min="16" max="16" width="3.7109375" customWidth="1"/>
    <col min="17" max="17" width="6.140625" bestFit="1" customWidth="1"/>
    <col min="18" max="18" width="7.28515625" bestFit="1" customWidth="1"/>
    <col min="19" max="19" width="6" bestFit="1" customWidth="1"/>
  </cols>
  <sheetData>
    <row r="2" spans="1:20" x14ac:dyDescent="0.25">
      <c r="A2" s="10" t="s">
        <v>164</v>
      </c>
    </row>
    <row r="3" spans="1:20" x14ac:dyDescent="0.25">
      <c r="D3" s="8"/>
      <c r="E3" s="146" t="s">
        <v>4</v>
      </c>
      <c r="F3" s="146" t="s">
        <v>127</v>
      </c>
      <c r="G3" s="146" t="s">
        <v>5</v>
      </c>
      <c r="H3" s="146"/>
      <c r="I3" s="146"/>
      <c r="J3" s="146"/>
      <c r="K3" s="81"/>
      <c r="L3" s="81"/>
      <c r="M3" s="146" t="s">
        <v>4</v>
      </c>
      <c r="N3" s="146" t="s">
        <v>127</v>
      </c>
      <c r="O3" s="146" t="s">
        <v>5</v>
      </c>
      <c r="Q3" s="146" t="s">
        <v>4</v>
      </c>
      <c r="R3" s="146" t="s">
        <v>127</v>
      </c>
      <c r="S3" s="146" t="s">
        <v>5</v>
      </c>
    </row>
    <row r="4" spans="1:20" x14ac:dyDescent="0.25">
      <c r="A4" s="146" t="s">
        <v>0</v>
      </c>
      <c r="B4" s="9">
        <v>43450786</v>
      </c>
      <c r="C4" s="15">
        <v>0.43743932904282745</v>
      </c>
      <c r="E4" s="147">
        <v>31</v>
      </c>
      <c r="F4" s="147">
        <v>33</v>
      </c>
      <c r="G4" s="147">
        <v>19</v>
      </c>
      <c r="H4" s="148"/>
      <c r="I4" s="147"/>
      <c r="J4" s="147"/>
      <c r="K4">
        <f>J4-4</f>
        <v>-4</v>
      </c>
      <c r="L4" s="146" t="s">
        <v>0</v>
      </c>
      <c r="M4" s="141">
        <f>E4*$C4</f>
        <v>13.56061920032765</v>
      </c>
      <c r="N4" s="141">
        <f t="shared" ref="N4:N7" si="0">F4*$C4</f>
        <v>14.435497858413306</v>
      </c>
      <c r="O4" s="141">
        <f t="shared" ref="O4:O7" si="1">G4*$C4</f>
        <v>8.3113472518137215</v>
      </c>
      <c r="Q4" s="143">
        <f>M4/SUM($M$13:$M$16)</f>
        <v>0.39676715440290078</v>
      </c>
      <c r="R4" s="143">
        <f>N4/SUM(N$13:N$16)</f>
        <v>0.50482548613764733</v>
      </c>
      <c r="S4" s="143">
        <f t="shared" ref="S4:S7" si="2">O4/SUM(O$13:O$16)</f>
        <v>0.43878784443944324</v>
      </c>
    </row>
    <row r="5" spans="1:20" x14ac:dyDescent="0.25">
      <c r="A5" s="146" t="s">
        <v>1</v>
      </c>
      <c r="B5" s="9">
        <v>15760631</v>
      </c>
      <c r="C5" s="15">
        <v>0.15866962337416834</v>
      </c>
      <c r="E5" s="147">
        <v>33</v>
      </c>
      <c r="F5" s="147">
        <v>40</v>
      </c>
      <c r="G5" s="148">
        <v>17</v>
      </c>
      <c r="H5" s="148"/>
      <c r="I5" s="147"/>
      <c r="J5" s="147"/>
      <c r="K5">
        <f t="shared" ref="K5:K8" si="3">J5-4</f>
        <v>-4</v>
      </c>
      <c r="L5" s="146" t="s">
        <v>1</v>
      </c>
      <c r="M5" s="141">
        <f t="shared" ref="M5:M7" si="4">E5*$C5</f>
        <v>5.236097571347555</v>
      </c>
      <c r="N5" s="141">
        <f t="shared" si="0"/>
        <v>6.3467849349667338</v>
      </c>
      <c r="O5" s="141">
        <f t="shared" si="1"/>
        <v>2.697383597360862</v>
      </c>
      <c r="Q5" s="142">
        <f>M5/SUM($M$13:$M$16)</f>
        <v>0.15320181939105793</v>
      </c>
      <c r="R5" s="142">
        <f t="shared" ref="R5:R7" si="5">N5/SUM(N$13:N$16)</f>
        <v>0.22195415922827413</v>
      </c>
      <c r="S5" s="142">
        <f t="shared" si="2"/>
        <v>0.14240520801895268</v>
      </c>
    </row>
    <row r="6" spans="1:20" x14ac:dyDescent="0.25">
      <c r="A6" s="146" t="s">
        <v>2</v>
      </c>
      <c r="B6" s="9">
        <v>26077771</v>
      </c>
      <c r="C6" s="15">
        <v>0.26253708389009361</v>
      </c>
      <c r="E6" s="147">
        <v>48</v>
      </c>
      <c r="F6" s="147">
        <v>32</v>
      </c>
      <c r="G6" s="148">
        <v>7</v>
      </c>
      <c r="H6" s="148"/>
      <c r="I6" s="147"/>
      <c r="J6" s="147"/>
      <c r="K6">
        <f t="shared" si="3"/>
        <v>-4</v>
      </c>
      <c r="L6" s="82" t="s">
        <v>2</v>
      </c>
      <c r="M6" s="141">
        <f t="shared" si="4"/>
        <v>12.601780026724494</v>
      </c>
      <c r="N6" s="141">
        <f t="shared" si="0"/>
        <v>8.4011866844829957</v>
      </c>
      <c r="O6" s="141">
        <f t="shared" si="1"/>
        <v>1.8377595872306554</v>
      </c>
      <c r="Q6" s="143">
        <f t="shared" ref="Q6:Q7" si="6">M6/SUM($M$13:$M$16)</f>
        <v>0.36871269134185108</v>
      </c>
      <c r="R6" s="143">
        <f t="shared" si="5"/>
        <v>0.29379888340016186</v>
      </c>
      <c r="S6" s="142">
        <f t="shared" si="2"/>
        <v>9.7022365140969014E-2</v>
      </c>
    </row>
    <row r="7" spans="1:20" ht="15.75" thickBot="1" x14ac:dyDescent="0.3">
      <c r="A7" s="146" t="s">
        <v>35</v>
      </c>
      <c r="B7" s="9">
        <v>14040669</v>
      </c>
      <c r="C7" s="15">
        <v>0.14135396369291059</v>
      </c>
      <c r="E7" s="147">
        <v>38</v>
      </c>
      <c r="F7" s="147">
        <v>31</v>
      </c>
      <c r="G7" s="148">
        <v>16</v>
      </c>
      <c r="H7" s="148"/>
      <c r="I7" s="147"/>
      <c r="J7" s="147"/>
      <c r="K7">
        <f t="shared" si="3"/>
        <v>-4</v>
      </c>
      <c r="L7" s="146" t="s">
        <v>35</v>
      </c>
      <c r="M7" s="141">
        <f t="shared" si="4"/>
        <v>5.3714506203306023</v>
      </c>
      <c r="N7" s="141">
        <f t="shared" si="0"/>
        <v>4.381972874480228</v>
      </c>
      <c r="O7" s="141">
        <f t="shared" si="1"/>
        <v>2.2616634190865694</v>
      </c>
      <c r="Q7" s="142">
        <f t="shared" si="6"/>
        <v>0.15716208427951248</v>
      </c>
      <c r="R7" s="142">
        <f t="shared" si="5"/>
        <v>0.15324248656323194</v>
      </c>
      <c r="S7" s="142">
        <f t="shared" si="2"/>
        <v>0.11940187149465752</v>
      </c>
    </row>
    <row r="8" spans="1:20" ht="15.75" thickBot="1" x14ac:dyDescent="0.3">
      <c r="A8" s="22" t="s">
        <v>34</v>
      </c>
      <c r="B8" s="24">
        <f>SUM(B4:B7)</f>
        <v>99329857</v>
      </c>
      <c r="C8" s="25">
        <f>SUM(C4:C7)</f>
        <v>1</v>
      </c>
      <c r="D8" s="140"/>
      <c r="E8" s="23">
        <v>37</v>
      </c>
      <c r="F8" s="23">
        <v>33</v>
      </c>
      <c r="G8" s="23">
        <v>15</v>
      </c>
      <c r="H8" s="23"/>
      <c r="I8" s="23"/>
      <c r="J8" s="23"/>
      <c r="K8">
        <f t="shared" si="3"/>
        <v>-4</v>
      </c>
    </row>
    <row r="9" spans="1:20" x14ac:dyDescent="0.25">
      <c r="E9" s="76">
        <f>SUMPRODUCT(E4:E7,$C$13:$C$16)</f>
        <v>36.769947418730304</v>
      </c>
      <c r="F9" s="76">
        <f>SUMPRODUCT(F4:F7,$C$13:$C$16)</f>
        <v>33.565442352343261</v>
      </c>
    </row>
    <row r="11" spans="1:20" x14ac:dyDescent="0.25">
      <c r="A11" s="10" t="s">
        <v>164</v>
      </c>
    </row>
    <row r="12" spans="1:20" x14ac:dyDescent="0.25">
      <c r="D12" s="8"/>
      <c r="E12" s="138" t="s">
        <v>4</v>
      </c>
      <c r="F12" s="138" t="s">
        <v>127</v>
      </c>
      <c r="G12" s="138" t="s">
        <v>5</v>
      </c>
      <c r="H12" s="138" t="s">
        <v>89</v>
      </c>
      <c r="I12" s="138" t="s">
        <v>25</v>
      </c>
      <c r="J12" s="138" t="s">
        <v>166</v>
      </c>
      <c r="K12" s="81"/>
      <c r="L12" s="81"/>
      <c r="M12" s="138" t="s">
        <v>4</v>
      </c>
      <c r="N12" s="138" t="s">
        <v>127</v>
      </c>
      <c r="O12" s="138" t="s">
        <v>5</v>
      </c>
      <c r="Q12" s="138" t="s">
        <v>4</v>
      </c>
      <c r="R12" s="138" t="s">
        <v>127</v>
      </c>
      <c r="S12" s="138" t="s">
        <v>5</v>
      </c>
    </row>
    <row r="13" spans="1:20" x14ac:dyDescent="0.25">
      <c r="A13" s="138" t="s">
        <v>0</v>
      </c>
      <c r="B13" s="9">
        <v>43450786</v>
      </c>
      <c r="C13" s="15">
        <v>0.43743932904282745</v>
      </c>
      <c r="E13" s="139">
        <v>27</v>
      </c>
      <c r="F13" s="139">
        <v>30</v>
      </c>
      <c r="G13" s="139">
        <v>25</v>
      </c>
      <c r="H13" s="139">
        <v>3</v>
      </c>
      <c r="I13" s="139">
        <v>7</v>
      </c>
      <c r="J13" s="139">
        <v>8</v>
      </c>
      <c r="K13">
        <f>J13-4</f>
        <v>4</v>
      </c>
      <c r="L13" s="138" t="s">
        <v>0</v>
      </c>
      <c r="M13" s="141">
        <f>E13*$C13</f>
        <v>11.810861884156342</v>
      </c>
      <c r="N13" s="141">
        <f t="shared" ref="N13:O16" si="7">F13*$C13</f>
        <v>13.123179871284824</v>
      </c>
      <c r="O13" s="141">
        <f t="shared" si="7"/>
        <v>10.935983226070686</v>
      </c>
      <c r="Q13" s="143">
        <f>M13/SUM($M$13:$M$16)</f>
        <v>0.34557139254446201</v>
      </c>
      <c r="R13" s="143">
        <f>N13/SUM(N$13:N$16)</f>
        <v>0.45893226012513388</v>
      </c>
      <c r="S13" s="143">
        <f t="shared" ref="S13:S16" si="8">O13/SUM(O$13:O$16)</f>
        <v>0.57735242689400423</v>
      </c>
      <c r="T13" s="142"/>
    </row>
    <row r="14" spans="1:20" x14ac:dyDescent="0.25">
      <c r="A14" s="138" t="s">
        <v>1</v>
      </c>
      <c r="B14" s="9">
        <v>15760631</v>
      </c>
      <c r="C14" s="15">
        <v>0.15866962337416834</v>
      </c>
      <c r="E14" s="139">
        <v>31</v>
      </c>
      <c r="F14" s="139">
        <v>27</v>
      </c>
      <c r="G14" s="139">
        <v>18</v>
      </c>
      <c r="H14" s="139">
        <v>5</v>
      </c>
      <c r="I14" s="139">
        <v>8</v>
      </c>
      <c r="J14" s="139">
        <v>11</v>
      </c>
      <c r="K14">
        <f t="shared" ref="K14:K17" si="9">J14-4</f>
        <v>7</v>
      </c>
      <c r="L14" s="138" t="s">
        <v>1</v>
      </c>
      <c r="M14" s="141">
        <f t="shared" ref="M14:M16" si="10">E14*$C14</f>
        <v>4.918758324599219</v>
      </c>
      <c r="N14" s="141">
        <f t="shared" si="7"/>
        <v>4.2840798311025452</v>
      </c>
      <c r="O14" s="141">
        <f t="shared" si="7"/>
        <v>2.8560532207350304</v>
      </c>
      <c r="Q14" s="142">
        <f>M14/SUM($M$13:$M$16)</f>
        <v>0.14391686064008474</v>
      </c>
      <c r="R14" s="142">
        <f t="shared" ref="R14:R16" si="11">N14/SUM(N$13:N$16)</f>
        <v>0.14981905747908505</v>
      </c>
      <c r="S14" s="142">
        <f t="shared" si="8"/>
        <v>0.15078198496124401</v>
      </c>
      <c r="T14" s="142"/>
    </row>
    <row r="15" spans="1:20" x14ac:dyDescent="0.25">
      <c r="A15" s="138" t="s">
        <v>2</v>
      </c>
      <c r="B15" s="9">
        <v>26077771</v>
      </c>
      <c r="C15" s="15">
        <v>0.26253708389009361</v>
      </c>
      <c r="E15" s="139">
        <v>46</v>
      </c>
      <c r="F15" s="139">
        <v>27</v>
      </c>
      <c r="G15" s="139">
        <v>11</v>
      </c>
      <c r="H15" s="139">
        <v>2</v>
      </c>
      <c r="I15" s="139">
        <v>7</v>
      </c>
      <c r="J15" s="139">
        <v>7</v>
      </c>
      <c r="K15">
        <f t="shared" si="9"/>
        <v>3</v>
      </c>
      <c r="L15" s="82" t="s">
        <v>2</v>
      </c>
      <c r="M15" s="141">
        <f t="shared" si="10"/>
        <v>12.076705858944306</v>
      </c>
      <c r="N15" s="141">
        <f t="shared" si="7"/>
        <v>7.0885012650325274</v>
      </c>
      <c r="O15" s="141">
        <f t="shared" si="7"/>
        <v>2.8879079227910296</v>
      </c>
      <c r="Q15" s="143">
        <f t="shared" ref="Q15:Q16" si="12">M15/SUM($M$13:$M$16)</f>
        <v>0.35334966253594058</v>
      </c>
      <c r="R15" s="143">
        <f t="shared" si="11"/>
        <v>0.24789280786888657</v>
      </c>
      <c r="S15" s="142">
        <f t="shared" si="8"/>
        <v>0.15246371665009414</v>
      </c>
      <c r="T15" s="142"/>
    </row>
    <row r="16" spans="1:20" ht="15.75" thickBot="1" x14ac:dyDescent="0.3">
      <c r="A16" s="138" t="s">
        <v>35</v>
      </c>
      <c r="B16" s="9">
        <v>14040669</v>
      </c>
      <c r="C16" s="15">
        <v>0.14135396369291059</v>
      </c>
      <c r="E16" s="139">
        <v>38</v>
      </c>
      <c r="F16" s="139">
        <v>29</v>
      </c>
      <c r="G16" s="139">
        <v>16</v>
      </c>
      <c r="H16" s="139">
        <v>3</v>
      </c>
      <c r="I16" s="139">
        <v>7</v>
      </c>
      <c r="J16" s="139">
        <v>7</v>
      </c>
      <c r="K16">
        <f t="shared" si="9"/>
        <v>3</v>
      </c>
      <c r="L16" s="138" t="s">
        <v>35</v>
      </c>
      <c r="M16" s="141">
        <f t="shared" si="10"/>
        <v>5.3714506203306023</v>
      </c>
      <c r="N16" s="141">
        <f t="shared" si="7"/>
        <v>4.0992649470944071</v>
      </c>
      <c r="O16" s="141">
        <f t="shared" si="7"/>
        <v>2.2616634190865694</v>
      </c>
      <c r="Q16" s="142">
        <f t="shared" si="12"/>
        <v>0.15716208427951248</v>
      </c>
      <c r="R16" s="142">
        <f t="shared" si="11"/>
        <v>0.14335587452689441</v>
      </c>
      <c r="S16" s="142">
        <f t="shared" si="8"/>
        <v>0.11940187149465752</v>
      </c>
      <c r="T16" s="142"/>
    </row>
    <row r="17" spans="1:19" ht="15.75" thickBot="1" x14ac:dyDescent="0.3">
      <c r="A17" s="22" t="s">
        <v>34</v>
      </c>
      <c r="B17" s="24">
        <f>SUM(B13:B16)</f>
        <v>99329857</v>
      </c>
      <c r="C17" s="25">
        <f>SUM(C13:C16)</f>
        <v>1</v>
      </c>
      <c r="D17" s="140"/>
      <c r="E17" s="23">
        <v>34</v>
      </c>
      <c r="F17" s="23">
        <v>29</v>
      </c>
      <c r="G17" s="23">
        <v>19</v>
      </c>
      <c r="H17" s="23">
        <v>3</v>
      </c>
      <c r="I17" s="23">
        <v>7</v>
      </c>
      <c r="J17" s="23">
        <v>8</v>
      </c>
      <c r="K17">
        <f t="shared" si="9"/>
        <v>4</v>
      </c>
    </row>
    <row r="18" spans="1:19" x14ac:dyDescent="0.25">
      <c r="E18" s="7">
        <f>SUMPRODUCT(E13:E16,$C$13:$C$16)</f>
        <v>34.177776688030477</v>
      </c>
    </row>
    <row r="19" spans="1:19" x14ac:dyDescent="0.25">
      <c r="A19" s="10" t="s">
        <v>167</v>
      </c>
    </row>
    <row r="20" spans="1:19" x14ac:dyDescent="0.25">
      <c r="D20" s="8"/>
      <c r="E20" s="138" t="s">
        <v>4</v>
      </c>
      <c r="F20" s="138" t="s">
        <v>165</v>
      </c>
      <c r="G20" s="138" t="s">
        <v>5</v>
      </c>
      <c r="H20" s="138" t="s">
        <v>89</v>
      </c>
      <c r="I20" s="138" t="s">
        <v>25</v>
      </c>
      <c r="J20" s="138" t="s">
        <v>166</v>
      </c>
      <c r="L20" s="81"/>
      <c r="M20" s="138" t="s">
        <v>4</v>
      </c>
      <c r="N20" s="138" t="s">
        <v>7</v>
      </c>
      <c r="O20" s="138" t="s">
        <v>5</v>
      </c>
    </row>
    <row r="21" spans="1:19" x14ac:dyDescent="0.25">
      <c r="A21" s="138" t="s">
        <v>0</v>
      </c>
      <c r="B21" s="9">
        <v>43450786</v>
      </c>
      <c r="C21" s="15">
        <v>0.43743932904282745</v>
      </c>
      <c r="E21" s="139">
        <v>29</v>
      </c>
      <c r="F21" s="139">
        <v>6</v>
      </c>
      <c r="G21" s="139">
        <v>28</v>
      </c>
      <c r="H21" s="139">
        <v>8</v>
      </c>
      <c r="I21" s="139">
        <v>18</v>
      </c>
      <c r="J21" s="139">
        <v>11</v>
      </c>
      <c r="L21" s="138" t="s">
        <v>0</v>
      </c>
      <c r="M21" s="141">
        <f>E21*$C21</f>
        <v>12.685740542241996</v>
      </c>
      <c r="N21" s="141">
        <f t="shared" ref="N21:N24" si="13">F21*$C21</f>
        <v>2.6246359742569645</v>
      </c>
      <c r="O21" s="141">
        <f t="shared" ref="O21:O24" si="14">G21*$C21</f>
        <v>12.248301213199168</v>
      </c>
      <c r="Q21" s="144">
        <f>M21/SUM($M$21:$M$24)</f>
        <v>0.33253866865610271</v>
      </c>
      <c r="R21" s="144">
        <f>N21/SUM(N$21:N$24)</f>
        <v>0.31558912456551574</v>
      </c>
      <c r="S21" s="144">
        <f>O21/SUM(O$21:O$24)</f>
        <v>0.53319660840693062</v>
      </c>
    </row>
    <row r="22" spans="1:19" x14ac:dyDescent="0.25">
      <c r="A22" s="138" t="s">
        <v>1</v>
      </c>
      <c r="B22" s="9">
        <v>15760631</v>
      </c>
      <c r="C22" s="15">
        <v>0.15866962337416834</v>
      </c>
      <c r="E22" s="139">
        <v>36</v>
      </c>
      <c r="F22" s="139">
        <v>8</v>
      </c>
      <c r="G22" s="139">
        <v>28</v>
      </c>
      <c r="H22" s="139">
        <v>4</v>
      </c>
      <c r="I22" s="139">
        <v>11</v>
      </c>
      <c r="J22" s="139">
        <v>13</v>
      </c>
      <c r="L22" s="138" t="s">
        <v>1</v>
      </c>
      <c r="M22" s="141">
        <f t="shared" ref="M22:M24" si="15">E22*$C22</f>
        <v>5.7121064414700609</v>
      </c>
      <c r="N22" s="141">
        <f t="shared" si="13"/>
        <v>1.2693569869933468</v>
      </c>
      <c r="O22" s="141">
        <f t="shared" si="14"/>
        <v>4.4427494544767132</v>
      </c>
      <c r="Q22" s="144">
        <f t="shared" ref="Q22:Q24" si="16">M22/SUM($M$21:$M$24)</f>
        <v>0.1497347565121096</v>
      </c>
      <c r="R22" s="144">
        <f t="shared" ref="R22:R24" si="17">N22/SUM(N$21:N$24)</f>
        <v>0.15262888423975052</v>
      </c>
      <c r="S22" s="144">
        <f t="shared" ref="S22:S24" si="18">O22/SUM(O$21:O$24)</f>
        <v>0.19340306054654871</v>
      </c>
    </row>
    <row r="23" spans="1:19" x14ac:dyDescent="0.25">
      <c r="A23" s="138" t="s">
        <v>2</v>
      </c>
      <c r="B23" s="9">
        <v>26077771</v>
      </c>
      <c r="C23" s="15">
        <v>0.26253708389009361</v>
      </c>
      <c r="E23" s="139">
        <v>51</v>
      </c>
      <c r="F23" s="139">
        <v>12</v>
      </c>
      <c r="G23" s="139">
        <v>11</v>
      </c>
      <c r="H23" s="139">
        <v>5</v>
      </c>
      <c r="I23" s="139">
        <v>11</v>
      </c>
      <c r="J23" s="139">
        <v>10</v>
      </c>
      <c r="L23" s="82" t="s">
        <v>2</v>
      </c>
      <c r="M23" s="141">
        <f t="shared" si="15"/>
        <v>13.389391278394774</v>
      </c>
      <c r="N23" s="141">
        <f t="shared" si="13"/>
        <v>3.1504450066811236</v>
      </c>
      <c r="O23" s="141">
        <f t="shared" si="14"/>
        <v>2.8879079227910296</v>
      </c>
      <c r="Q23" s="144">
        <f t="shared" si="16"/>
        <v>0.35098387319264274</v>
      </c>
      <c r="R23" s="144">
        <f t="shared" si="17"/>
        <v>0.37881298260105106</v>
      </c>
      <c r="S23" s="144">
        <f t="shared" si="18"/>
        <v>0.12571724707131779</v>
      </c>
    </row>
    <row r="24" spans="1:19" ht="15.75" thickBot="1" x14ac:dyDescent="0.3">
      <c r="A24" s="138" t="s">
        <v>35</v>
      </c>
      <c r="B24" s="9">
        <v>14040669</v>
      </c>
      <c r="C24" s="15">
        <v>0.14135396369291059</v>
      </c>
      <c r="E24" s="139">
        <v>45</v>
      </c>
      <c r="F24" s="139">
        <v>9</v>
      </c>
      <c r="G24" s="139">
        <v>24</v>
      </c>
      <c r="H24" s="139">
        <v>6</v>
      </c>
      <c r="I24" s="139">
        <v>6</v>
      </c>
      <c r="J24" s="139">
        <v>10</v>
      </c>
      <c r="L24" s="138" t="s">
        <v>35</v>
      </c>
      <c r="M24" s="141">
        <f t="shared" si="15"/>
        <v>6.3609283661809766</v>
      </c>
      <c r="N24" s="141">
        <f t="shared" si="13"/>
        <v>1.2721856732361954</v>
      </c>
      <c r="O24" s="141">
        <f t="shared" si="14"/>
        <v>3.3924951286298541</v>
      </c>
      <c r="Q24" s="144">
        <f t="shared" si="16"/>
        <v>0.16674270163914484</v>
      </c>
      <c r="R24" s="144">
        <f t="shared" si="17"/>
        <v>0.15296900859368262</v>
      </c>
      <c r="S24" s="144">
        <f t="shared" si="18"/>
        <v>0.14768308397520288</v>
      </c>
    </row>
    <row r="25" spans="1:19" ht="15.75" thickBot="1" x14ac:dyDescent="0.3">
      <c r="A25" s="22" t="s">
        <v>34</v>
      </c>
      <c r="B25" s="24">
        <f>SUM(B21:B24)</f>
        <v>99329857</v>
      </c>
      <c r="C25" s="25">
        <f>SUM(C21:C24)</f>
        <v>1</v>
      </c>
      <c r="D25" s="140"/>
      <c r="E25" s="23">
        <v>38</v>
      </c>
      <c r="F25" s="23">
        <v>9</v>
      </c>
      <c r="G25" s="23">
        <v>23</v>
      </c>
      <c r="H25" s="23">
        <v>6</v>
      </c>
      <c r="I25" s="23">
        <v>13</v>
      </c>
      <c r="J25" s="23">
        <v>11</v>
      </c>
    </row>
    <row r="27" spans="1:19" x14ac:dyDescent="0.25">
      <c r="A27" s="10" t="s">
        <v>168</v>
      </c>
    </row>
    <row r="28" spans="1:19" x14ac:dyDescent="0.25">
      <c r="D28" s="8"/>
      <c r="E28" s="138" t="s">
        <v>4</v>
      </c>
      <c r="F28" s="138" t="s">
        <v>127</v>
      </c>
      <c r="G28" s="138" t="s">
        <v>24</v>
      </c>
      <c r="H28" s="138" t="s">
        <v>89</v>
      </c>
      <c r="I28" s="138" t="s">
        <v>25</v>
      </c>
      <c r="J28" s="138" t="s">
        <v>166</v>
      </c>
      <c r="L28" s="81"/>
      <c r="M28" s="138" t="s">
        <v>4</v>
      </c>
      <c r="N28" s="138" t="s">
        <v>127</v>
      </c>
      <c r="O28" s="138" t="s">
        <v>24</v>
      </c>
    </row>
    <row r="29" spans="1:19" x14ac:dyDescent="0.25">
      <c r="A29" s="138" t="s">
        <v>0</v>
      </c>
      <c r="B29" s="9">
        <v>43450786</v>
      </c>
      <c r="C29" s="15">
        <v>0.43743932904282745</v>
      </c>
      <c r="E29" s="139">
        <v>36</v>
      </c>
      <c r="F29" s="139">
        <v>17</v>
      </c>
      <c r="G29" s="139">
        <v>24</v>
      </c>
      <c r="H29" s="139">
        <v>2</v>
      </c>
      <c r="I29" s="139">
        <v>5</v>
      </c>
      <c r="J29" s="139">
        <v>16</v>
      </c>
      <c r="L29" s="138" t="s">
        <v>0</v>
      </c>
      <c r="M29" s="141">
        <f>E29*$C29</f>
        <v>15.747815845541789</v>
      </c>
      <c r="N29" s="141">
        <f t="shared" ref="N29:N32" si="19">F29*$C29</f>
        <v>7.4364685937280663</v>
      </c>
      <c r="O29" s="141">
        <f t="shared" ref="O29:O32" si="20">G29*$C29</f>
        <v>10.498543897027858</v>
      </c>
      <c r="Q29" s="144">
        <f>M29/SUM($M$29:$M$32)</f>
        <v>0.37716941859907471</v>
      </c>
      <c r="R29" s="144">
        <f>N29/SUM(N$29:N$32)</f>
        <v>0.53482502986197811</v>
      </c>
      <c r="S29" s="144">
        <f>O29/SUM(O$29:O$32)</f>
        <v>0.42084827462294278</v>
      </c>
    </row>
    <row r="30" spans="1:19" x14ac:dyDescent="0.25">
      <c r="A30" s="138" t="s">
        <v>1</v>
      </c>
      <c r="B30" s="9">
        <v>15760631</v>
      </c>
      <c r="C30" s="15">
        <v>0.15866962337416834</v>
      </c>
      <c r="E30" s="139">
        <v>37</v>
      </c>
      <c r="F30" s="139">
        <v>12</v>
      </c>
      <c r="G30" s="139">
        <v>32</v>
      </c>
      <c r="H30" s="139">
        <v>2</v>
      </c>
      <c r="I30" s="139">
        <v>5</v>
      </c>
      <c r="J30" s="139">
        <v>12</v>
      </c>
      <c r="L30" s="138" t="s">
        <v>1</v>
      </c>
      <c r="M30" s="141">
        <f t="shared" ref="M30:M32" si="21">E30*$C30</f>
        <v>5.8707760648442289</v>
      </c>
      <c r="N30" s="141">
        <f t="shared" si="19"/>
        <v>1.9040354804900201</v>
      </c>
      <c r="O30" s="141">
        <f t="shared" si="20"/>
        <v>5.077427947973387</v>
      </c>
      <c r="Q30" s="144">
        <f t="shared" ref="Q30:Q32" si="22">M30/SUM($M$29:$M$32)</f>
        <v>0.14060852735520935</v>
      </c>
      <c r="R30" s="144">
        <f t="shared" ref="R30:R32" si="23">N30/SUM(N$29:N$32)</f>
        <v>0.13693674892545085</v>
      </c>
      <c r="S30" s="144">
        <f t="shared" ref="S30:S32" si="24">O30/SUM(O$29:O$32)</f>
        <v>0.20353553906002578</v>
      </c>
    </row>
    <row r="31" spans="1:19" x14ac:dyDescent="0.25">
      <c r="A31" s="138" t="s">
        <v>2</v>
      </c>
      <c r="B31" s="9">
        <v>26077771</v>
      </c>
      <c r="C31" s="15">
        <v>0.26253708389009361</v>
      </c>
      <c r="E31" s="139">
        <v>53</v>
      </c>
      <c r="F31" s="139">
        <v>12</v>
      </c>
      <c r="G31" s="139">
        <v>19</v>
      </c>
      <c r="H31" s="139">
        <v>0</v>
      </c>
      <c r="I31" s="139">
        <v>4</v>
      </c>
      <c r="J31" s="139">
        <v>12</v>
      </c>
      <c r="L31" s="82" t="s">
        <v>2</v>
      </c>
      <c r="M31" s="141">
        <f t="shared" si="21"/>
        <v>13.914465446174962</v>
      </c>
      <c r="N31" s="141">
        <f t="shared" si="19"/>
        <v>3.1504450066811236</v>
      </c>
      <c r="O31" s="141">
        <f t="shared" si="20"/>
        <v>4.988204593911779</v>
      </c>
      <c r="Q31" s="144">
        <f t="shared" si="22"/>
        <v>0.33325960208865835</v>
      </c>
      <c r="R31" s="144">
        <f t="shared" si="23"/>
        <v>0.22657755136595764</v>
      </c>
      <c r="S31" s="144">
        <f t="shared" si="24"/>
        <v>0.19995890072034803</v>
      </c>
    </row>
    <row r="32" spans="1:19" ht="15.75" thickBot="1" x14ac:dyDescent="0.3">
      <c r="A32" s="138" t="s">
        <v>35</v>
      </c>
      <c r="B32" s="9">
        <v>14040669</v>
      </c>
      <c r="C32" s="15">
        <v>0.14135396369291059</v>
      </c>
      <c r="E32" s="139">
        <v>44</v>
      </c>
      <c r="F32" s="139">
        <v>10</v>
      </c>
      <c r="G32" s="139">
        <v>31</v>
      </c>
      <c r="H32" s="139">
        <v>3</v>
      </c>
      <c r="I32" s="139">
        <v>2</v>
      </c>
      <c r="J32" s="139">
        <v>10</v>
      </c>
      <c r="L32" s="138" t="s">
        <v>35</v>
      </c>
      <c r="M32" s="141">
        <f t="shared" si="21"/>
        <v>6.2195744024880657</v>
      </c>
      <c r="N32" s="141">
        <f t="shared" si="19"/>
        <v>1.413539636929106</v>
      </c>
      <c r="O32" s="141">
        <f t="shared" si="20"/>
        <v>4.381972874480228</v>
      </c>
      <c r="Q32" s="144">
        <f t="shared" si="22"/>
        <v>0.14896245195705773</v>
      </c>
      <c r="R32" s="144">
        <f t="shared" si="23"/>
        <v>0.10166066984661346</v>
      </c>
      <c r="S32" s="144">
        <f t="shared" si="24"/>
        <v>0.1756572855966835</v>
      </c>
    </row>
    <row r="33" spans="1:10" ht="15.75" thickBot="1" x14ac:dyDescent="0.3">
      <c r="A33" s="22" t="s">
        <v>34</v>
      </c>
      <c r="B33" s="24">
        <f>SUM(B29:B32)</f>
        <v>99329857</v>
      </c>
      <c r="C33" s="25">
        <f>SUM(C29:C32)</f>
        <v>1</v>
      </c>
      <c r="D33" s="140"/>
      <c r="E33" s="23">
        <v>42</v>
      </c>
      <c r="F33" s="23">
        <v>14</v>
      </c>
      <c r="G33" s="23">
        <v>25</v>
      </c>
      <c r="H33" s="23">
        <v>2</v>
      </c>
      <c r="I33" s="23">
        <v>4</v>
      </c>
      <c r="J33" s="23">
        <v>13</v>
      </c>
    </row>
    <row r="36" spans="1:10" x14ac:dyDescent="0.25">
      <c r="A36" s="10" t="s">
        <v>164</v>
      </c>
    </row>
    <row r="37" spans="1:10" x14ac:dyDescent="0.25">
      <c r="D37" s="8"/>
      <c r="E37" s="138" t="s">
        <v>4</v>
      </c>
      <c r="F37" s="138" t="s">
        <v>127</v>
      </c>
      <c r="G37" s="138" t="s">
        <v>5</v>
      </c>
      <c r="H37" s="138" t="s">
        <v>89</v>
      </c>
    </row>
    <row r="38" spans="1:10" x14ac:dyDescent="0.25">
      <c r="A38" s="138" t="s">
        <v>0</v>
      </c>
      <c r="B38" s="9">
        <v>43450786</v>
      </c>
      <c r="C38" s="15">
        <v>0.43743932904282745</v>
      </c>
      <c r="E38" s="27">
        <f>E13/SUM($E13:$H13)</f>
        <v>0.31764705882352939</v>
      </c>
      <c r="F38" s="27">
        <f>F13/SUM($E13:$H13)</f>
        <v>0.35294117647058826</v>
      </c>
      <c r="G38" s="27">
        <f>G13/SUM($E13:$H13)</f>
        <v>0.29411764705882354</v>
      </c>
      <c r="H38" s="27">
        <f>H13/SUM($E13:$H13)</f>
        <v>3.5294117647058823E-2</v>
      </c>
    </row>
    <row r="39" spans="1:10" x14ac:dyDescent="0.25">
      <c r="A39" s="138" t="s">
        <v>1</v>
      </c>
      <c r="B39" s="9">
        <v>15760631</v>
      </c>
      <c r="C39" s="15">
        <v>0.15866962337416834</v>
      </c>
      <c r="E39" s="27">
        <f t="shared" ref="E39:H39" si="25">E14/SUM($E14:$H14)</f>
        <v>0.38271604938271603</v>
      </c>
      <c r="F39" s="27">
        <f t="shared" si="25"/>
        <v>0.33333333333333331</v>
      </c>
      <c r="G39" s="27">
        <f t="shared" si="25"/>
        <v>0.22222222222222221</v>
      </c>
      <c r="H39" s="27">
        <f t="shared" si="25"/>
        <v>6.1728395061728392E-2</v>
      </c>
    </row>
    <row r="40" spans="1:10" x14ac:dyDescent="0.25">
      <c r="A40" s="138" t="s">
        <v>2</v>
      </c>
      <c r="B40" s="9">
        <v>26077771</v>
      </c>
      <c r="C40" s="15">
        <v>0.26253708389009361</v>
      </c>
      <c r="E40" s="27">
        <f t="shared" ref="E40:H40" si="26">E15/SUM($E15:$H15)</f>
        <v>0.53488372093023251</v>
      </c>
      <c r="F40" s="27">
        <f t="shared" si="26"/>
        <v>0.31395348837209303</v>
      </c>
      <c r="G40" s="27">
        <f t="shared" si="26"/>
        <v>0.12790697674418605</v>
      </c>
      <c r="H40" s="27">
        <f t="shared" si="26"/>
        <v>2.3255813953488372E-2</v>
      </c>
    </row>
    <row r="41" spans="1:10" ht="15.75" thickBot="1" x14ac:dyDescent="0.3">
      <c r="A41" s="138" t="s">
        <v>35</v>
      </c>
      <c r="B41" s="9">
        <v>14040669</v>
      </c>
      <c r="C41" s="15">
        <v>0.14135396369291059</v>
      </c>
      <c r="E41" s="27">
        <f t="shared" ref="E41:H41" si="27">E16/SUM($E16:$H16)</f>
        <v>0.44186046511627908</v>
      </c>
      <c r="F41" s="27">
        <f t="shared" si="27"/>
        <v>0.33720930232558138</v>
      </c>
      <c r="G41" s="27">
        <f t="shared" si="27"/>
        <v>0.18604651162790697</v>
      </c>
      <c r="H41" s="27">
        <f t="shared" si="27"/>
        <v>3.4883720930232558E-2</v>
      </c>
    </row>
    <row r="42" spans="1:10" ht="15.75" thickBot="1" x14ac:dyDescent="0.3">
      <c r="A42" s="22" t="s">
        <v>34</v>
      </c>
      <c r="B42" s="24">
        <f>SUM(B38:B41)</f>
        <v>99329857</v>
      </c>
      <c r="C42" s="25">
        <f>SUM(C38:C41)</f>
        <v>1</v>
      </c>
      <c r="D42" s="140"/>
      <c r="E42" s="145">
        <f t="shared" ref="E42:H42" si="28">E17/SUM($E17:$H17)</f>
        <v>0.4</v>
      </c>
      <c r="F42" s="145">
        <f t="shared" si="28"/>
        <v>0.3411764705882353</v>
      </c>
      <c r="G42" s="145">
        <f t="shared" si="28"/>
        <v>0.22352941176470589</v>
      </c>
      <c r="H42" s="145">
        <f t="shared" si="28"/>
        <v>3.5294117647058823E-2</v>
      </c>
    </row>
    <row r="44" spans="1:10" x14ac:dyDescent="0.25">
      <c r="A44" s="10" t="s">
        <v>167</v>
      </c>
    </row>
    <row r="45" spans="1:10" x14ac:dyDescent="0.25">
      <c r="D45" s="8"/>
      <c r="E45" s="138" t="s">
        <v>4</v>
      </c>
      <c r="F45" s="138" t="s">
        <v>165</v>
      </c>
      <c r="G45" s="138" t="s">
        <v>5</v>
      </c>
      <c r="H45" s="138" t="s">
        <v>89</v>
      </c>
    </row>
    <row r="46" spans="1:10" x14ac:dyDescent="0.25">
      <c r="A46" s="138" t="s">
        <v>0</v>
      </c>
      <c r="B46" s="9">
        <v>43450786</v>
      </c>
      <c r="C46" s="15">
        <v>0.43743932904282745</v>
      </c>
      <c r="E46" s="27">
        <f>E21/SUM($E21:$H21)</f>
        <v>0.40845070422535212</v>
      </c>
      <c r="F46" s="27">
        <f>F21/SUM($E21:$H21)</f>
        <v>8.4507042253521125E-2</v>
      </c>
      <c r="G46" s="27">
        <f>G21/SUM($E21:$H21)</f>
        <v>0.39436619718309857</v>
      </c>
      <c r="H46" s="27">
        <f>H21/SUM($E21:$H21)</f>
        <v>0.11267605633802817</v>
      </c>
    </row>
    <row r="47" spans="1:10" x14ac:dyDescent="0.25">
      <c r="A47" s="138" t="s">
        <v>1</v>
      </c>
      <c r="B47" s="9">
        <v>15760631</v>
      </c>
      <c r="C47" s="15">
        <v>0.15866962337416834</v>
      </c>
      <c r="E47" s="27">
        <f t="shared" ref="E47:H47" si="29">E22/SUM($E22:$H22)</f>
        <v>0.47368421052631576</v>
      </c>
      <c r="F47" s="27">
        <f t="shared" si="29"/>
        <v>0.10526315789473684</v>
      </c>
      <c r="G47" s="27">
        <f t="shared" si="29"/>
        <v>0.36842105263157893</v>
      </c>
      <c r="H47" s="27">
        <f t="shared" si="29"/>
        <v>5.2631578947368418E-2</v>
      </c>
    </row>
    <row r="48" spans="1:10" x14ac:dyDescent="0.25">
      <c r="A48" s="138" t="s">
        <v>2</v>
      </c>
      <c r="B48" s="9">
        <v>26077771</v>
      </c>
      <c r="C48" s="15">
        <v>0.26253708389009361</v>
      </c>
      <c r="E48" s="27">
        <f t="shared" ref="E48:H48" si="30">E23/SUM($E23:$H23)</f>
        <v>0.64556962025316456</v>
      </c>
      <c r="F48" s="27">
        <f t="shared" si="30"/>
        <v>0.15189873417721519</v>
      </c>
      <c r="G48" s="27">
        <f t="shared" si="30"/>
        <v>0.13924050632911392</v>
      </c>
      <c r="H48" s="27">
        <f t="shared" si="30"/>
        <v>6.3291139240506333E-2</v>
      </c>
    </row>
    <row r="49" spans="1:8" ht="15.75" thickBot="1" x14ac:dyDescent="0.3">
      <c r="A49" s="138" t="s">
        <v>35</v>
      </c>
      <c r="B49" s="9">
        <v>14040669</v>
      </c>
      <c r="C49" s="15">
        <v>0.14135396369291059</v>
      </c>
      <c r="E49" s="27">
        <f t="shared" ref="E49:H49" si="31">E24/SUM($E24:$H24)</f>
        <v>0.5357142857142857</v>
      </c>
      <c r="F49" s="27">
        <f t="shared" si="31"/>
        <v>0.10714285714285714</v>
      </c>
      <c r="G49" s="27">
        <f t="shared" si="31"/>
        <v>0.2857142857142857</v>
      </c>
      <c r="H49" s="27">
        <f t="shared" si="31"/>
        <v>7.1428571428571425E-2</v>
      </c>
    </row>
    <row r="50" spans="1:8" ht="15.75" thickBot="1" x14ac:dyDescent="0.3">
      <c r="A50" s="22" t="s">
        <v>34</v>
      </c>
      <c r="B50" s="24">
        <f>SUM(B46:B49)</f>
        <v>99329857</v>
      </c>
      <c r="C50" s="25">
        <f>SUM(C46:C49)</f>
        <v>1</v>
      </c>
      <c r="D50" s="140"/>
      <c r="E50" s="145">
        <f t="shared" ref="E50:H50" si="32">E25/SUM($E25:$H25)</f>
        <v>0.5</v>
      </c>
      <c r="F50" s="145">
        <f t="shared" si="32"/>
        <v>0.11842105263157894</v>
      </c>
      <c r="G50" s="145">
        <f t="shared" si="32"/>
        <v>0.30263157894736842</v>
      </c>
      <c r="H50" s="145">
        <f t="shared" si="32"/>
        <v>7.8947368421052627E-2</v>
      </c>
    </row>
    <row r="52" spans="1:8" x14ac:dyDescent="0.25">
      <c r="A52" s="10" t="s">
        <v>168</v>
      </c>
    </row>
    <row r="53" spans="1:8" x14ac:dyDescent="0.25">
      <c r="D53" s="8"/>
      <c r="E53" s="138" t="s">
        <v>4</v>
      </c>
      <c r="F53" s="138" t="s">
        <v>127</v>
      </c>
      <c r="G53" s="138" t="s">
        <v>24</v>
      </c>
      <c r="H53" s="138" t="s">
        <v>89</v>
      </c>
    </row>
    <row r="54" spans="1:8" x14ac:dyDescent="0.25">
      <c r="A54" s="138" t="s">
        <v>0</v>
      </c>
      <c r="B54" s="9">
        <v>43450786</v>
      </c>
      <c r="C54" s="15">
        <v>0.43743932904282745</v>
      </c>
      <c r="E54" s="27">
        <f>E29/SUM($E29:$H29)</f>
        <v>0.45569620253164556</v>
      </c>
      <c r="F54" s="27">
        <f>F29/SUM($E29:$H29)</f>
        <v>0.21518987341772153</v>
      </c>
      <c r="G54" s="27">
        <f>G29/SUM($E29:$H29)</f>
        <v>0.30379746835443039</v>
      </c>
      <c r="H54" s="27">
        <f>H29/SUM($E29:$H29)</f>
        <v>2.5316455696202531E-2</v>
      </c>
    </row>
    <row r="55" spans="1:8" x14ac:dyDescent="0.25">
      <c r="A55" s="138" t="s">
        <v>1</v>
      </c>
      <c r="B55" s="9">
        <v>15760631</v>
      </c>
      <c r="C55" s="15">
        <v>0.15866962337416834</v>
      </c>
      <c r="E55" s="27">
        <f t="shared" ref="E55:H55" si="33">E30/SUM($E30:$H30)</f>
        <v>0.44578313253012047</v>
      </c>
      <c r="F55" s="27">
        <f t="shared" si="33"/>
        <v>0.14457831325301204</v>
      </c>
      <c r="G55" s="27">
        <f t="shared" si="33"/>
        <v>0.38554216867469882</v>
      </c>
      <c r="H55" s="27">
        <f t="shared" si="33"/>
        <v>2.4096385542168676E-2</v>
      </c>
    </row>
    <row r="56" spans="1:8" x14ac:dyDescent="0.25">
      <c r="A56" s="138" t="s">
        <v>2</v>
      </c>
      <c r="B56" s="9">
        <v>26077771</v>
      </c>
      <c r="C56" s="15">
        <v>0.26253708389009361</v>
      </c>
      <c r="E56" s="27">
        <f t="shared" ref="E56:H56" si="34">E31/SUM($E31:$H31)</f>
        <v>0.63095238095238093</v>
      </c>
      <c r="F56" s="27">
        <f t="shared" si="34"/>
        <v>0.14285714285714285</v>
      </c>
      <c r="G56" s="27">
        <f t="shared" si="34"/>
        <v>0.22619047619047619</v>
      </c>
      <c r="H56" s="27">
        <f t="shared" si="34"/>
        <v>0</v>
      </c>
    </row>
    <row r="57" spans="1:8" ht="15.75" thickBot="1" x14ac:dyDescent="0.3">
      <c r="A57" s="138" t="s">
        <v>35</v>
      </c>
      <c r="B57" s="9">
        <v>14040669</v>
      </c>
      <c r="C57" s="15">
        <v>0.14135396369291059</v>
      </c>
      <c r="E57" s="27">
        <f t="shared" ref="E57:H57" si="35">E32/SUM($E32:$H32)</f>
        <v>0.5</v>
      </c>
      <c r="F57" s="27">
        <f t="shared" si="35"/>
        <v>0.11363636363636363</v>
      </c>
      <c r="G57" s="27">
        <f t="shared" si="35"/>
        <v>0.35227272727272729</v>
      </c>
      <c r="H57" s="27">
        <f t="shared" si="35"/>
        <v>3.4090909090909088E-2</v>
      </c>
    </row>
    <row r="58" spans="1:8" ht="15.75" thickBot="1" x14ac:dyDescent="0.3">
      <c r="A58" s="22" t="s">
        <v>34</v>
      </c>
      <c r="B58" s="24">
        <f>SUM(B54:B57)</f>
        <v>99329857</v>
      </c>
      <c r="C58" s="25">
        <f>SUM(C54:C57)</f>
        <v>1</v>
      </c>
      <c r="D58" s="140"/>
      <c r="E58" s="145">
        <f t="shared" ref="E58:H58" si="36">E33/SUM($E33:$H33)</f>
        <v>0.50602409638554213</v>
      </c>
      <c r="F58" s="145">
        <f t="shared" si="36"/>
        <v>0.16867469879518071</v>
      </c>
      <c r="G58" s="145">
        <f t="shared" si="36"/>
        <v>0.30120481927710846</v>
      </c>
      <c r="H58" s="145">
        <f t="shared" si="36"/>
        <v>2.4096385542168676E-2</v>
      </c>
    </row>
    <row r="60" spans="1:8" x14ac:dyDescent="0.25">
      <c r="A60" s="10" t="s">
        <v>164</v>
      </c>
    </row>
    <row r="61" spans="1:8" x14ac:dyDescent="0.25">
      <c r="D61" s="8"/>
      <c r="E61" s="138" t="s">
        <v>4</v>
      </c>
      <c r="F61" s="138" t="s">
        <v>127</v>
      </c>
      <c r="G61" s="138" t="s">
        <v>5</v>
      </c>
      <c r="H61" s="138" t="s">
        <v>89</v>
      </c>
    </row>
    <row r="62" spans="1:8" x14ac:dyDescent="0.25">
      <c r="A62" s="138" t="s">
        <v>0</v>
      </c>
      <c r="B62" s="9">
        <v>43450786</v>
      </c>
      <c r="C62" s="15">
        <v>0.43743932904282745</v>
      </c>
      <c r="E62" s="27" t="e">
        <f>E37/SUM($E37:$H37)</f>
        <v>#VALUE!</v>
      </c>
      <c r="F62" s="27" t="e">
        <f>F37/SUM($E37:$H37)</f>
        <v>#VALUE!</v>
      </c>
      <c r="G62" s="27" t="e">
        <f>G37/SUM($E37:$H37)</f>
        <v>#VALUE!</v>
      </c>
      <c r="H62" s="27" t="e">
        <f>H37/SUM($E37:$H37)</f>
        <v>#VALUE!</v>
      </c>
    </row>
    <row r="63" spans="1:8" x14ac:dyDescent="0.25">
      <c r="A63" s="138" t="s">
        <v>1</v>
      </c>
      <c r="B63" s="9">
        <v>15760631</v>
      </c>
      <c r="C63" s="15">
        <v>0.15866962337416834</v>
      </c>
      <c r="E63" s="27">
        <f t="shared" ref="E63:H63" si="37">E38/SUM($E38:$H38)</f>
        <v>0.31764705882352934</v>
      </c>
      <c r="F63" s="27">
        <f t="shared" si="37"/>
        <v>0.3529411764705882</v>
      </c>
      <c r="G63" s="27">
        <f t="shared" si="37"/>
        <v>0.29411764705882348</v>
      </c>
      <c r="H63" s="27">
        <f t="shared" si="37"/>
        <v>3.5294117647058816E-2</v>
      </c>
    </row>
    <row r="64" spans="1:8" x14ac:dyDescent="0.25">
      <c r="A64" s="138" t="s">
        <v>2</v>
      </c>
      <c r="B64" s="9">
        <v>26077771</v>
      </c>
      <c r="C64" s="15">
        <v>0.26253708389009361</v>
      </c>
      <c r="E64" s="27">
        <f t="shared" ref="E64:H64" si="38">E39/SUM($E39:$H39)</f>
        <v>0.38271604938271603</v>
      </c>
      <c r="F64" s="27">
        <f t="shared" si="38"/>
        <v>0.33333333333333331</v>
      </c>
      <c r="G64" s="27">
        <f t="shared" si="38"/>
        <v>0.22222222222222221</v>
      </c>
      <c r="H64" s="27">
        <f t="shared" si="38"/>
        <v>6.1728395061728392E-2</v>
      </c>
    </row>
    <row r="65" spans="1:8" ht="15.75" thickBot="1" x14ac:dyDescent="0.3">
      <c r="A65" s="138" t="s">
        <v>35</v>
      </c>
      <c r="B65" s="9">
        <v>14040669</v>
      </c>
      <c r="C65" s="15">
        <v>0.14135396369291059</v>
      </c>
      <c r="E65" s="27">
        <f t="shared" ref="E65:H65" si="39">E40/SUM($E40:$H40)</f>
        <v>0.53488372093023251</v>
      </c>
      <c r="F65" s="27">
        <f t="shared" si="39"/>
        <v>0.31395348837209303</v>
      </c>
      <c r="G65" s="27">
        <f t="shared" si="39"/>
        <v>0.12790697674418605</v>
      </c>
      <c r="H65" s="27">
        <f t="shared" si="39"/>
        <v>2.3255813953488372E-2</v>
      </c>
    </row>
    <row r="66" spans="1:8" ht="15.75" thickBot="1" x14ac:dyDescent="0.3">
      <c r="A66" s="22" t="s">
        <v>34</v>
      </c>
      <c r="B66" s="24">
        <f>SUM(B62:B65)</f>
        <v>99329857</v>
      </c>
      <c r="C66" s="25">
        <f>SUM(C62:C65)</f>
        <v>1</v>
      </c>
      <c r="D66" s="140"/>
      <c r="E66" s="145">
        <f t="shared" ref="E66:H66" si="40">E41/SUM($E41:$H41)</f>
        <v>0.44186046511627908</v>
      </c>
      <c r="F66" s="145">
        <f t="shared" si="40"/>
        <v>0.33720930232558138</v>
      </c>
      <c r="G66" s="145">
        <f t="shared" si="40"/>
        <v>0.18604651162790697</v>
      </c>
      <c r="H66" s="145">
        <f t="shared" si="40"/>
        <v>3.4883720930232558E-2</v>
      </c>
    </row>
    <row r="68" spans="1:8" x14ac:dyDescent="0.25">
      <c r="A68" s="10" t="s">
        <v>167</v>
      </c>
    </row>
    <row r="69" spans="1:8" x14ac:dyDescent="0.25">
      <c r="D69" s="8"/>
      <c r="E69" s="138" t="s">
        <v>4</v>
      </c>
      <c r="F69" s="138" t="s">
        <v>165</v>
      </c>
      <c r="G69" s="138" t="s">
        <v>5</v>
      </c>
      <c r="H69" s="138" t="s">
        <v>89</v>
      </c>
    </row>
    <row r="70" spans="1:8" x14ac:dyDescent="0.25">
      <c r="A70" s="138" t="s">
        <v>0</v>
      </c>
      <c r="B70" s="9">
        <v>43450786</v>
      </c>
      <c r="C70" s="15">
        <v>0.43743932904282745</v>
      </c>
      <c r="E70" s="27" t="e">
        <f>E45/SUM($E45:$H45)</f>
        <v>#VALUE!</v>
      </c>
      <c r="F70" s="27" t="e">
        <f>F45/SUM($E45:$H45)</f>
        <v>#VALUE!</v>
      </c>
      <c r="G70" s="27" t="e">
        <f>G45/SUM($E45:$H45)</f>
        <v>#VALUE!</v>
      </c>
      <c r="H70" s="27" t="e">
        <f>H45/SUM($E45:$H45)</f>
        <v>#VALUE!</v>
      </c>
    </row>
    <row r="71" spans="1:8" x14ac:dyDescent="0.25">
      <c r="A71" s="138" t="s">
        <v>1</v>
      </c>
      <c r="B71" s="9">
        <v>15760631</v>
      </c>
      <c r="C71" s="15">
        <v>0.15866962337416834</v>
      </c>
      <c r="E71" s="27">
        <f t="shared" ref="E71:H71" si="41">E46/SUM($E46:$H46)</f>
        <v>0.40845070422535218</v>
      </c>
      <c r="F71" s="27">
        <f t="shared" si="41"/>
        <v>8.4507042253521139E-2</v>
      </c>
      <c r="G71" s="27">
        <f t="shared" si="41"/>
        <v>0.39436619718309862</v>
      </c>
      <c r="H71" s="27">
        <f t="shared" si="41"/>
        <v>0.11267605633802819</v>
      </c>
    </row>
    <row r="72" spans="1:8" x14ac:dyDescent="0.25">
      <c r="A72" s="138" t="s">
        <v>2</v>
      </c>
      <c r="B72" s="9">
        <v>26077771</v>
      </c>
      <c r="C72" s="15">
        <v>0.26253708389009361</v>
      </c>
      <c r="E72" s="27">
        <f t="shared" ref="E72:H72" si="42">E47/SUM($E47:$H47)</f>
        <v>0.47368421052631576</v>
      </c>
      <c r="F72" s="27">
        <f t="shared" si="42"/>
        <v>0.10526315789473684</v>
      </c>
      <c r="G72" s="27">
        <f t="shared" si="42"/>
        <v>0.36842105263157893</v>
      </c>
      <c r="H72" s="27">
        <f t="shared" si="42"/>
        <v>5.2631578947368418E-2</v>
      </c>
    </row>
    <row r="73" spans="1:8" ht="15.75" thickBot="1" x14ac:dyDescent="0.3">
      <c r="A73" s="138" t="s">
        <v>35</v>
      </c>
      <c r="B73" s="9">
        <v>14040669</v>
      </c>
      <c r="C73" s="15">
        <v>0.14135396369291059</v>
      </c>
      <c r="E73" s="27">
        <f t="shared" ref="E73:H73" si="43">E48/SUM($E48:$H48)</f>
        <v>0.64556962025316456</v>
      </c>
      <c r="F73" s="27">
        <f t="shared" si="43"/>
        <v>0.15189873417721519</v>
      </c>
      <c r="G73" s="27">
        <f t="shared" si="43"/>
        <v>0.13924050632911392</v>
      </c>
      <c r="H73" s="27">
        <f t="shared" si="43"/>
        <v>6.3291139240506333E-2</v>
      </c>
    </row>
    <row r="74" spans="1:8" ht="15.75" thickBot="1" x14ac:dyDescent="0.3">
      <c r="A74" s="22" t="s">
        <v>34</v>
      </c>
      <c r="B74" s="24">
        <f>SUM(B70:B73)</f>
        <v>99329857</v>
      </c>
      <c r="C74" s="25">
        <f>SUM(C70:C73)</f>
        <v>1</v>
      </c>
      <c r="D74" s="140"/>
      <c r="E74" s="145">
        <f t="shared" ref="E74:H74" si="44">E49/SUM($E49:$H49)</f>
        <v>0.53571428571428581</v>
      </c>
      <c r="F74" s="145">
        <f t="shared" si="44"/>
        <v>0.10714285714285715</v>
      </c>
      <c r="G74" s="145">
        <f t="shared" si="44"/>
        <v>0.28571428571428575</v>
      </c>
      <c r="H74" s="145">
        <f t="shared" si="44"/>
        <v>7.1428571428571438E-2</v>
      </c>
    </row>
    <row r="76" spans="1:8" x14ac:dyDescent="0.25">
      <c r="A76" s="10" t="s">
        <v>168</v>
      </c>
    </row>
    <row r="77" spans="1:8" x14ac:dyDescent="0.25">
      <c r="D77" s="8"/>
      <c r="E77" s="138" t="s">
        <v>4</v>
      </c>
      <c r="F77" s="138" t="s">
        <v>127</v>
      </c>
      <c r="G77" s="138" t="s">
        <v>24</v>
      </c>
      <c r="H77" s="138" t="s">
        <v>89</v>
      </c>
    </row>
    <row r="78" spans="1:8" x14ac:dyDescent="0.25">
      <c r="A78" s="138" t="s">
        <v>0</v>
      </c>
      <c r="B78" s="9">
        <v>43450786</v>
      </c>
      <c r="C78" s="15">
        <v>0.43743932904282745</v>
      </c>
      <c r="E78" s="27" t="e">
        <f>E53/SUM($E53:$H53)</f>
        <v>#VALUE!</v>
      </c>
      <c r="F78" s="27" t="e">
        <f>F53/SUM($E53:$H53)</f>
        <v>#VALUE!</v>
      </c>
      <c r="G78" s="27" t="e">
        <f>G53/SUM($E53:$H53)</f>
        <v>#VALUE!</v>
      </c>
      <c r="H78" s="27" t="e">
        <f>H53/SUM($E53:$H53)</f>
        <v>#VALUE!</v>
      </c>
    </row>
    <row r="79" spans="1:8" x14ac:dyDescent="0.25">
      <c r="A79" s="138" t="s">
        <v>1</v>
      </c>
      <c r="B79" s="9">
        <v>15760631</v>
      </c>
      <c r="C79" s="15">
        <v>0.15866962337416834</v>
      </c>
      <c r="E79" s="27">
        <f t="shared" ref="E79:H79" si="45">E54/SUM($E54:$H54)</f>
        <v>0.45569620253164556</v>
      </c>
      <c r="F79" s="27">
        <f t="shared" si="45"/>
        <v>0.21518987341772153</v>
      </c>
      <c r="G79" s="27">
        <f t="shared" si="45"/>
        <v>0.30379746835443039</v>
      </c>
      <c r="H79" s="27">
        <f t="shared" si="45"/>
        <v>2.5316455696202531E-2</v>
      </c>
    </row>
    <row r="80" spans="1:8" x14ac:dyDescent="0.25">
      <c r="A80" s="138" t="s">
        <v>2</v>
      </c>
      <c r="B80" s="9">
        <v>26077771</v>
      </c>
      <c r="C80" s="15">
        <v>0.26253708389009361</v>
      </c>
      <c r="E80" s="27">
        <f t="shared" ref="E80:H80" si="46">E55/SUM($E55:$H55)</f>
        <v>0.44578313253012047</v>
      </c>
      <c r="F80" s="27">
        <f t="shared" si="46"/>
        <v>0.14457831325301204</v>
      </c>
      <c r="G80" s="27">
        <f t="shared" si="46"/>
        <v>0.38554216867469882</v>
      </c>
      <c r="H80" s="27">
        <f t="shared" si="46"/>
        <v>2.4096385542168676E-2</v>
      </c>
    </row>
    <row r="81" spans="1:8" ht="15.75" thickBot="1" x14ac:dyDescent="0.3">
      <c r="A81" s="138" t="s">
        <v>35</v>
      </c>
      <c r="B81" s="9">
        <v>14040669</v>
      </c>
      <c r="C81" s="15">
        <v>0.14135396369291059</v>
      </c>
      <c r="E81" s="27">
        <f t="shared" ref="E81:H81" si="47">E56/SUM($E56:$H56)</f>
        <v>0.63095238095238104</v>
      </c>
      <c r="F81" s="27">
        <f t="shared" si="47"/>
        <v>0.14285714285714288</v>
      </c>
      <c r="G81" s="27">
        <f t="shared" si="47"/>
        <v>0.22619047619047622</v>
      </c>
      <c r="H81" s="27">
        <f t="shared" si="47"/>
        <v>0</v>
      </c>
    </row>
    <row r="82" spans="1:8" ht="15.75" thickBot="1" x14ac:dyDescent="0.3">
      <c r="A82" s="22" t="s">
        <v>34</v>
      </c>
      <c r="B82" s="24">
        <f>SUM(B78:B81)</f>
        <v>99329857</v>
      </c>
      <c r="C82" s="25">
        <f>SUM(C78:C81)</f>
        <v>1</v>
      </c>
      <c r="D82" s="140"/>
      <c r="E82" s="145">
        <f t="shared" ref="E82:H82" si="48">E57/SUM($E57:$H57)</f>
        <v>0.5</v>
      </c>
      <c r="F82" s="145">
        <f t="shared" si="48"/>
        <v>0.11363636363636363</v>
      </c>
      <c r="G82" s="145">
        <f t="shared" si="48"/>
        <v>0.35227272727272729</v>
      </c>
      <c r="H82" s="145">
        <f t="shared" si="48"/>
        <v>3.4090909090909088E-2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S60"/>
  <sheetViews>
    <sheetView topLeftCell="A4" zoomScaleNormal="100" workbookViewId="0">
      <selection activeCell="E16" sqref="E16"/>
    </sheetView>
    <sheetView workbookViewId="1"/>
  </sheetViews>
  <sheetFormatPr defaultRowHeight="15" x14ac:dyDescent="0.25"/>
  <cols>
    <col min="1" max="1" width="14.140625" bestFit="1" customWidth="1"/>
    <col min="2" max="3" width="10.7109375" bestFit="1" customWidth="1"/>
    <col min="4" max="4" width="5.5703125" bestFit="1" customWidth="1"/>
    <col min="5" max="5" width="7.140625" bestFit="1" customWidth="1"/>
    <col min="6" max="6" width="7" bestFit="1" customWidth="1"/>
    <col min="7" max="7" width="5.85546875" bestFit="1" customWidth="1"/>
    <col min="9" max="9" width="10.7109375" bestFit="1" customWidth="1"/>
    <col min="10" max="10" width="5.5703125" bestFit="1" customWidth="1"/>
    <col min="11" max="11" width="7.140625" bestFit="1" customWidth="1"/>
    <col min="12" max="12" width="7" bestFit="1" customWidth="1"/>
    <col min="13" max="13" width="5.85546875" bestFit="1" customWidth="1"/>
    <col min="15" max="15" width="10.7109375" bestFit="1" customWidth="1"/>
    <col min="16" max="16" width="5.5703125" bestFit="1" customWidth="1"/>
    <col min="17" max="17" width="7.140625" bestFit="1" customWidth="1"/>
    <col min="18" max="18" width="7" bestFit="1" customWidth="1"/>
    <col min="19" max="19" width="5.85546875" bestFit="1" customWidth="1"/>
  </cols>
  <sheetData>
    <row r="2" spans="1:19" x14ac:dyDescent="0.25">
      <c r="C2" s="1">
        <v>40382</v>
      </c>
      <c r="I2" s="1">
        <v>40402</v>
      </c>
      <c r="O2" s="1">
        <v>40410</v>
      </c>
    </row>
    <row r="4" spans="1:19" x14ac:dyDescent="0.25">
      <c r="C4" t="s">
        <v>4</v>
      </c>
      <c r="D4" t="s">
        <v>24</v>
      </c>
      <c r="E4" t="s">
        <v>127</v>
      </c>
      <c r="F4" t="s">
        <v>89</v>
      </c>
      <c r="G4" t="s">
        <v>114</v>
      </c>
      <c r="I4" t="s">
        <v>4</v>
      </c>
      <c r="J4" t="s">
        <v>24</v>
      </c>
      <c r="K4" t="s">
        <v>127</v>
      </c>
      <c r="L4" t="s">
        <v>89</v>
      </c>
      <c r="M4" t="s">
        <v>114</v>
      </c>
      <c r="O4" t="s">
        <v>4</v>
      </c>
      <c r="P4" t="s">
        <v>24</v>
      </c>
      <c r="Q4" t="s">
        <v>127</v>
      </c>
      <c r="R4" t="s">
        <v>89</v>
      </c>
      <c r="S4" t="s">
        <v>114</v>
      </c>
    </row>
    <row r="5" spans="1:19" x14ac:dyDescent="0.25">
      <c r="A5" t="s">
        <v>128</v>
      </c>
      <c r="C5" s="133">
        <v>89</v>
      </c>
      <c r="D5" s="133">
        <v>97</v>
      </c>
      <c r="E5" s="133">
        <v>66</v>
      </c>
      <c r="I5" s="133">
        <v>91</v>
      </c>
      <c r="J5" s="133">
        <v>97</v>
      </c>
      <c r="K5" s="133">
        <v>73</v>
      </c>
      <c r="O5" s="133"/>
      <c r="P5" s="133"/>
      <c r="Q5" s="133"/>
    </row>
    <row r="7" spans="1:19" x14ac:dyDescent="0.25">
      <c r="A7" t="s">
        <v>129</v>
      </c>
      <c r="C7" s="133">
        <v>36</v>
      </c>
      <c r="D7" s="133">
        <v>37</v>
      </c>
      <c r="E7" s="133">
        <v>10</v>
      </c>
      <c r="F7" s="133">
        <v>3</v>
      </c>
      <c r="G7" s="133">
        <v>14</v>
      </c>
      <c r="I7" s="133">
        <v>41</v>
      </c>
      <c r="J7" s="133">
        <v>33</v>
      </c>
      <c r="K7" s="133">
        <v>10</v>
      </c>
      <c r="L7" s="133">
        <v>3</v>
      </c>
      <c r="M7" s="133">
        <v>14</v>
      </c>
      <c r="O7" s="133">
        <v>47</v>
      </c>
      <c r="P7" s="133">
        <v>30</v>
      </c>
      <c r="Q7" s="133">
        <v>9</v>
      </c>
      <c r="R7" s="133">
        <v>2</v>
      </c>
      <c r="S7" s="133">
        <v>12</v>
      </c>
    </row>
    <row r="11" spans="1:19" x14ac:dyDescent="0.25">
      <c r="B11" t="s">
        <v>130</v>
      </c>
      <c r="C11" s="133">
        <v>14</v>
      </c>
      <c r="D11" s="133">
        <v>32</v>
      </c>
      <c r="E11" s="133">
        <v>9</v>
      </c>
      <c r="F11" s="133"/>
      <c r="G11" s="133"/>
      <c r="H11" s="133"/>
      <c r="I11" s="133">
        <v>14</v>
      </c>
      <c r="J11" s="133">
        <v>30</v>
      </c>
      <c r="K11" s="133">
        <v>9</v>
      </c>
    </row>
    <row r="12" spans="1:19" x14ac:dyDescent="0.25">
      <c r="B12" t="s">
        <v>131</v>
      </c>
      <c r="C12" s="133">
        <v>34</v>
      </c>
      <c r="D12" s="133">
        <v>35</v>
      </c>
      <c r="E12" s="133">
        <v>22</v>
      </c>
      <c r="F12" s="133"/>
      <c r="G12" s="133"/>
      <c r="H12" s="133"/>
      <c r="I12" s="133">
        <v>35</v>
      </c>
      <c r="J12" s="133">
        <v>35</v>
      </c>
      <c r="K12" s="133">
        <v>24</v>
      </c>
    </row>
    <row r="13" spans="1:19" x14ac:dyDescent="0.25">
      <c r="C13" s="133"/>
      <c r="D13" s="133"/>
      <c r="E13" s="133"/>
      <c r="F13" s="133"/>
      <c r="G13" s="133"/>
      <c r="H13" s="133"/>
      <c r="I13" s="133"/>
      <c r="J13" s="133"/>
      <c r="K13" s="133"/>
    </row>
    <row r="14" spans="1:19" x14ac:dyDescent="0.25">
      <c r="B14" t="s">
        <v>132</v>
      </c>
      <c r="C14" s="133">
        <f>SUM(C11:C12)</f>
        <v>48</v>
      </c>
      <c r="D14" s="133">
        <f>SUM(D11:D12)</f>
        <v>67</v>
      </c>
      <c r="E14" s="133">
        <f>SUM(E11:E12)</f>
        <v>31</v>
      </c>
      <c r="F14" s="133"/>
      <c r="G14" s="133"/>
      <c r="H14" s="133"/>
      <c r="I14" s="133">
        <f>SUM(I11:I12)</f>
        <v>49</v>
      </c>
      <c r="J14" s="133">
        <f>SUM(J11:J12)</f>
        <v>65</v>
      </c>
      <c r="K14" s="133">
        <f>SUM(K11:K12)</f>
        <v>33</v>
      </c>
    </row>
    <row r="17" spans="1:17" x14ac:dyDescent="0.25">
      <c r="E17">
        <v>17</v>
      </c>
    </row>
    <row r="18" spans="1:17" x14ac:dyDescent="0.25">
      <c r="E18">
        <v>27</v>
      </c>
    </row>
    <row r="21" spans="1:17" x14ac:dyDescent="0.25">
      <c r="B21" s="135">
        <v>39891</v>
      </c>
      <c r="C21" s="135">
        <v>39961</v>
      </c>
      <c r="D21" s="133" t="s">
        <v>126</v>
      </c>
      <c r="E21" s="133" t="s">
        <v>133</v>
      </c>
      <c r="F21" s="133" t="s">
        <v>134</v>
      </c>
      <c r="G21" s="133" t="s">
        <v>135</v>
      </c>
      <c r="H21" s="136" t="s">
        <v>136</v>
      </c>
      <c r="I21" s="137" t="s">
        <v>137</v>
      </c>
    </row>
    <row r="22" spans="1:17" x14ac:dyDescent="0.25">
      <c r="A22" t="s">
        <v>139</v>
      </c>
      <c r="B22" s="133">
        <v>95</v>
      </c>
      <c r="C22" s="133">
        <v>95</v>
      </c>
      <c r="D22" s="133">
        <f t="shared" ref="D22:I22" si="0">SUM(D23:D24)</f>
        <v>60</v>
      </c>
      <c r="E22" s="133">
        <f t="shared" si="0"/>
        <v>69</v>
      </c>
      <c r="F22" s="133">
        <f t="shared" si="0"/>
        <v>68</v>
      </c>
      <c r="G22" s="133">
        <f t="shared" si="0"/>
        <v>70</v>
      </c>
      <c r="H22" s="133">
        <f t="shared" si="0"/>
        <v>70</v>
      </c>
      <c r="I22" s="133">
        <f t="shared" si="0"/>
        <v>67</v>
      </c>
      <c r="K22" s="133">
        <f>D22-D28</f>
        <v>21</v>
      </c>
      <c r="L22" s="133">
        <f t="shared" ref="L22:P22" si="1">E22-E28</f>
        <v>19</v>
      </c>
      <c r="M22" s="133">
        <f t="shared" si="1"/>
        <v>19</v>
      </c>
      <c r="N22" s="133">
        <f t="shared" si="1"/>
        <v>20</v>
      </c>
      <c r="O22" s="133">
        <f t="shared" si="1"/>
        <v>20</v>
      </c>
      <c r="P22" s="133">
        <f t="shared" si="1"/>
        <v>19</v>
      </c>
      <c r="Q22" s="133"/>
    </row>
    <row r="23" spans="1:17" x14ac:dyDescent="0.25">
      <c r="A23" t="s">
        <v>130</v>
      </c>
      <c r="B23" s="133"/>
      <c r="C23" s="133"/>
      <c r="D23" s="133">
        <v>30</v>
      </c>
      <c r="E23" s="133">
        <v>33</v>
      </c>
      <c r="F23" s="133">
        <v>34</v>
      </c>
      <c r="G23" s="133">
        <v>34</v>
      </c>
      <c r="H23" s="133">
        <v>33</v>
      </c>
      <c r="I23" s="133">
        <v>32</v>
      </c>
    </row>
    <row r="24" spans="1:17" x14ac:dyDescent="0.25">
      <c r="A24" t="s">
        <v>131</v>
      </c>
      <c r="B24" s="133"/>
      <c r="C24" s="133"/>
      <c r="D24" s="133">
        <v>30</v>
      </c>
      <c r="E24" s="133">
        <v>36</v>
      </c>
      <c r="F24" s="133">
        <v>34</v>
      </c>
      <c r="G24" s="133">
        <v>36</v>
      </c>
      <c r="H24" s="133">
        <v>37</v>
      </c>
      <c r="I24" s="133">
        <v>35</v>
      </c>
    </row>
    <row r="25" spans="1:17" x14ac:dyDescent="0.25">
      <c r="A25" t="s">
        <v>138</v>
      </c>
      <c r="B25" s="133"/>
      <c r="C25" s="133"/>
      <c r="D25" s="133">
        <v>33</v>
      </c>
      <c r="E25" s="133">
        <v>28</v>
      </c>
      <c r="F25" s="133">
        <v>29</v>
      </c>
      <c r="G25" s="133">
        <v>28</v>
      </c>
      <c r="H25" s="133">
        <v>28</v>
      </c>
      <c r="I25" s="133">
        <v>30</v>
      </c>
    </row>
    <row r="26" spans="1:17" x14ac:dyDescent="0.25">
      <c r="A26" t="s">
        <v>140</v>
      </c>
      <c r="B26" s="133">
        <f>B22</f>
        <v>95</v>
      </c>
      <c r="C26" s="133">
        <f>C22</f>
        <v>95</v>
      </c>
      <c r="D26" s="133">
        <f>SUM(D23:D25)</f>
        <v>93</v>
      </c>
      <c r="E26" s="133">
        <f t="shared" ref="E26:I26" si="2">SUM(E23:E25)</f>
        <v>97</v>
      </c>
      <c r="F26" s="133">
        <f t="shared" si="2"/>
        <v>97</v>
      </c>
      <c r="G26" s="133">
        <f t="shared" si="2"/>
        <v>98</v>
      </c>
      <c r="H26" s="133">
        <f t="shared" si="2"/>
        <v>98</v>
      </c>
      <c r="I26" s="133">
        <f t="shared" si="2"/>
        <v>97</v>
      </c>
      <c r="K26" s="133">
        <f>D26-D32</f>
        <v>13</v>
      </c>
      <c r="L26" s="133">
        <f t="shared" ref="L26:P26" si="3">E26-E32</f>
        <v>11</v>
      </c>
      <c r="M26" s="133">
        <f t="shared" si="3"/>
        <v>9</v>
      </c>
      <c r="N26" s="133">
        <f t="shared" si="3"/>
        <v>7</v>
      </c>
      <c r="O26" s="133">
        <f t="shared" si="3"/>
        <v>6</v>
      </c>
      <c r="P26" s="133">
        <f t="shared" si="3"/>
        <v>8</v>
      </c>
      <c r="Q26" s="133"/>
    </row>
    <row r="27" spans="1:17" x14ac:dyDescent="0.25">
      <c r="B27" s="133"/>
      <c r="C27" s="133"/>
      <c r="D27" s="133"/>
      <c r="E27" s="133"/>
      <c r="F27" s="133"/>
      <c r="G27" s="133"/>
      <c r="H27" s="133"/>
      <c r="I27" s="133"/>
    </row>
    <row r="28" spans="1:17" x14ac:dyDescent="0.25">
      <c r="A28" t="s">
        <v>143</v>
      </c>
      <c r="B28" s="133">
        <v>53</v>
      </c>
      <c r="C28" s="133">
        <v>65</v>
      </c>
      <c r="D28" s="133">
        <f t="shared" ref="D28" si="4">SUM(D29:D30)</f>
        <v>39</v>
      </c>
      <c r="E28" s="133">
        <f t="shared" ref="E28" si="5">SUM(E29:E30)</f>
        <v>50</v>
      </c>
      <c r="F28" s="133">
        <f t="shared" ref="F28" si="6">SUM(F29:F30)</f>
        <v>49</v>
      </c>
      <c r="G28" s="133">
        <f t="shared" ref="G28" si="7">SUM(G29:G30)</f>
        <v>50</v>
      </c>
      <c r="H28" s="133">
        <f t="shared" ref="H28" si="8">SUM(H29:H30)</f>
        <v>50</v>
      </c>
      <c r="I28" s="133">
        <f t="shared" ref="I28" si="9">SUM(I29:I30)</f>
        <v>48</v>
      </c>
    </row>
    <row r="29" spans="1:17" x14ac:dyDescent="0.25">
      <c r="A29" t="s">
        <v>130</v>
      </c>
      <c r="B29" s="133"/>
      <c r="C29" s="133"/>
      <c r="D29" s="133">
        <v>13</v>
      </c>
      <c r="E29" s="133">
        <v>17</v>
      </c>
      <c r="F29" s="133">
        <v>16</v>
      </c>
      <c r="G29" s="133">
        <v>15</v>
      </c>
      <c r="H29" s="133">
        <v>15</v>
      </c>
      <c r="I29" s="133">
        <v>14</v>
      </c>
    </row>
    <row r="30" spans="1:17" x14ac:dyDescent="0.25">
      <c r="A30" t="s">
        <v>131</v>
      </c>
      <c r="B30" s="133"/>
      <c r="C30" s="133"/>
      <c r="D30" s="133">
        <v>26</v>
      </c>
      <c r="E30" s="133">
        <v>33</v>
      </c>
      <c r="F30" s="133">
        <v>33</v>
      </c>
      <c r="G30" s="133">
        <v>35</v>
      </c>
      <c r="H30" s="133">
        <v>35</v>
      </c>
      <c r="I30" s="133">
        <v>34</v>
      </c>
    </row>
    <row r="31" spans="1:17" x14ac:dyDescent="0.25">
      <c r="A31" t="s">
        <v>138</v>
      </c>
      <c r="B31" s="133"/>
      <c r="C31" s="133"/>
      <c r="D31" s="133">
        <v>41</v>
      </c>
      <c r="E31" s="133">
        <v>36</v>
      </c>
      <c r="F31" s="133">
        <v>39</v>
      </c>
      <c r="G31" s="133">
        <v>41</v>
      </c>
      <c r="H31" s="133">
        <v>42</v>
      </c>
      <c r="I31" s="133">
        <v>41</v>
      </c>
    </row>
    <row r="32" spans="1:17" x14ac:dyDescent="0.25">
      <c r="A32" t="s">
        <v>144</v>
      </c>
      <c r="B32" s="133">
        <f>B28</f>
        <v>53</v>
      </c>
      <c r="C32" s="133">
        <f>C28</f>
        <v>65</v>
      </c>
      <c r="D32" s="133">
        <f>SUM(D29:D31)</f>
        <v>80</v>
      </c>
      <c r="E32" s="133">
        <f t="shared" ref="E32" si="10">SUM(E29:E31)</f>
        <v>86</v>
      </c>
      <c r="F32" s="133">
        <f t="shared" ref="F32" si="11">SUM(F29:F31)</f>
        <v>88</v>
      </c>
      <c r="G32" s="133">
        <f t="shared" ref="G32" si="12">SUM(G29:G31)</f>
        <v>91</v>
      </c>
      <c r="H32" s="133">
        <f t="shared" ref="H32" si="13">SUM(H29:H31)</f>
        <v>92</v>
      </c>
      <c r="I32" s="133">
        <f t="shared" ref="I32" si="14">SUM(I29:I31)</f>
        <v>89</v>
      </c>
    </row>
    <row r="33" spans="1:17" x14ac:dyDescent="0.25">
      <c r="B33" s="133"/>
      <c r="C33" s="133"/>
      <c r="D33" s="133"/>
      <c r="E33" s="133"/>
      <c r="F33" s="133"/>
      <c r="G33" s="133"/>
      <c r="H33" s="133"/>
      <c r="I33" s="133"/>
    </row>
    <row r="34" spans="1:17" x14ac:dyDescent="0.25">
      <c r="A34" t="s">
        <v>141</v>
      </c>
      <c r="B34" s="133">
        <v>62</v>
      </c>
      <c r="C34" s="133">
        <v>61</v>
      </c>
      <c r="D34" s="133">
        <f t="shared" ref="D34" si="15">SUM(D35:D36)</f>
        <v>41</v>
      </c>
      <c r="E34" s="133">
        <f t="shared" ref="E34" si="16">SUM(E35:E36)</f>
        <v>42</v>
      </c>
      <c r="F34" s="133">
        <f t="shared" ref="F34" si="17">SUM(F35:F36)</f>
        <v>40</v>
      </c>
      <c r="G34" s="133">
        <f t="shared" ref="G34" si="18">SUM(G35:G36)</f>
        <v>42</v>
      </c>
      <c r="H34" s="133">
        <f t="shared" ref="H34" si="19">SUM(H35:H36)</f>
        <v>43</v>
      </c>
      <c r="I34" s="133">
        <f t="shared" ref="I34" si="20">SUM(I35:I36)</f>
        <v>44</v>
      </c>
      <c r="K34" s="133">
        <f>D40-D34</f>
        <v>49</v>
      </c>
      <c r="L34" s="133">
        <f t="shared" ref="L34:P34" si="21">E40-E34</f>
        <v>48</v>
      </c>
      <c r="M34" s="133">
        <f t="shared" si="21"/>
        <v>47</v>
      </c>
      <c r="N34" s="133">
        <f t="shared" si="21"/>
        <v>44</v>
      </c>
      <c r="O34" s="133">
        <f t="shared" si="21"/>
        <v>40</v>
      </c>
      <c r="P34" s="133">
        <f t="shared" si="21"/>
        <v>41</v>
      </c>
      <c r="Q34" s="133"/>
    </row>
    <row r="35" spans="1:17" x14ac:dyDescent="0.25">
      <c r="A35" t="s">
        <v>130</v>
      </c>
      <c r="B35" s="133"/>
      <c r="C35" s="133"/>
      <c r="D35" s="133">
        <v>15</v>
      </c>
      <c r="E35" s="133">
        <v>20</v>
      </c>
      <c r="F35" s="133">
        <v>17</v>
      </c>
      <c r="G35" s="133">
        <v>17</v>
      </c>
      <c r="H35" s="133">
        <v>16</v>
      </c>
      <c r="I35" s="133">
        <v>17</v>
      </c>
    </row>
    <row r="36" spans="1:17" x14ac:dyDescent="0.25">
      <c r="A36" t="s">
        <v>131</v>
      </c>
      <c r="B36" s="133"/>
      <c r="C36" s="133"/>
      <c r="D36" s="133">
        <v>26</v>
      </c>
      <c r="E36" s="133">
        <v>22</v>
      </c>
      <c r="F36" s="133">
        <v>23</v>
      </c>
      <c r="G36" s="133">
        <v>25</v>
      </c>
      <c r="H36" s="133">
        <v>27</v>
      </c>
      <c r="I36" s="133">
        <v>27</v>
      </c>
    </row>
    <row r="37" spans="1:17" x14ac:dyDescent="0.25">
      <c r="A37" t="s">
        <v>138</v>
      </c>
      <c r="B37" s="133"/>
      <c r="C37" s="133"/>
      <c r="D37" s="133">
        <v>36</v>
      </c>
      <c r="E37" s="133">
        <v>34</v>
      </c>
      <c r="F37" s="133">
        <v>35</v>
      </c>
      <c r="G37" s="133">
        <v>36</v>
      </c>
      <c r="H37" s="133">
        <v>38</v>
      </c>
      <c r="I37" s="133">
        <v>37</v>
      </c>
    </row>
    <row r="38" spans="1:17" x14ac:dyDescent="0.25">
      <c r="A38" t="s">
        <v>142</v>
      </c>
      <c r="B38" s="133">
        <f>B34</f>
        <v>62</v>
      </c>
      <c r="C38" s="133">
        <f>C34</f>
        <v>61</v>
      </c>
      <c r="D38" s="133">
        <f>SUM(D35:D37)</f>
        <v>77</v>
      </c>
      <c r="E38" s="133">
        <f t="shared" ref="E38" si="22">SUM(E35:E37)</f>
        <v>76</v>
      </c>
      <c r="F38" s="133">
        <f t="shared" ref="F38" si="23">SUM(F35:F37)</f>
        <v>75</v>
      </c>
      <c r="G38" s="133">
        <f t="shared" ref="G38" si="24">SUM(G35:G37)</f>
        <v>78</v>
      </c>
      <c r="H38" s="133">
        <f t="shared" ref="H38" si="25">SUM(H35:H37)</f>
        <v>81</v>
      </c>
      <c r="I38" s="133">
        <f t="shared" ref="I38" si="26">SUM(I35:I37)</f>
        <v>81</v>
      </c>
      <c r="K38" s="133">
        <f>D44-D38</f>
        <v>22</v>
      </c>
      <c r="L38" s="133">
        <f t="shared" ref="L38:P38" si="27">E44-E38</f>
        <v>24</v>
      </c>
      <c r="M38" s="133">
        <f t="shared" si="27"/>
        <v>24</v>
      </c>
      <c r="N38" s="133">
        <f t="shared" si="27"/>
        <v>21</v>
      </c>
      <c r="O38" s="133">
        <f t="shared" si="27"/>
        <v>18</v>
      </c>
      <c r="P38" s="133">
        <f t="shared" si="27"/>
        <v>19</v>
      </c>
      <c r="Q38" s="133"/>
    </row>
    <row r="40" spans="1:17" x14ac:dyDescent="0.25">
      <c r="A40" t="s">
        <v>145</v>
      </c>
      <c r="B40" s="133">
        <v>53</v>
      </c>
      <c r="C40" s="133">
        <v>65</v>
      </c>
      <c r="D40" s="133">
        <f t="shared" ref="D40" si="28">SUM(D41:D42)</f>
        <v>90</v>
      </c>
      <c r="E40" s="133">
        <f t="shared" ref="E40" si="29">SUM(E41:E42)</f>
        <v>90</v>
      </c>
      <c r="F40" s="133">
        <f t="shared" ref="F40" si="30">SUM(F41:F42)</f>
        <v>87</v>
      </c>
      <c r="G40" s="133">
        <f t="shared" ref="G40" si="31">SUM(G41:G42)</f>
        <v>86</v>
      </c>
      <c r="H40" s="133">
        <f t="shared" ref="H40" si="32">SUM(H41:H42)</f>
        <v>83</v>
      </c>
      <c r="I40" s="133">
        <f t="shared" ref="I40" si="33">SUM(I41:I42)</f>
        <v>85</v>
      </c>
    </row>
    <row r="41" spans="1:17" x14ac:dyDescent="0.25">
      <c r="A41" t="s">
        <v>130</v>
      </c>
      <c r="B41" s="133"/>
      <c r="C41" s="133"/>
      <c r="D41" s="133">
        <v>57</v>
      </c>
      <c r="E41" s="133">
        <v>62</v>
      </c>
      <c r="F41" s="133">
        <v>57</v>
      </c>
      <c r="G41" s="133">
        <v>52</v>
      </c>
      <c r="H41" s="133">
        <v>50</v>
      </c>
      <c r="I41" s="133">
        <v>53</v>
      </c>
    </row>
    <row r="42" spans="1:17" x14ac:dyDescent="0.25">
      <c r="A42" t="s">
        <v>131</v>
      </c>
      <c r="B42" s="133"/>
      <c r="C42" s="133"/>
      <c r="D42" s="133">
        <v>33</v>
      </c>
      <c r="E42" s="133">
        <v>28</v>
      </c>
      <c r="F42" s="133">
        <v>30</v>
      </c>
      <c r="G42" s="133">
        <v>34</v>
      </c>
      <c r="H42" s="133">
        <v>33</v>
      </c>
      <c r="I42" s="133">
        <v>32</v>
      </c>
    </row>
    <row r="43" spans="1:17" x14ac:dyDescent="0.25">
      <c r="A43" t="s">
        <v>138</v>
      </c>
      <c r="B43" s="133"/>
      <c r="C43" s="133"/>
      <c r="D43" s="133">
        <v>9</v>
      </c>
      <c r="E43" s="133">
        <v>10</v>
      </c>
      <c r="F43" s="133">
        <v>12</v>
      </c>
      <c r="G43" s="133">
        <v>13</v>
      </c>
      <c r="H43" s="133">
        <v>16</v>
      </c>
      <c r="I43" s="133">
        <v>15</v>
      </c>
    </row>
    <row r="44" spans="1:17" x14ac:dyDescent="0.25">
      <c r="A44" t="s">
        <v>146</v>
      </c>
      <c r="B44" s="133">
        <f>B40</f>
        <v>53</v>
      </c>
      <c r="C44" s="133">
        <f>C40</f>
        <v>65</v>
      </c>
      <c r="D44" s="133">
        <f>SUM(D41:D43)</f>
        <v>99</v>
      </c>
      <c r="E44" s="133">
        <f t="shared" ref="E44" si="34">SUM(E41:E43)</f>
        <v>100</v>
      </c>
      <c r="F44" s="133">
        <f t="shared" ref="F44" si="35">SUM(F41:F43)</f>
        <v>99</v>
      </c>
      <c r="G44" s="133">
        <f t="shared" ref="G44" si="36">SUM(G41:G43)</f>
        <v>99</v>
      </c>
      <c r="H44" s="133">
        <f t="shared" ref="H44" si="37">SUM(H41:H43)</f>
        <v>99</v>
      </c>
      <c r="I44" s="133">
        <f t="shared" ref="I44" si="38">SUM(I41:I43)</f>
        <v>100</v>
      </c>
    </row>
    <row r="46" spans="1:17" x14ac:dyDescent="0.25">
      <c r="A46" t="s">
        <v>147</v>
      </c>
      <c r="B46" s="133"/>
      <c r="C46" s="133"/>
      <c r="D46" s="133">
        <f t="shared" ref="D46" si="39">SUM(D47:D48)</f>
        <v>22</v>
      </c>
      <c r="E46" s="133">
        <f t="shared" ref="E46" si="40">SUM(E47:E48)</f>
        <v>26</v>
      </c>
      <c r="F46" s="133">
        <f t="shared" ref="F46" si="41">SUM(F47:F48)</f>
        <v>30</v>
      </c>
      <c r="G46" s="133">
        <f t="shared" ref="G46" si="42">SUM(G47:G48)</f>
        <v>35</v>
      </c>
      <c r="H46" s="133">
        <f t="shared" ref="H46" si="43">SUM(H47:H48)</f>
        <v>32</v>
      </c>
      <c r="I46" s="133">
        <f t="shared" ref="I46" si="44">SUM(I47:I48)</f>
        <v>31</v>
      </c>
    </row>
    <row r="47" spans="1:17" x14ac:dyDescent="0.25">
      <c r="A47" t="s">
        <v>130</v>
      </c>
      <c r="B47" s="133"/>
      <c r="C47" s="133"/>
      <c r="D47" s="133">
        <v>6</v>
      </c>
      <c r="E47" s="133">
        <v>7</v>
      </c>
      <c r="F47" s="133">
        <v>9</v>
      </c>
      <c r="G47" s="133">
        <v>10</v>
      </c>
      <c r="H47" s="133">
        <v>9</v>
      </c>
      <c r="I47" s="133">
        <v>9</v>
      </c>
    </row>
    <row r="48" spans="1:17" x14ac:dyDescent="0.25">
      <c r="A48" t="s">
        <v>131</v>
      </c>
      <c r="B48" s="133"/>
      <c r="C48" s="133"/>
      <c r="D48" s="133">
        <v>16</v>
      </c>
      <c r="E48" s="133">
        <v>19</v>
      </c>
      <c r="F48" s="133">
        <v>21</v>
      </c>
      <c r="G48" s="133">
        <v>25</v>
      </c>
      <c r="H48" s="133">
        <v>23</v>
      </c>
      <c r="I48" s="133">
        <v>22</v>
      </c>
    </row>
    <row r="49" spans="1:9" x14ac:dyDescent="0.25">
      <c r="A49" t="s">
        <v>138</v>
      </c>
      <c r="B49" s="133"/>
      <c r="C49" s="133"/>
      <c r="D49" s="133">
        <v>29</v>
      </c>
      <c r="E49" s="133">
        <v>30</v>
      </c>
      <c r="F49" s="133">
        <v>33</v>
      </c>
      <c r="G49" s="133">
        <v>38</v>
      </c>
      <c r="H49" s="133">
        <v>38</v>
      </c>
      <c r="I49" s="133">
        <v>35</v>
      </c>
    </row>
    <row r="50" spans="1:9" x14ac:dyDescent="0.25">
      <c r="A50" t="s">
        <v>148</v>
      </c>
      <c r="B50" s="133"/>
      <c r="C50" s="133"/>
      <c r="D50" s="133">
        <f>SUM(D47:D49)</f>
        <v>51</v>
      </c>
      <c r="E50" s="133">
        <f t="shared" ref="E50" si="45">SUM(E47:E49)</f>
        <v>56</v>
      </c>
      <c r="F50" s="133">
        <f t="shared" ref="F50" si="46">SUM(F47:F49)</f>
        <v>63</v>
      </c>
      <c r="G50" s="133">
        <f t="shared" ref="G50" si="47">SUM(G47:G49)</f>
        <v>73</v>
      </c>
      <c r="H50" s="133">
        <f t="shared" ref="H50" si="48">SUM(H47:H49)</f>
        <v>70</v>
      </c>
      <c r="I50" s="133">
        <f t="shared" ref="I50" si="49">SUM(I47:I49)</f>
        <v>66</v>
      </c>
    </row>
    <row r="51" spans="1:9" x14ac:dyDescent="0.25">
      <c r="B51" s="133"/>
      <c r="C51" s="133"/>
      <c r="D51" s="133"/>
      <c r="E51" s="133"/>
      <c r="F51" s="133"/>
      <c r="G51" s="133"/>
      <c r="H51" s="133"/>
      <c r="I51" s="133"/>
    </row>
    <row r="52" spans="1:9" x14ac:dyDescent="0.25">
      <c r="A52" t="s">
        <v>149</v>
      </c>
      <c r="B52" s="133"/>
      <c r="C52" s="133"/>
      <c r="D52" s="133">
        <f t="shared" ref="D52" si="50">SUM(D53:D54)</f>
        <v>59</v>
      </c>
      <c r="E52" s="133">
        <f t="shared" ref="E52" si="51">SUM(E53:E54)</f>
        <v>55</v>
      </c>
      <c r="F52" s="133">
        <f t="shared" ref="F52" si="52">SUM(F53:F54)</f>
        <v>54</v>
      </c>
      <c r="G52" s="133">
        <f t="shared" ref="G52" si="53">SUM(G53:G54)</f>
        <v>0</v>
      </c>
      <c r="H52" s="133">
        <f t="shared" ref="H52" si="54">SUM(H53:H54)</f>
        <v>0</v>
      </c>
      <c r="I52" s="133">
        <f t="shared" ref="I52" si="55">SUM(I53:I54)</f>
        <v>0</v>
      </c>
    </row>
    <row r="53" spans="1:9" x14ac:dyDescent="0.25">
      <c r="A53" t="s">
        <v>130</v>
      </c>
      <c r="B53" s="133"/>
      <c r="C53" s="133"/>
      <c r="D53" s="133">
        <v>24</v>
      </c>
      <c r="E53" s="133">
        <v>23</v>
      </c>
      <c r="F53" s="133">
        <v>22</v>
      </c>
      <c r="G53" s="133"/>
      <c r="H53" s="133"/>
      <c r="I53" s="133"/>
    </row>
    <row r="54" spans="1:9" x14ac:dyDescent="0.25">
      <c r="A54" t="s">
        <v>131</v>
      </c>
      <c r="B54" s="133"/>
      <c r="C54" s="133"/>
      <c r="D54" s="133">
        <v>35</v>
      </c>
      <c r="E54" s="133">
        <v>32</v>
      </c>
      <c r="F54" s="133">
        <v>32</v>
      </c>
      <c r="G54" s="133"/>
      <c r="H54" s="133"/>
      <c r="I54" s="133"/>
    </row>
    <row r="55" spans="1:9" x14ac:dyDescent="0.25">
      <c r="A55" t="s">
        <v>138</v>
      </c>
      <c r="B55" s="133"/>
      <c r="C55" s="133"/>
      <c r="D55" s="133">
        <v>29</v>
      </c>
      <c r="E55" s="133">
        <v>31</v>
      </c>
      <c r="F55" s="133">
        <v>32</v>
      </c>
      <c r="G55" s="133"/>
      <c r="H55" s="133"/>
      <c r="I55" s="133"/>
    </row>
    <row r="56" spans="1:9" x14ac:dyDescent="0.25">
      <c r="A56" t="s">
        <v>150</v>
      </c>
      <c r="B56" s="133"/>
      <c r="C56" s="133"/>
      <c r="D56" s="133">
        <f>SUM(D53:D55)</f>
        <v>88</v>
      </c>
      <c r="E56" s="133">
        <f t="shared" ref="E56" si="56">SUM(E53:E55)</f>
        <v>86</v>
      </c>
      <c r="F56" s="133">
        <f t="shared" ref="F56" si="57">SUM(F53:F55)</f>
        <v>86</v>
      </c>
      <c r="G56" s="133">
        <f t="shared" ref="G56" si="58">SUM(G53:G55)</f>
        <v>0</v>
      </c>
      <c r="H56" s="133">
        <f t="shared" ref="H56" si="59">SUM(H53:H55)</f>
        <v>0</v>
      </c>
      <c r="I56" s="133">
        <f t="shared" ref="I56" si="60">SUM(I53:I55)</f>
        <v>0</v>
      </c>
    </row>
    <row r="57" spans="1:9" x14ac:dyDescent="0.25">
      <c r="B57" s="133"/>
      <c r="C57" s="133"/>
      <c r="D57" s="133"/>
      <c r="E57" s="133"/>
      <c r="F57" s="133"/>
      <c r="G57" s="133"/>
      <c r="H57" s="133"/>
      <c r="I57" s="133"/>
    </row>
    <row r="58" spans="1:9" x14ac:dyDescent="0.25">
      <c r="B58" s="133"/>
      <c r="C58" s="133"/>
      <c r="D58" s="133"/>
      <c r="E58" s="133"/>
      <c r="F58" s="133"/>
      <c r="G58" s="133"/>
      <c r="H58" s="133"/>
      <c r="I58" s="133"/>
    </row>
    <row r="59" spans="1:9" x14ac:dyDescent="0.25">
      <c r="B59" s="133"/>
      <c r="C59" s="133"/>
      <c r="D59" s="133"/>
      <c r="E59" s="133"/>
      <c r="F59" s="133"/>
      <c r="G59" s="133"/>
      <c r="H59" s="133"/>
      <c r="I59" s="133"/>
    </row>
    <row r="60" spans="1:9" x14ac:dyDescent="0.25">
      <c r="B60" s="133"/>
      <c r="C60" s="133"/>
      <c r="D60" s="133"/>
      <c r="E60" s="133"/>
      <c r="F60" s="133"/>
      <c r="G60" s="133"/>
      <c r="H60" s="133"/>
      <c r="I60" s="133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Q80"/>
  <sheetViews>
    <sheetView topLeftCell="A40" workbookViewId="0">
      <selection activeCell="C78" sqref="C78"/>
    </sheetView>
    <sheetView workbookViewId="1"/>
  </sheetViews>
  <sheetFormatPr defaultRowHeight="15" x14ac:dyDescent="0.25"/>
  <cols>
    <col min="1" max="1" width="7" bestFit="1" customWidth="1"/>
    <col min="4" max="4" width="13.28515625" bestFit="1" customWidth="1"/>
    <col min="5" max="5" width="8.140625" bestFit="1" customWidth="1"/>
    <col min="7" max="7" width="6.140625" bestFit="1" customWidth="1"/>
    <col min="8" max="8" width="6" bestFit="1" customWidth="1"/>
    <col min="10" max="10" width="6.140625" bestFit="1" customWidth="1"/>
    <col min="11" max="11" width="5.5703125" bestFit="1" customWidth="1"/>
    <col min="12" max="12" width="12.140625" bestFit="1" customWidth="1"/>
    <col min="13" max="13" width="8.42578125" bestFit="1" customWidth="1"/>
    <col min="15" max="15" width="6.140625" bestFit="1" customWidth="1"/>
    <col min="16" max="16" width="5.5703125" bestFit="1" customWidth="1"/>
  </cols>
  <sheetData>
    <row r="1" spans="1:16" ht="18.75" x14ac:dyDescent="0.3">
      <c r="A1" s="18">
        <v>2010</v>
      </c>
      <c r="B1" s="18"/>
      <c r="C1" s="18"/>
      <c r="D1" s="131"/>
      <c r="E1" s="131"/>
      <c r="F1" s="131"/>
      <c r="G1" s="238" t="s">
        <v>27</v>
      </c>
      <c r="H1" s="238"/>
      <c r="I1" s="131"/>
      <c r="J1" s="238" t="s">
        <v>78</v>
      </c>
      <c r="K1" s="238"/>
      <c r="L1" s="238"/>
      <c r="M1" s="238"/>
      <c r="N1" s="131"/>
      <c r="O1" s="238" t="s">
        <v>36</v>
      </c>
      <c r="P1" s="238"/>
    </row>
    <row r="2" spans="1:16" x14ac:dyDescent="0.25">
      <c r="A2" s="131"/>
      <c r="B2" s="131"/>
      <c r="C2" s="131"/>
      <c r="D2" t="s">
        <v>41</v>
      </c>
      <c r="E2" t="s">
        <v>8</v>
      </c>
      <c r="F2" s="131"/>
      <c r="G2" s="131" t="s">
        <v>4</v>
      </c>
      <c r="H2" s="131" t="s">
        <v>24</v>
      </c>
      <c r="I2" s="131"/>
      <c r="J2" s="131" t="s">
        <v>4</v>
      </c>
      <c r="K2" s="131" t="s">
        <v>24</v>
      </c>
      <c r="L2" s="131" t="s">
        <v>32</v>
      </c>
      <c r="M2" s="131" t="s">
        <v>33</v>
      </c>
      <c r="N2" s="131"/>
      <c r="O2" s="131" t="s">
        <v>4</v>
      </c>
      <c r="P2" s="131" t="s">
        <v>24</v>
      </c>
    </row>
    <row r="3" spans="1:16" x14ac:dyDescent="0.25">
      <c r="A3" s="132" t="s">
        <v>0</v>
      </c>
      <c r="B3" s="132"/>
      <c r="C3" s="132"/>
      <c r="D3" s="9">
        <v>43450786</v>
      </c>
      <c r="E3" s="15">
        <v>0.43743932904282745</v>
      </c>
      <c r="F3" s="131"/>
      <c r="G3" s="14">
        <v>51.876380326008373</v>
      </c>
      <c r="H3" s="14">
        <v>48.123619673991627</v>
      </c>
      <c r="I3" s="131"/>
      <c r="J3" s="131">
        <v>48</v>
      </c>
      <c r="K3" s="131">
        <v>44</v>
      </c>
      <c r="L3" s="131">
        <v>5</v>
      </c>
      <c r="M3" s="131">
        <v>3</v>
      </c>
      <c r="N3" s="131"/>
      <c r="O3" s="17">
        <v>52.173913043478258</v>
      </c>
      <c r="P3" s="17">
        <v>47.826086956521742</v>
      </c>
    </row>
    <row r="4" spans="1:16" x14ac:dyDescent="0.25">
      <c r="A4" s="132" t="s">
        <v>1</v>
      </c>
      <c r="B4" s="132"/>
      <c r="C4" s="132"/>
      <c r="D4" s="9">
        <v>15760631</v>
      </c>
      <c r="E4" s="15">
        <v>0.15866962337416834</v>
      </c>
      <c r="F4" s="131"/>
      <c r="G4" s="14">
        <v>46.109023172993517</v>
      </c>
      <c r="H4" s="14">
        <v>53.89097682700649</v>
      </c>
      <c r="I4" s="131"/>
      <c r="J4" s="131">
        <v>42</v>
      </c>
      <c r="K4" s="131">
        <v>50</v>
      </c>
      <c r="L4" s="131">
        <v>3</v>
      </c>
      <c r="M4" s="131">
        <v>5</v>
      </c>
      <c r="N4" s="131"/>
      <c r="O4" s="17">
        <v>45.652173913043477</v>
      </c>
      <c r="P4" s="17">
        <v>54.347826086956516</v>
      </c>
    </row>
    <row r="5" spans="1:16" x14ac:dyDescent="0.25">
      <c r="A5" s="132" t="s">
        <v>2</v>
      </c>
      <c r="B5" s="132"/>
      <c r="C5" s="132"/>
      <c r="D5" s="9">
        <v>26077771</v>
      </c>
      <c r="E5" s="15">
        <v>0.26253708389009361</v>
      </c>
      <c r="F5" s="131"/>
      <c r="G5" s="14">
        <v>70.578842800636593</v>
      </c>
      <c r="H5" s="14">
        <v>29.421157199363396</v>
      </c>
      <c r="I5" s="131"/>
      <c r="J5" s="131">
        <v>63</v>
      </c>
      <c r="K5" s="131">
        <v>30</v>
      </c>
      <c r="L5" s="131">
        <v>3</v>
      </c>
      <c r="M5" s="131">
        <v>4</v>
      </c>
      <c r="N5" s="131"/>
      <c r="O5" s="17">
        <v>67.741935483870961</v>
      </c>
      <c r="P5" s="17">
        <v>32.258064516129032</v>
      </c>
    </row>
    <row r="6" spans="1:16" x14ac:dyDescent="0.25">
      <c r="A6" s="132" t="s">
        <v>35</v>
      </c>
      <c r="B6" s="132"/>
      <c r="C6" s="132"/>
      <c r="D6" s="9">
        <v>14040669</v>
      </c>
      <c r="E6" s="15">
        <v>0.14135396369291059</v>
      </c>
      <c r="F6" s="131"/>
      <c r="G6" s="14">
        <v>53.261294030932568</v>
      </c>
      <c r="H6" s="14">
        <v>46.738705969067432</v>
      </c>
      <c r="I6" s="131"/>
      <c r="J6" s="131">
        <v>50</v>
      </c>
      <c r="K6" s="131">
        <v>42</v>
      </c>
      <c r="L6" s="131">
        <v>3</v>
      </c>
      <c r="M6" s="131">
        <v>5</v>
      </c>
      <c r="N6" s="131"/>
      <c r="O6" s="17">
        <v>54.347826086956516</v>
      </c>
      <c r="P6" s="17">
        <v>45.652173913043477</v>
      </c>
    </row>
    <row r="7" spans="1:16" x14ac:dyDescent="0.25">
      <c r="A7" s="132" t="s">
        <v>3</v>
      </c>
      <c r="B7" s="132"/>
      <c r="C7" s="132"/>
      <c r="D7" s="9">
        <v>7008759</v>
      </c>
      <c r="E7" s="15">
        <v>7.0560445888893208E-2</v>
      </c>
      <c r="F7" s="131"/>
      <c r="G7" s="14">
        <v>49.079758627739942</v>
      </c>
      <c r="H7" s="14">
        <v>50.920241372260058</v>
      </c>
      <c r="I7" s="131"/>
      <c r="J7" s="131"/>
      <c r="K7" s="131"/>
      <c r="L7" s="131"/>
      <c r="M7" s="131"/>
      <c r="N7" s="131"/>
      <c r="O7" s="131"/>
      <c r="P7" s="131"/>
    </row>
    <row r="8" spans="1:16" x14ac:dyDescent="0.25">
      <c r="A8" s="132" t="s">
        <v>6</v>
      </c>
      <c r="B8" s="132"/>
      <c r="C8" s="132"/>
      <c r="D8" s="9">
        <v>7031910</v>
      </c>
      <c r="E8" s="15">
        <v>7.0793517804017381E-2</v>
      </c>
      <c r="F8" s="131"/>
      <c r="G8" s="14">
        <v>57.429062658651773</v>
      </c>
      <c r="H8" s="14">
        <v>42.570937341348227</v>
      </c>
      <c r="I8" s="131"/>
      <c r="J8" s="131"/>
      <c r="K8" s="131"/>
      <c r="L8" s="131"/>
      <c r="M8" s="131"/>
      <c r="N8" s="131"/>
      <c r="O8" s="131"/>
      <c r="P8" s="131"/>
    </row>
    <row r="9" spans="1:16" x14ac:dyDescent="0.25">
      <c r="A9" s="132" t="s">
        <v>34</v>
      </c>
      <c r="B9" s="132"/>
      <c r="C9" s="132"/>
      <c r="D9" s="9">
        <v>99329857</v>
      </c>
      <c r="E9" s="15">
        <v>1</v>
      </c>
      <c r="F9" s="131"/>
      <c r="G9" s="131">
        <v>56.05</v>
      </c>
      <c r="H9" s="131">
        <v>43.95</v>
      </c>
      <c r="I9" s="131"/>
      <c r="J9" s="131">
        <v>51</v>
      </c>
      <c r="K9" s="131">
        <v>41</v>
      </c>
      <c r="L9" s="131">
        <v>4</v>
      </c>
      <c r="M9" s="131">
        <v>4</v>
      </c>
      <c r="N9" s="131"/>
      <c r="O9" s="17">
        <v>55.434782608695656</v>
      </c>
      <c r="P9" s="17">
        <v>44.565217391304344</v>
      </c>
    </row>
    <row r="12" spans="1:16" ht="18.75" x14ac:dyDescent="0.3">
      <c r="A12" s="20" t="s">
        <v>44</v>
      </c>
      <c r="B12" s="131"/>
      <c r="C12" s="131"/>
      <c r="D12" s="240" t="s">
        <v>45</v>
      </c>
      <c r="E12" s="240"/>
      <c r="F12" s="131"/>
      <c r="G12" s="239" t="s">
        <v>27</v>
      </c>
      <c r="H12" s="234"/>
      <c r="I12" s="131"/>
      <c r="J12" s="131" t="s">
        <v>31</v>
      </c>
      <c r="K12" s="131"/>
      <c r="L12" s="131"/>
      <c r="M12" s="131"/>
      <c r="N12" s="131"/>
      <c r="O12" s="238" t="s">
        <v>36</v>
      </c>
      <c r="P12" s="238"/>
    </row>
    <row r="13" spans="1:16" x14ac:dyDescent="0.25">
      <c r="A13" s="90" t="s">
        <v>75</v>
      </c>
      <c r="B13" s="131"/>
      <c r="C13" s="131"/>
      <c r="D13" t="s">
        <v>41</v>
      </c>
      <c r="E13" t="s">
        <v>8</v>
      </c>
      <c r="F13" s="131"/>
      <c r="G13" s="132" t="s">
        <v>4</v>
      </c>
      <c r="H13" s="132" t="s">
        <v>24</v>
      </c>
      <c r="I13" s="131"/>
      <c r="J13" s="131" t="s">
        <v>4</v>
      </c>
      <c r="K13" s="131" t="s">
        <v>5</v>
      </c>
      <c r="L13" s="131" t="s">
        <v>32</v>
      </c>
      <c r="M13" s="131" t="s">
        <v>33</v>
      </c>
      <c r="N13" s="131"/>
      <c r="O13" s="131" t="s">
        <v>4</v>
      </c>
      <c r="P13" s="131" t="s">
        <v>5</v>
      </c>
    </row>
    <row r="14" spans="1:16" x14ac:dyDescent="0.25">
      <c r="A14" s="132" t="s">
        <v>0</v>
      </c>
      <c r="B14" s="131"/>
      <c r="C14" s="131"/>
      <c r="D14" s="9">
        <v>43450786</v>
      </c>
      <c r="E14" s="15">
        <v>0.43743932904282745</v>
      </c>
      <c r="F14" s="131"/>
      <c r="G14" s="14">
        <v>51.876380326008373</v>
      </c>
      <c r="H14" s="14">
        <v>48.123619673991627</v>
      </c>
      <c r="I14" s="131"/>
      <c r="J14" s="73">
        <v>34</v>
      </c>
      <c r="K14" s="73">
        <v>49</v>
      </c>
      <c r="L14" s="73">
        <v>12</v>
      </c>
      <c r="M14" s="73">
        <v>5</v>
      </c>
      <c r="N14" s="131"/>
      <c r="O14" s="77">
        <v>0.40963855421686746</v>
      </c>
      <c r="P14" s="77">
        <v>0.59036144578313254</v>
      </c>
    </row>
    <row r="15" spans="1:16" x14ac:dyDescent="0.25">
      <c r="A15" s="132" t="s">
        <v>1</v>
      </c>
      <c r="B15" s="131"/>
      <c r="C15" s="131"/>
      <c r="D15" s="9">
        <v>15760631</v>
      </c>
      <c r="E15" s="15">
        <v>0.15866962337416834</v>
      </c>
      <c r="F15" s="131"/>
      <c r="G15" s="14">
        <v>46.109023172993517</v>
      </c>
      <c r="H15" s="14">
        <v>53.89097682700649</v>
      </c>
      <c r="I15" s="131"/>
      <c r="J15" s="75">
        <v>41</v>
      </c>
      <c r="K15" s="75">
        <v>37</v>
      </c>
      <c r="L15" s="75">
        <v>12</v>
      </c>
      <c r="M15" s="75">
        <v>10</v>
      </c>
      <c r="N15" s="131"/>
      <c r="O15" s="78">
        <v>0.52564102564102566</v>
      </c>
      <c r="P15" s="78">
        <v>0.47435897435897434</v>
      </c>
    </row>
    <row r="16" spans="1:16" x14ac:dyDescent="0.25">
      <c r="A16" s="132" t="s">
        <v>2</v>
      </c>
      <c r="B16" s="131"/>
      <c r="C16" s="131"/>
      <c r="D16" s="9">
        <v>26077771</v>
      </c>
      <c r="E16" s="15">
        <v>0.26253708389009361</v>
      </c>
      <c r="F16" s="131"/>
      <c r="G16" s="14">
        <v>70.578842800636593</v>
      </c>
      <c r="H16" s="14">
        <v>29.421157199363396</v>
      </c>
      <c r="I16" s="131"/>
      <c r="J16" s="74">
        <v>60</v>
      </c>
      <c r="K16" s="74">
        <v>28</v>
      </c>
      <c r="L16" s="74">
        <v>8</v>
      </c>
      <c r="M16" s="74">
        <v>4</v>
      </c>
      <c r="N16" s="131"/>
      <c r="O16" s="79">
        <v>0.68181818181818177</v>
      </c>
      <c r="P16" s="79">
        <v>0.31818181818181823</v>
      </c>
    </row>
    <row r="17" spans="1:17" x14ac:dyDescent="0.25">
      <c r="A17" s="132" t="s">
        <v>3</v>
      </c>
      <c r="B17" s="131"/>
      <c r="C17" s="131"/>
      <c r="D17" s="9">
        <v>7008759</v>
      </c>
      <c r="E17" s="15">
        <v>7.0560445888893208E-2</v>
      </c>
      <c r="F17" s="131"/>
      <c r="G17" s="14">
        <v>49.079758627739942</v>
      </c>
      <c r="H17" s="14">
        <v>50.920241372260058</v>
      </c>
      <c r="I17" s="131"/>
      <c r="J17" s="131">
        <v>40</v>
      </c>
      <c r="K17" s="131">
        <v>48</v>
      </c>
      <c r="L17" s="131">
        <v>9</v>
      </c>
      <c r="M17" s="131">
        <v>3</v>
      </c>
      <c r="N17" s="131"/>
      <c r="O17" s="27">
        <v>0.45454545454545453</v>
      </c>
      <c r="P17" s="27">
        <v>0.54545454545454541</v>
      </c>
    </row>
    <row r="18" spans="1:17" ht="15.75" thickBot="1" x14ac:dyDescent="0.3">
      <c r="A18" s="132" t="s">
        <v>6</v>
      </c>
      <c r="B18" s="131"/>
      <c r="C18" s="131"/>
      <c r="D18" s="9">
        <v>7031910</v>
      </c>
      <c r="E18" s="15">
        <v>7.0793517804017381E-2</v>
      </c>
      <c r="F18" s="131"/>
      <c r="G18" s="14">
        <v>57.429062658651773</v>
      </c>
      <c r="H18" s="14">
        <v>42.570937341348227</v>
      </c>
      <c r="I18" s="131"/>
      <c r="J18" s="131">
        <v>53</v>
      </c>
      <c r="K18" s="131">
        <v>35</v>
      </c>
      <c r="L18" s="131">
        <v>6</v>
      </c>
      <c r="M18" s="131">
        <v>6</v>
      </c>
      <c r="N18" s="131"/>
      <c r="O18" s="27">
        <v>0.60227272727272729</v>
      </c>
      <c r="P18" s="27">
        <v>0.39772727272727271</v>
      </c>
    </row>
    <row r="19" spans="1:17" ht="15.75" thickBot="1" x14ac:dyDescent="0.3">
      <c r="A19" s="22" t="s">
        <v>34</v>
      </c>
      <c r="B19" s="23"/>
      <c r="C19" s="23"/>
      <c r="D19" s="24">
        <v>99329857</v>
      </c>
      <c r="E19" s="25">
        <v>1</v>
      </c>
      <c r="F19" s="23"/>
      <c r="G19" s="28">
        <v>56.05</v>
      </c>
      <c r="H19" s="28">
        <v>43.95</v>
      </c>
      <c r="I19" s="23"/>
      <c r="J19" s="23">
        <v>44</v>
      </c>
      <c r="K19" s="23">
        <v>40</v>
      </c>
      <c r="L19" s="23">
        <v>10</v>
      </c>
      <c r="M19" s="26">
        <v>5</v>
      </c>
      <c r="N19" s="131"/>
      <c r="O19" s="72">
        <v>0.51630777006351747</v>
      </c>
      <c r="P19" s="72">
        <v>0.48369222993648259</v>
      </c>
    </row>
    <row r="20" spans="1:17" x14ac:dyDescent="0.25">
      <c r="A20" s="132" t="s">
        <v>35</v>
      </c>
      <c r="B20" s="131"/>
      <c r="C20" s="131"/>
      <c r="D20" s="9">
        <v>14040669</v>
      </c>
      <c r="E20" s="15">
        <v>0.14135396369291059</v>
      </c>
      <c r="F20" s="131"/>
      <c r="G20" s="14">
        <v>56.87706398315018</v>
      </c>
      <c r="H20" s="14">
        <v>43.122936016849827</v>
      </c>
      <c r="I20" s="131"/>
      <c r="J20" s="91">
        <v>46.510717544869124</v>
      </c>
      <c r="K20" s="91">
        <v>41.489282455130876</v>
      </c>
      <c r="L20" s="91">
        <v>7.4975267204148182</v>
      </c>
      <c r="M20" s="91">
        <v>4.5024732795851818</v>
      </c>
      <c r="N20" s="131"/>
      <c r="O20" s="27"/>
      <c r="P20" s="27"/>
    </row>
    <row r="23" spans="1:17" x14ac:dyDescent="0.25">
      <c r="B23" t="s">
        <v>7</v>
      </c>
      <c r="I23" t="s">
        <v>4</v>
      </c>
      <c r="J23" t="s">
        <v>113</v>
      </c>
      <c r="K23" t="s">
        <v>7</v>
      </c>
      <c r="L23" t="s">
        <v>89</v>
      </c>
      <c r="M23" t="s">
        <v>115</v>
      </c>
      <c r="Q23">
        <v>8</v>
      </c>
    </row>
    <row r="24" spans="1:17" x14ac:dyDescent="0.25">
      <c r="A24" t="s">
        <v>4</v>
      </c>
      <c r="B24" s="125">
        <v>0.26</v>
      </c>
      <c r="I24">
        <v>36</v>
      </c>
      <c r="J24">
        <v>20</v>
      </c>
      <c r="K24">
        <v>8</v>
      </c>
      <c r="L24">
        <v>9</v>
      </c>
      <c r="M24">
        <f>13+14</f>
        <v>27</v>
      </c>
    </row>
    <row r="25" spans="1:17" x14ac:dyDescent="0.25">
      <c r="A25" t="s">
        <v>113</v>
      </c>
      <c r="B25" s="125">
        <v>0.55000000000000004</v>
      </c>
    </row>
    <row r="26" spans="1:17" x14ac:dyDescent="0.25">
      <c r="A26" t="s">
        <v>89</v>
      </c>
      <c r="B26" s="125">
        <v>0</v>
      </c>
      <c r="I26" s="134">
        <f>I24+$K$24*B24</f>
        <v>38.08</v>
      </c>
      <c r="J26" s="134">
        <f>J24+$K$24*B25</f>
        <v>24.4</v>
      </c>
      <c r="K26" s="134">
        <v>0</v>
      </c>
      <c r="L26" s="134">
        <v>9</v>
      </c>
      <c r="M26" s="134">
        <f>M24+$K$24*B27</f>
        <v>28.52</v>
      </c>
    </row>
    <row r="27" spans="1:17" x14ac:dyDescent="0.25">
      <c r="A27" t="s">
        <v>114</v>
      </c>
      <c r="B27" s="125">
        <v>0.19</v>
      </c>
    </row>
    <row r="28" spans="1:17" x14ac:dyDescent="0.25">
      <c r="I28" s="34">
        <f>(I24 + 0.333*(M24-Q23))/92</f>
        <v>0.46007608695652175</v>
      </c>
    </row>
    <row r="29" spans="1:17" x14ac:dyDescent="0.25">
      <c r="I29" s="34"/>
    </row>
    <row r="30" spans="1:17" x14ac:dyDescent="0.25">
      <c r="I30" s="34">
        <f>I26/SUM(I26:L26)</f>
        <v>0.53273642977056523</v>
      </c>
    </row>
    <row r="32" spans="1:17" x14ac:dyDescent="0.25">
      <c r="I32">
        <f>I26 + 0.333*($M$26-$Q$23)</f>
        <v>44.913159999999998</v>
      </c>
    </row>
    <row r="34" spans="1:9" x14ac:dyDescent="0.25">
      <c r="I34" s="3">
        <f>I32/92</f>
        <v>0.48818652173913041</v>
      </c>
    </row>
    <row r="36" spans="1:9" x14ac:dyDescent="0.25">
      <c r="A36" t="s">
        <v>116</v>
      </c>
      <c r="B36">
        <v>43</v>
      </c>
    </row>
    <row r="37" spans="1:9" x14ac:dyDescent="0.25">
      <c r="A37" t="s">
        <v>117</v>
      </c>
      <c r="B37">
        <v>18</v>
      </c>
    </row>
    <row r="38" spans="1:9" x14ac:dyDescent="0.25">
      <c r="A38" t="s">
        <v>120</v>
      </c>
      <c r="B38">
        <v>14</v>
      </c>
    </row>
    <row r="39" spans="1:9" x14ac:dyDescent="0.25">
      <c r="A39" t="s">
        <v>121</v>
      </c>
      <c r="B39">
        <v>25</v>
      </c>
    </row>
    <row r="41" spans="1:9" x14ac:dyDescent="0.25">
      <c r="A41" t="s">
        <v>116</v>
      </c>
      <c r="B41">
        <v>39</v>
      </c>
    </row>
    <row r="42" spans="1:9" x14ac:dyDescent="0.25">
      <c r="A42" t="s">
        <v>117</v>
      </c>
      <c r="B42">
        <v>16</v>
      </c>
    </row>
    <row r="43" spans="1:9" x14ac:dyDescent="0.25">
      <c r="A43" t="s">
        <v>118</v>
      </c>
      <c r="B43">
        <v>27</v>
      </c>
    </row>
    <row r="44" spans="1:9" x14ac:dyDescent="0.25">
      <c r="A44" t="s">
        <v>119</v>
      </c>
      <c r="B44">
        <v>19</v>
      </c>
    </row>
    <row r="46" spans="1:9" x14ac:dyDescent="0.25">
      <c r="A46" t="s">
        <v>116</v>
      </c>
      <c r="B46">
        <v>43</v>
      </c>
    </row>
    <row r="47" spans="1:9" x14ac:dyDescent="0.25">
      <c r="A47" t="s">
        <v>117</v>
      </c>
      <c r="B47">
        <v>15</v>
      </c>
    </row>
    <row r="48" spans="1:9" x14ac:dyDescent="0.25">
      <c r="A48" t="s">
        <v>120</v>
      </c>
      <c r="B48">
        <v>7</v>
      </c>
    </row>
    <row r="49" spans="1:2" x14ac:dyDescent="0.25">
      <c r="A49" t="s">
        <v>121</v>
      </c>
      <c r="B49">
        <v>36</v>
      </c>
    </row>
    <row r="51" spans="1:2" x14ac:dyDescent="0.25">
      <c r="A51" t="s">
        <v>116</v>
      </c>
      <c r="B51">
        <v>41</v>
      </c>
    </row>
    <row r="52" spans="1:2" x14ac:dyDescent="0.25">
      <c r="A52" t="s">
        <v>117</v>
      </c>
      <c r="B52">
        <v>14</v>
      </c>
    </row>
    <row r="53" spans="1:2" x14ac:dyDescent="0.25">
      <c r="A53" t="s">
        <v>118</v>
      </c>
      <c r="B53">
        <v>12</v>
      </c>
    </row>
    <row r="54" spans="1:2" x14ac:dyDescent="0.25">
      <c r="A54" t="s">
        <v>119</v>
      </c>
      <c r="B54">
        <v>32</v>
      </c>
    </row>
    <row r="75" spans="1:2" x14ac:dyDescent="0.25">
      <c r="B75">
        <v>1.82</v>
      </c>
    </row>
    <row r="76" spans="1:2" x14ac:dyDescent="0.25">
      <c r="A76" t="s">
        <v>122</v>
      </c>
      <c r="B76">
        <v>-0.4</v>
      </c>
    </row>
    <row r="77" spans="1:2" x14ac:dyDescent="0.25">
      <c r="A77" t="s">
        <v>123</v>
      </c>
      <c r="B77">
        <v>0</v>
      </c>
    </row>
    <row r="78" spans="1:2" x14ac:dyDescent="0.25">
      <c r="A78" t="s">
        <v>124</v>
      </c>
      <c r="B78">
        <v>2.5499999999999998</v>
      </c>
    </row>
    <row r="79" spans="1:2" x14ac:dyDescent="0.25">
      <c r="A79" t="s">
        <v>125</v>
      </c>
      <c r="B79">
        <f t="array" ref="B79">(PRODUCT(1+B75:B78/100)-1)*100</f>
        <v>3.9987443600000061</v>
      </c>
    </row>
    <row r="80" spans="1:2" x14ac:dyDescent="0.25">
      <c r="A80" t="s">
        <v>126</v>
      </c>
    </row>
  </sheetData>
  <mergeCells count="6">
    <mergeCell ref="D12:E12"/>
    <mergeCell ref="G12:H12"/>
    <mergeCell ref="O12:P12"/>
    <mergeCell ref="G1:H1"/>
    <mergeCell ref="J1:M1"/>
    <mergeCell ref="O1:P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R29"/>
  <sheetViews>
    <sheetView workbookViewId="0">
      <selection activeCell="B40" sqref="B40"/>
    </sheetView>
    <sheetView workbookViewId="1"/>
  </sheetViews>
  <sheetFormatPr defaultRowHeight="15" x14ac:dyDescent="0.25"/>
  <cols>
    <col min="1" max="1" width="14.7109375" bestFit="1" customWidth="1"/>
    <col min="2" max="2" width="14.7109375" customWidth="1"/>
    <col min="4" max="4" width="6.140625" bestFit="1" customWidth="1"/>
    <col min="5" max="5" width="6" bestFit="1" customWidth="1"/>
    <col min="6" max="6" width="12.140625" bestFit="1" customWidth="1"/>
    <col min="7" max="7" width="8.42578125" bestFit="1" customWidth="1"/>
    <col min="8" max="8" width="8.42578125" customWidth="1"/>
    <col min="10" max="10" width="6.140625" bestFit="1" customWidth="1"/>
    <col min="11" max="11" width="6" bestFit="1" customWidth="1"/>
    <col min="12" max="12" width="12.140625" bestFit="1" customWidth="1"/>
    <col min="13" max="13" width="8.42578125" bestFit="1" customWidth="1"/>
    <col min="15" max="15" width="11.28515625" bestFit="1" customWidth="1"/>
  </cols>
  <sheetData>
    <row r="2" spans="1:18" x14ac:dyDescent="0.25">
      <c r="D2" s="234" t="s">
        <v>103</v>
      </c>
      <c r="E2" s="234"/>
      <c r="F2" s="234"/>
      <c r="G2" s="234"/>
      <c r="H2" s="120"/>
      <c r="J2" s="234" t="s">
        <v>104</v>
      </c>
      <c r="K2" s="234"/>
      <c r="L2" s="234"/>
      <c r="M2" s="234"/>
    </row>
    <row r="3" spans="1:18" x14ac:dyDescent="0.25">
      <c r="C3" s="119" t="s">
        <v>8</v>
      </c>
      <c r="D3" s="119" t="s">
        <v>4</v>
      </c>
      <c r="E3" s="119" t="s">
        <v>5</v>
      </c>
      <c r="F3" s="119" t="s">
        <v>32</v>
      </c>
      <c r="G3" s="119" t="s">
        <v>33</v>
      </c>
      <c r="H3" s="119"/>
      <c r="I3" s="119" t="s">
        <v>8</v>
      </c>
      <c r="J3" s="119" t="s">
        <v>4</v>
      </c>
      <c r="K3" s="119" t="s">
        <v>5</v>
      </c>
      <c r="L3" s="119" t="s">
        <v>32</v>
      </c>
      <c r="M3" s="119" t="s">
        <v>33</v>
      </c>
      <c r="P3" s="119" t="s">
        <v>107</v>
      </c>
    </row>
    <row r="4" spans="1:18" x14ac:dyDescent="0.25">
      <c r="A4" t="s">
        <v>100</v>
      </c>
      <c r="C4" s="125">
        <v>0.35</v>
      </c>
      <c r="D4">
        <v>49</v>
      </c>
      <c r="E4">
        <v>31</v>
      </c>
      <c r="F4" s="119">
        <v>12</v>
      </c>
      <c r="G4" s="119">
        <v>7</v>
      </c>
      <c r="I4" s="81">
        <v>0.27</v>
      </c>
      <c r="J4" s="119">
        <v>49</v>
      </c>
      <c r="K4" s="119">
        <v>35</v>
      </c>
      <c r="L4" s="119">
        <v>8</v>
      </c>
      <c r="M4" s="119">
        <v>8</v>
      </c>
      <c r="O4" t="s">
        <v>108</v>
      </c>
      <c r="P4" s="119">
        <v>34</v>
      </c>
      <c r="R4" s="35">
        <f>(P4)/100</f>
        <v>0.34</v>
      </c>
    </row>
    <row r="5" spans="1:18" x14ac:dyDescent="0.25">
      <c r="A5" t="s">
        <v>101</v>
      </c>
      <c r="C5" s="125">
        <v>0.33</v>
      </c>
      <c r="D5">
        <v>36</v>
      </c>
      <c r="E5">
        <v>35</v>
      </c>
      <c r="F5" s="119">
        <v>21</v>
      </c>
      <c r="G5" s="119">
        <v>8</v>
      </c>
      <c r="I5" s="81">
        <v>0.42</v>
      </c>
      <c r="J5" s="119">
        <v>43</v>
      </c>
      <c r="K5" s="119">
        <v>34</v>
      </c>
      <c r="L5" s="119">
        <v>16</v>
      </c>
      <c r="M5" s="119">
        <v>7</v>
      </c>
      <c r="O5" t="s">
        <v>109</v>
      </c>
      <c r="P5" s="119">
        <v>21</v>
      </c>
      <c r="R5" s="35">
        <f>(SUM(P5:P6))/100</f>
        <v>0.37</v>
      </c>
    </row>
    <row r="6" spans="1:18" x14ac:dyDescent="0.25">
      <c r="A6" t="s">
        <v>102</v>
      </c>
      <c r="C6" s="125">
        <v>0.32</v>
      </c>
      <c r="D6">
        <v>36</v>
      </c>
      <c r="E6">
        <v>34</v>
      </c>
      <c r="F6" s="119">
        <v>20</v>
      </c>
      <c r="G6" s="119">
        <v>9</v>
      </c>
      <c r="I6" s="81">
        <v>0.3</v>
      </c>
      <c r="J6" s="119">
        <v>36</v>
      </c>
      <c r="K6" s="119">
        <v>38</v>
      </c>
      <c r="L6" s="119">
        <v>20</v>
      </c>
      <c r="M6" s="119">
        <v>6</v>
      </c>
      <c r="O6" t="s">
        <v>110</v>
      </c>
      <c r="P6" s="119">
        <v>16</v>
      </c>
      <c r="R6" s="35">
        <f>(P7)/100</f>
        <v>0.28999999999999998</v>
      </c>
    </row>
    <row r="7" spans="1:18" x14ac:dyDescent="0.25">
      <c r="O7" t="s">
        <v>111</v>
      </c>
      <c r="P7" s="119">
        <v>29</v>
      </c>
    </row>
    <row r="8" spans="1:18" x14ac:dyDescent="0.25">
      <c r="A8" t="s">
        <v>105</v>
      </c>
      <c r="D8" s="126">
        <f>SUMPRODUCT(D4:D6,$C$4:$C$6)</f>
        <v>40.549999999999997</v>
      </c>
      <c r="E8" s="126">
        <f>SUMPRODUCT(E4:E6,$C$4:$C$6)</f>
        <v>33.28</v>
      </c>
      <c r="F8" s="126">
        <f>SUMPRODUCT(F4:F6,$C$4:$C$6)</f>
        <v>17.53</v>
      </c>
      <c r="G8" s="126">
        <f>SUMPRODUCT(G4:G6,$C$4:$C$6)</f>
        <v>7.97</v>
      </c>
      <c r="H8" s="127"/>
      <c r="I8" s="127"/>
      <c r="J8" s="127">
        <f>SUMPRODUCT(J4:J6,$C$4:$C$6)</f>
        <v>42.86</v>
      </c>
      <c r="K8" s="127">
        <f>SUMPRODUCT(K4:K6,$C$4:$C$6)</f>
        <v>35.629999999999995</v>
      </c>
      <c r="L8" s="127">
        <f>SUMPRODUCT(L4:L6,$C$4:$C$6)</f>
        <v>14.48</v>
      </c>
      <c r="M8" s="127">
        <f>SUMPRODUCT(M4:M6,$C$4:$C$6)</f>
        <v>7.0299999999999994</v>
      </c>
      <c r="O8" s="130">
        <f>J8/SUM(J8:K8)</f>
        <v>0.54605682252516252</v>
      </c>
      <c r="P8" s="130">
        <f>K8/SUM(J8:K8)</f>
        <v>0.45394317747483753</v>
      </c>
    </row>
    <row r="9" spans="1:18" x14ac:dyDescent="0.25">
      <c r="A9" t="s">
        <v>106</v>
      </c>
      <c r="D9" s="127">
        <f>SUMPRODUCT(D4:D6,$I$4:$I$6)</f>
        <v>39.15</v>
      </c>
      <c r="E9" s="127">
        <f t="shared" ref="E9:G9" si="0">SUMPRODUCT(E4:E6,$I$4:$I$6)</f>
        <v>33.269999999999996</v>
      </c>
      <c r="F9" s="127">
        <f t="shared" si="0"/>
        <v>18.060000000000002</v>
      </c>
      <c r="G9" s="127">
        <f t="shared" si="0"/>
        <v>7.9499999999999993</v>
      </c>
      <c r="H9" s="127"/>
      <c r="I9" s="127"/>
      <c r="J9" s="126">
        <f>SUMPRODUCT(J4:J6,$I$4:$I$6)</f>
        <v>42.089999999999996</v>
      </c>
      <c r="K9" s="126">
        <f>SUMPRODUCT(K4:K6,$I$4:$I$6)</f>
        <v>35.130000000000003</v>
      </c>
      <c r="L9" s="126">
        <f>SUMPRODUCT(L4:L6,$I$4:$I$6)</f>
        <v>14.879999999999999</v>
      </c>
      <c r="M9" s="126">
        <f>SUMPRODUCT(M4:M6,$I$4:$I$6)</f>
        <v>6.8999999999999995</v>
      </c>
      <c r="O9" s="130">
        <f>J9/SUM(J9:K9)</f>
        <v>0.54506604506604506</v>
      </c>
      <c r="P9" s="130">
        <f>K9/SUM(J9:K9)</f>
        <v>0.454933954933955</v>
      </c>
    </row>
    <row r="10" spans="1:18" x14ac:dyDescent="0.25">
      <c r="A10" t="s">
        <v>107</v>
      </c>
      <c r="D10" s="127">
        <f>SUMPRODUCT(D4:D6,$R$4:$R$6)</f>
        <v>40.42</v>
      </c>
      <c r="E10" s="127">
        <f t="shared" ref="E10:G10" si="1">SUMPRODUCT(E4:E6,$R$4:$R$6)</f>
        <v>33.35</v>
      </c>
      <c r="F10" s="127">
        <f t="shared" si="1"/>
        <v>17.649999999999999</v>
      </c>
      <c r="G10" s="127">
        <f t="shared" si="1"/>
        <v>7.9499999999999993</v>
      </c>
      <c r="H10" s="127"/>
      <c r="I10" s="127"/>
      <c r="J10" s="127">
        <f>SUMPRODUCT(J4:J6,$R$4:$R$6)</f>
        <v>43.01</v>
      </c>
      <c r="K10" s="127">
        <f t="shared" ref="K10:M10" si="2">SUMPRODUCT(K4:K6,$R$4:$R$6)</f>
        <v>35.5</v>
      </c>
      <c r="L10" s="127">
        <f t="shared" si="2"/>
        <v>14.440000000000001</v>
      </c>
      <c r="M10" s="127">
        <f t="shared" si="2"/>
        <v>7.0500000000000007</v>
      </c>
      <c r="O10" s="124"/>
      <c r="P10" s="124"/>
    </row>
    <row r="13" spans="1:18" x14ac:dyDescent="0.25">
      <c r="D13" t="s">
        <v>4</v>
      </c>
      <c r="F13" s="119" t="s">
        <v>32</v>
      </c>
      <c r="G13" s="119" t="s">
        <v>33</v>
      </c>
      <c r="J13" t="s">
        <v>4</v>
      </c>
      <c r="L13" s="119" t="s">
        <v>32</v>
      </c>
      <c r="M13" s="119" t="s">
        <v>33</v>
      </c>
    </row>
    <row r="14" spans="1:18" x14ac:dyDescent="0.25">
      <c r="D14" s="119">
        <v>46</v>
      </c>
      <c r="E14" s="119"/>
      <c r="F14" s="119">
        <v>11</v>
      </c>
      <c r="G14" s="119">
        <v>9</v>
      </c>
      <c r="H14" s="119"/>
      <c r="I14" s="119"/>
      <c r="J14" s="119">
        <v>45</v>
      </c>
      <c r="K14" s="119"/>
      <c r="L14" s="119">
        <v>6</v>
      </c>
      <c r="M14" s="119">
        <v>12</v>
      </c>
    </row>
    <row r="15" spans="1:18" x14ac:dyDescent="0.25">
      <c r="D15" s="119">
        <v>34</v>
      </c>
      <c r="E15" s="119"/>
      <c r="F15" s="119">
        <v>18</v>
      </c>
      <c r="G15" s="119">
        <v>9</v>
      </c>
      <c r="H15" s="119"/>
      <c r="I15" s="119"/>
      <c r="J15" s="119">
        <v>38</v>
      </c>
      <c r="K15" s="119"/>
      <c r="L15" s="119">
        <v>14</v>
      </c>
      <c r="M15" s="119">
        <v>12</v>
      </c>
    </row>
    <row r="16" spans="1:18" x14ac:dyDescent="0.25">
      <c r="D16" s="119">
        <v>34</v>
      </c>
      <c r="E16" s="119"/>
      <c r="F16" s="119">
        <v>19</v>
      </c>
      <c r="G16" s="119">
        <v>8</v>
      </c>
      <c r="H16" s="119"/>
      <c r="I16" s="119"/>
      <c r="J16" s="119">
        <v>31</v>
      </c>
      <c r="K16" s="119"/>
      <c r="L16" s="119">
        <v>20</v>
      </c>
      <c r="M16" s="119">
        <v>10</v>
      </c>
    </row>
    <row r="18" spans="1:14" x14ac:dyDescent="0.25">
      <c r="A18" t="s">
        <v>105</v>
      </c>
      <c r="D18" s="126">
        <f>SUMPRODUCT(D14:D16,$C$4:$C$6)</f>
        <v>38.200000000000003</v>
      </c>
      <c r="E18" s="126"/>
      <c r="F18" s="126">
        <f>SUMPRODUCT(F14:F16,$C$4:$C$6)</f>
        <v>15.87</v>
      </c>
      <c r="G18" s="126">
        <f>SUMPRODUCT(G14:G16,$C$4:$C$6)</f>
        <v>8.68</v>
      </c>
      <c r="J18" s="127">
        <f>SUMPRODUCT(J14:J16,$C$4:$C$6)</f>
        <v>38.21</v>
      </c>
      <c r="K18" s="127"/>
      <c r="L18" s="127">
        <f>SUMPRODUCT(L14:L16,$C$4:$C$6)</f>
        <v>13.120000000000001</v>
      </c>
      <c r="M18" s="127">
        <f>SUMPRODUCT(M14:M16,$C$4:$C$6)</f>
        <v>11.36</v>
      </c>
    </row>
    <row r="19" spans="1:14" x14ac:dyDescent="0.25">
      <c r="A19" t="s">
        <v>106</v>
      </c>
      <c r="D19" s="127">
        <f>SUMPRODUCT(D14:D16,$I$4:$I$6)</f>
        <v>36.900000000000006</v>
      </c>
      <c r="E19" s="127"/>
      <c r="F19" s="127">
        <f t="shared" ref="F19:G19" si="3">SUMPRODUCT(F14:F16,$I$4:$I$6)</f>
        <v>16.23</v>
      </c>
      <c r="G19" s="127">
        <f t="shared" si="3"/>
        <v>8.61</v>
      </c>
      <c r="J19" s="126">
        <f>SUMPRODUCT(J14:J16,$I$4:$I$6)</f>
        <v>37.409999999999997</v>
      </c>
      <c r="K19" s="126"/>
      <c r="L19" s="126">
        <f>SUMPRODUCT(L14:L16,$I$4:$I$6)</f>
        <v>13.5</v>
      </c>
      <c r="M19" s="126">
        <f>SUMPRODUCT(M14:M16,$I$4:$I$6)</f>
        <v>11.280000000000001</v>
      </c>
    </row>
    <row r="20" spans="1:14" x14ac:dyDescent="0.25">
      <c r="A20" t="s">
        <v>107</v>
      </c>
      <c r="D20" s="127">
        <f>SUMPRODUCT(D14:D16,$R$4:$R$6)</f>
        <v>38.08</v>
      </c>
      <c r="E20" s="127"/>
      <c r="F20" s="127">
        <f t="shared" ref="F20:G20" si="4">SUMPRODUCT(F14:F16,$R$4:$R$6)</f>
        <v>15.91</v>
      </c>
      <c r="G20" s="127">
        <f t="shared" si="4"/>
        <v>8.7100000000000009</v>
      </c>
      <c r="J20" s="127">
        <f>SUMPRODUCT(J14:J16,$R$4:$R$6)</f>
        <v>38.35</v>
      </c>
      <c r="K20" s="127"/>
      <c r="L20" s="127">
        <f t="shared" ref="L20:M20" si="5">SUMPRODUCT(L14:L16,$R$4:$R$6)</f>
        <v>13.02</v>
      </c>
      <c r="M20" s="127">
        <f t="shared" si="5"/>
        <v>11.42</v>
      </c>
    </row>
    <row r="22" spans="1:14" x14ac:dyDescent="0.25">
      <c r="A22" t="s">
        <v>105</v>
      </c>
      <c r="D22" s="128">
        <f>D18/(100-SUM(F18:G18))</f>
        <v>0.5062955599734924</v>
      </c>
      <c r="J22" s="129">
        <f t="shared" ref="J22:J24" si="6">J18/(100-SUM(L18:M18))</f>
        <v>0.50595868644067798</v>
      </c>
    </row>
    <row r="23" spans="1:14" x14ac:dyDescent="0.25">
      <c r="A23" t="s">
        <v>106</v>
      </c>
      <c r="D23" s="118">
        <f>D19/(100-SUM(F19:G19))</f>
        <v>0.49095263437998943</v>
      </c>
      <c r="J23" s="128">
        <f t="shared" si="6"/>
        <v>0.49734113267747937</v>
      </c>
    </row>
    <row r="24" spans="1:14" x14ac:dyDescent="0.25">
      <c r="A24" t="s">
        <v>107</v>
      </c>
      <c r="D24" s="118">
        <f>D20/(100-SUM(F20:G20))</f>
        <v>0.5051737861501725</v>
      </c>
      <c r="J24" s="129">
        <f t="shared" si="6"/>
        <v>0.50754367390153521</v>
      </c>
    </row>
    <row r="26" spans="1:14" x14ac:dyDescent="0.25">
      <c r="D26" s="119"/>
      <c r="E26" s="119"/>
      <c r="F26" s="119"/>
      <c r="G26" s="119"/>
      <c r="J26" s="119" t="s">
        <v>4</v>
      </c>
      <c r="K26" s="119" t="s">
        <v>5</v>
      </c>
      <c r="L26" s="119" t="s">
        <v>112</v>
      </c>
    </row>
    <row r="27" spans="1:14" x14ac:dyDescent="0.25">
      <c r="A27" t="s">
        <v>100</v>
      </c>
      <c r="J27">
        <f>J4</f>
        <v>49</v>
      </c>
      <c r="K27">
        <f>K4</f>
        <v>35</v>
      </c>
      <c r="L27">
        <f>L4+M4</f>
        <v>16</v>
      </c>
      <c r="N27">
        <f>J27-K27</f>
        <v>14</v>
      </c>
    </row>
    <row r="28" spans="1:14" x14ac:dyDescent="0.25">
      <c r="A28" t="s">
        <v>101</v>
      </c>
      <c r="J28">
        <f t="shared" ref="J28:K28" si="7">J5</f>
        <v>43</v>
      </c>
      <c r="K28">
        <f t="shared" si="7"/>
        <v>34</v>
      </c>
      <c r="L28">
        <f t="shared" ref="L28:L29" si="8">L5+M5</f>
        <v>23</v>
      </c>
      <c r="N28">
        <f>J28-K28</f>
        <v>9</v>
      </c>
    </row>
    <row r="29" spans="1:14" x14ac:dyDescent="0.25">
      <c r="A29" t="s">
        <v>102</v>
      </c>
      <c r="J29">
        <f t="shared" ref="J29:K29" si="9">J6</f>
        <v>36</v>
      </c>
      <c r="K29">
        <f t="shared" si="9"/>
        <v>38</v>
      </c>
      <c r="L29">
        <f t="shared" si="8"/>
        <v>26</v>
      </c>
      <c r="N29">
        <f>J29-K29</f>
        <v>-2</v>
      </c>
    </row>
  </sheetData>
  <mergeCells count="2">
    <mergeCell ref="D2:G2"/>
    <mergeCell ref="J2:M2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"/>
  <sheetViews>
    <sheetView showGridLines="0" topLeftCell="A31" zoomScaleNormal="100" workbookViewId="0">
      <selection activeCell="O48" sqref="O48"/>
    </sheetView>
    <sheetView workbookViewId="1"/>
  </sheetViews>
  <sheetFormatPr defaultRowHeight="15" x14ac:dyDescent="0.25"/>
  <cols>
    <col min="1" max="1" width="4" style="8" bestFit="1" customWidth="1"/>
    <col min="2" max="2" width="13.28515625" bestFit="1" customWidth="1"/>
    <col min="3" max="3" width="7.140625" bestFit="1" customWidth="1"/>
    <col min="5" max="5" width="7.140625" bestFit="1" customWidth="1"/>
    <col min="6" max="6" width="10.42578125" bestFit="1" customWidth="1"/>
    <col min="7" max="7" width="10.7109375" bestFit="1" customWidth="1"/>
    <col min="8" max="8" width="11.28515625" bestFit="1" customWidth="1"/>
    <col min="9" max="9" width="12.140625" bestFit="1" customWidth="1"/>
    <col min="10" max="10" width="8.42578125" bestFit="1" customWidth="1"/>
  </cols>
  <sheetData>
    <row r="1" spans="1:19" x14ac:dyDescent="0.25">
      <c r="B1" s="240" t="s">
        <v>45</v>
      </c>
      <c r="C1" s="240"/>
    </row>
    <row r="2" spans="1:19" x14ac:dyDescent="0.25">
      <c r="B2" t="s">
        <v>41</v>
      </c>
      <c r="C2" t="s">
        <v>8</v>
      </c>
      <c r="F2" s="97"/>
    </row>
    <row r="3" spans="1:19" ht="15.75" thickBot="1" x14ac:dyDescent="0.3">
      <c r="A3" s="8" t="s">
        <v>0</v>
      </c>
      <c r="B3" s="9">
        <v>43450786</v>
      </c>
      <c r="C3" s="15">
        <v>0.43743932904282745</v>
      </c>
      <c r="E3" s="234" t="s">
        <v>97</v>
      </c>
      <c r="F3" s="234"/>
      <c r="G3" s="234"/>
      <c r="H3" s="234"/>
      <c r="I3" s="234"/>
      <c r="J3" s="234"/>
    </row>
    <row r="4" spans="1:19" x14ac:dyDescent="0.25">
      <c r="E4" s="97" t="s">
        <v>4</v>
      </c>
      <c r="F4" s="97" t="s">
        <v>5</v>
      </c>
      <c r="G4" s="10" t="s">
        <v>7</v>
      </c>
      <c r="H4" s="10" t="s">
        <v>89</v>
      </c>
      <c r="I4" s="97" t="s">
        <v>32</v>
      </c>
      <c r="J4" s="97" t="s">
        <v>33</v>
      </c>
      <c r="L4" s="97"/>
      <c r="M4" s="97"/>
      <c r="N4" s="10"/>
      <c r="O4" s="10"/>
      <c r="R4" s="241" t="s">
        <v>96</v>
      </c>
      <c r="S4" s="242"/>
    </row>
    <row r="5" spans="1:19" x14ac:dyDescent="0.25">
      <c r="A5" s="8" t="s">
        <v>50</v>
      </c>
      <c r="B5" s="101">
        <v>1879469</v>
      </c>
      <c r="C5" s="102">
        <f>B5/$B$3</f>
        <v>4.325512086248566E-2</v>
      </c>
      <c r="E5" s="103">
        <v>32</v>
      </c>
      <c r="F5" s="103">
        <v>28</v>
      </c>
      <c r="G5" s="103">
        <v>6</v>
      </c>
      <c r="H5" s="103">
        <v>7</v>
      </c>
      <c r="I5" s="103">
        <v>19</v>
      </c>
      <c r="J5" s="103">
        <v>8</v>
      </c>
      <c r="L5" s="81"/>
      <c r="M5" s="81"/>
      <c r="N5" s="81"/>
      <c r="O5" s="81"/>
      <c r="R5" s="99" t="s">
        <v>93</v>
      </c>
      <c r="S5" s="100" t="s">
        <v>94</v>
      </c>
    </row>
    <row r="6" spans="1:19" ht="15.75" thickBot="1" x14ac:dyDescent="0.3">
      <c r="A6" s="8" t="s">
        <v>49</v>
      </c>
      <c r="B6" s="101">
        <v>8157968</v>
      </c>
      <c r="C6" s="102">
        <f>B6/$B$3</f>
        <v>0.18775190856156204</v>
      </c>
      <c r="E6" s="98">
        <v>35</v>
      </c>
      <c r="F6" s="98">
        <v>15</v>
      </c>
      <c r="G6" s="98">
        <v>5</v>
      </c>
      <c r="H6" s="98">
        <v>10</v>
      </c>
      <c r="I6" s="98">
        <v>23</v>
      </c>
      <c r="J6" s="98">
        <v>12</v>
      </c>
      <c r="R6" s="104">
        <f>L27</f>
        <v>0.50666666666666671</v>
      </c>
      <c r="S6" s="105">
        <f>L27+(L9-L21)*C3</f>
        <v>0.50725688884747944</v>
      </c>
    </row>
    <row r="7" spans="1:19" ht="15.75" thickBot="1" x14ac:dyDescent="0.3">
      <c r="A7" s="8" t="s">
        <v>48</v>
      </c>
      <c r="B7" s="101">
        <v>10642419</v>
      </c>
      <c r="C7" s="102">
        <f>B7/$B$3</f>
        <v>0.24493041391702328</v>
      </c>
      <c r="E7" s="98">
        <v>31</v>
      </c>
      <c r="F7" s="98">
        <v>41</v>
      </c>
      <c r="G7" s="98">
        <v>5</v>
      </c>
      <c r="H7" s="98">
        <v>3</v>
      </c>
      <c r="I7" s="98">
        <v>10</v>
      </c>
      <c r="J7" s="98">
        <v>10</v>
      </c>
      <c r="L7" s="234" t="s">
        <v>36</v>
      </c>
      <c r="M7" s="234"/>
      <c r="N7" s="234"/>
      <c r="O7" s="234"/>
    </row>
    <row r="8" spans="1:19" x14ac:dyDescent="0.25">
      <c r="A8" s="111" t="s">
        <v>47</v>
      </c>
      <c r="B8" s="112">
        <v>22770930</v>
      </c>
      <c r="C8" s="113">
        <f>B8/$B$3</f>
        <v>0.52406255665892898</v>
      </c>
      <c r="D8" s="114"/>
      <c r="E8" s="115">
        <v>30</v>
      </c>
      <c r="F8" s="115">
        <v>25</v>
      </c>
      <c r="G8" s="115">
        <v>6</v>
      </c>
      <c r="H8" s="115">
        <v>8</v>
      </c>
      <c r="I8" s="115">
        <v>14</v>
      </c>
      <c r="J8" s="115">
        <v>17</v>
      </c>
      <c r="L8" s="109" t="s">
        <v>4</v>
      </c>
      <c r="M8" s="109" t="s">
        <v>5</v>
      </c>
      <c r="N8" s="10" t="s">
        <v>7</v>
      </c>
      <c r="O8" s="10" t="s">
        <v>89</v>
      </c>
      <c r="R8" s="241" t="s">
        <v>95</v>
      </c>
      <c r="S8" s="242"/>
    </row>
    <row r="9" spans="1:19" x14ac:dyDescent="0.25">
      <c r="A9" s="8" t="s">
        <v>0</v>
      </c>
      <c r="B9" s="101"/>
      <c r="C9" s="102"/>
      <c r="E9" s="110">
        <f t="shared" ref="E9:J9" si="0">SUMPRODUCT(E5:E8,$C$13:$C$16)</f>
        <v>31.270200198449803</v>
      </c>
      <c r="F9" s="110">
        <f t="shared" si="0"/>
        <v>27.17113289964421</v>
      </c>
      <c r="G9" s="110">
        <f t="shared" si="0"/>
        <v>5.5673176775214142</v>
      </c>
      <c r="H9" s="110">
        <f t="shared" si="0"/>
        <v>7.1075966266755213</v>
      </c>
      <c r="I9" s="110">
        <f t="shared" si="0"/>
        <v>14.926321125698394</v>
      </c>
      <c r="J9" s="110">
        <f t="shared" si="0"/>
        <v>13.957431472010656</v>
      </c>
      <c r="K9" s="10"/>
      <c r="L9" s="82">
        <f>E9/SUM($E$9:$H$9)</f>
        <v>0.43970543076549434</v>
      </c>
      <c r="M9" s="82">
        <f>F9/SUM($E$9:$H$9)</f>
        <v>0.38206646008671319</v>
      </c>
      <c r="N9" s="82">
        <f t="shared" ref="N9:O9" si="1">G9/SUM($E$9:$H$9)</f>
        <v>7.8284750403493156E-2</v>
      </c>
      <c r="O9" s="82">
        <f t="shared" si="1"/>
        <v>9.9943358744299507E-2</v>
      </c>
      <c r="R9" s="99" t="s">
        <v>4</v>
      </c>
      <c r="S9" s="100" t="s">
        <v>5</v>
      </c>
    </row>
    <row r="10" spans="1:19" x14ac:dyDescent="0.25">
      <c r="Q10" s="98"/>
      <c r="R10" s="106">
        <f>L17-L24</f>
        <v>-3.8100550335243455E-2</v>
      </c>
      <c r="S10" s="107">
        <f>M17-M24</f>
        <v>3.810055033524351E-2</v>
      </c>
    </row>
    <row r="11" spans="1:19" x14ac:dyDescent="0.25">
      <c r="C11" s="3"/>
      <c r="E11" s="10"/>
      <c r="F11" s="10"/>
      <c r="G11" s="10" t="s">
        <v>88</v>
      </c>
      <c r="H11" s="10"/>
      <c r="I11" s="10"/>
      <c r="J11" s="10"/>
      <c r="R11" s="243" t="s">
        <v>92</v>
      </c>
      <c r="S11" s="244"/>
    </row>
    <row r="12" spans="1:19" ht="15.75" thickBot="1" x14ac:dyDescent="0.3">
      <c r="E12" s="97" t="s">
        <v>4</v>
      </c>
      <c r="F12" s="97" t="s">
        <v>5</v>
      </c>
      <c r="G12" s="10"/>
      <c r="H12" s="10"/>
      <c r="I12" s="97" t="s">
        <v>32</v>
      </c>
      <c r="J12" s="97" t="s">
        <v>33</v>
      </c>
      <c r="L12" s="97" t="s">
        <v>4</v>
      </c>
      <c r="M12" s="97" t="s">
        <v>5</v>
      </c>
      <c r="Q12" s="98"/>
      <c r="R12" s="104">
        <f>L17</f>
        <v>0.42765287432229077</v>
      </c>
      <c r="S12" s="105">
        <f>M17</f>
        <v>0.57234712567770929</v>
      </c>
    </row>
    <row r="13" spans="1:19" x14ac:dyDescent="0.25">
      <c r="A13" s="8" t="s">
        <v>50</v>
      </c>
      <c r="B13" s="101">
        <v>1879469</v>
      </c>
      <c r="C13" s="102">
        <f>B13/$B$3</f>
        <v>4.325512086248566E-2</v>
      </c>
      <c r="E13" s="103">
        <v>34</v>
      </c>
      <c r="F13" s="103">
        <v>39</v>
      </c>
      <c r="G13" s="103"/>
      <c r="H13" s="103"/>
      <c r="I13" s="103">
        <v>20</v>
      </c>
      <c r="J13" s="103">
        <v>7</v>
      </c>
      <c r="L13" s="81">
        <f>E13/SUM($E$13:$F$13)</f>
        <v>0.46575342465753422</v>
      </c>
      <c r="M13" s="81">
        <f>F13/SUM($E$13:$F$13)</f>
        <v>0.53424657534246578</v>
      </c>
      <c r="R13" s="243" t="s">
        <v>72</v>
      </c>
      <c r="S13" s="244"/>
    </row>
    <row r="14" spans="1:19" x14ac:dyDescent="0.25">
      <c r="A14" s="8" t="s">
        <v>49</v>
      </c>
      <c r="B14" s="101">
        <v>8157968</v>
      </c>
      <c r="C14" s="102">
        <f>B14/$B$3</f>
        <v>0.18775190856156204</v>
      </c>
      <c r="E14" s="98">
        <v>35</v>
      </c>
      <c r="F14" s="98">
        <v>35</v>
      </c>
      <c r="G14" s="98"/>
      <c r="H14" s="98"/>
      <c r="I14" s="98">
        <v>10</v>
      </c>
      <c r="J14" s="98">
        <v>20</v>
      </c>
      <c r="L14" s="81">
        <f>E14/SUM($E$14:$F$14)</f>
        <v>0.5</v>
      </c>
      <c r="M14" s="81">
        <f>F14/SUM($E$14:$F$14)</f>
        <v>0.5</v>
      </c>
      <c r="R14" s="99" t="s">
        <v>93</v>
      </c>
      <c r="S14" s="100" t="s">
        <v>94</v>
      </c>
    </row>
    <row r="15" spans="1:19" ht="15.75" thickBot="1" x14ac:dyDescent="0.3">
      <c r="A15" s="8" t="s">
        <v>48</v>
      </c>
      <c r="B15" s="101">
        <v>10642419</v>
      </c>
      <c r="C15" s="102">
        <f>B15/$B$3</f>
        <v>0.24493041391702328</v>
      </c>
      <c r="E15" s="98">
        <v>30</v>
      </c>
      <c r="F15" s="98">
        <v>40</v>
      </c>
      <c r="G15" s="98"/>
      <c r="H15" s="98"/>
      <c r="I15" s="98">
        <v>20</v>
      </c>
      <c r="J15" s="98">
        <v>10</v>
      </c>
      <c r="L15" s="81">
        <f>E15/SUM($E$15:$F$15)</f>
        <v>0.42857142857142855</v>
      </c>
      <c r="M15" s="81">
        <f>F15/SUM($E$15:$F$15)</f>
        <v>0.5714285714285714</v>
      </c>
      <c r="Q15" s="98"/>
      <c r="R15" s="104">
        <f>L24-M24</f>
        <v>-6.8493150684931559E-2</v>
      </c>
      <c r="S15" s="105">
        <f>L17-M17</f>
        <v>-0.14469425135541852</v>
      </c>
    </row>
    <row r="16" spans="1:19" ht="15.75" thickBot="1" x14ac:dyDescent="0.3">
      <c r="A16" s="8" t="s">
        <v>47</v>
      </c>
      <c r="B16" s="101">
        <v>22770930</v>
      </c>
      <c r="C16" s="102">
        <f>B16/$B$3</f>
        <v>0.52406255665892898</v>
      </c>
      <c r="E16" s="98">
        <v>30</v>
      </c>
      <c r="F16" s="98">
        <v>45</v>
      </c>
      <c r="G16" s="98"/>
      <c r="H16" s="98"/>
      <c r="I16" s="98">
        <v>15</v>
      </c>
      <c r="J16" s="98">
        <v>10</v>
      </c>
      <c r="L16" s="81">
        <f>E16/SUM($E$16:$F$16)</f>
        <v>0.4</v>
      </c>
      <c r="M16" s="81">
        <f>F16/SUM($E$16:$F$16)</f>
        <v>0.6</v>
      </c>
    </row>
    <row r="17" spans="1:19" x14ac:dyDescent="0.25">
      <c r="A17" s="8" t="s">
        <v>0</v>
      </c>
      <c r="B17" s="101"/>
      <c r="C17" s="102"/>
      <c r="E17" s="108">
        <f>SUMPRODUCT(E13:E16,$C$13:$C$16)</f>
        <v>31.111780026257751</v>
      </c>
      <c r="F17" s="108">
        <f>SUMPRODUCT(F13:F16,$C$13:$C$16)</f>
        <v>41.638298119624352</v>
      </c>
      <c r="G17" s="108"/>
      <c r="H17" s="108"/>
      <c r="I17" s="108">
        <f>SUMPRODUCT(I13:I16,$C$13:$C$16)</f>
        <v>15.502168131089734</v>
      </c>
      <c r="J17" s="108">
        <f>SUMPRODUCT(J13:J16,$C$13:$C$16)</f>
        <v>11.747753723028161</v>
      </c>
      <c r="K17" s="10"/>
      <c r="L17" s="49">
        <f>E17/SUM($E$17:$F$17)</f>
        <v>0.42765287432229077</v>
      </c>
      <c r="M17" s="49">
        <f>F17/SUM($E$17:$F$17)</f>
        <v>0.57234712567770929</v>
      </c>
      <c r="R17" s="241" t="s">
        <v>91</v>
      </c>
      <c r="S17" s="242"/>
    </row>
    <row r="18" spans="1:19" x14ac:dyDescent="0.25">
      <c r="R18" s="99" t="s">
        <v>4</v>
      </c>
      <c r="S18" s="100" t="s">
        <v>5</v>
      </c>
    </row>
    <row r="19" spans="1:19" ht="15.75" thickBot="1" x14ac:dyDescent="0.3">
      <c r="E19" s="234" t="s">
        <v>97</v>
      </c>
      <c r="F19" s="234"/>
      <c r="G19" s="234"/>
      <c r="H19" s="234"/>
      <c r="I19" s="234"/>
      <c r="J19" s="234"/>
      <c r="L19" s="234" t="s">
        <v>36</v>
      </c>
      <c r="M19" s="234"/>
      <c r="N19" s="234"/>
      <c r="O19" s="234"/>
      <c r="R19" s="104">
        <f>(L17-L24)*C24</f>
        <v>-1.666667917481137E-2</v>
      </c>
      <c r="S19" s="105">
        <f>(M17-M24)*C24</f>
        <v>1.6666679174811395E-2</v>
      </c>
    </row>
    <row r="20" spans="1:19" x14ac:dyDescent="0.25">
      <c r="E20" s="97" t="s">
        <v>4</v>
      </c>
      <c r="F20" s="97" t="s">
        <v>5</v>
      </c>
      <c r="G20" s="10" t="s">
        <v>7</v>
      </c>
      <c r="H20" s="10" t="s">
        <v>89</v>
      </c>
      <c r="I20" s="97" t="s">
        <v>32</v>
      </c>
      <c r="J20" s="97" t="s">
        <v>33</v>
      </c>
      <c r="L20" s="97" t="s">
        <v>4</v>
      </c>
      <c r="M20" s="97" t="s">
        <v>5</v>
      </c>
      <c r="N20" s="10" t="s">
        <v>7</v>
      </c>
      <c r="O20" s="10" t="s">
        <v>89</v>
      </c>
      <c r="R20" s="241" t="s">
        <v>92</v>
      </c>
      <c r="S20" s="242"/>
    </row>
    <row r="21" spans="1:19" ht="15.75" thickBot="1" x14ac:dyDescent="0.3">
      <c r="A21" s="11" t="s">
        <v>0</v>
      </c>
      <c r="B21" s="9">
        <v>43450786</v>
      </c>
      <c r="C21" s="15">
        <v>0.43743932904282745</v>
      </c>
      <c r="E21" s="98">
        <v>32</v>
      </c>
      <c r="F21" s="98">
        <v>28</v>
      </c>
      <c r="G21" s="98">
        <v>6</v>
      </c>
      <c r="H21" s="98">
        <v>7</v>
      </c>
      <c r="I21" s="98">
        <v>19</v>
      </c>
      <c r="J21" s="98">
        <v>8</v>
      </c>
      <c r="K21" s="98"/>
      <c r="L21" s="82">
        <f>E21/SUM($E$21:$H$21)</f>
        <v>0.43835616438356162</v>
      </c>
      <c r="M21" s="82">
        <f>F21/SUM($E$21:$H$21)</f>
        <v>0.38356164383561642</v>
      </c>
      <c r="N21" s="82">
        <f>G21/SUM($E$21:$H$21)</f>
        <v>8.2191780821917804E-2</v>
      </c>
      <c r="O21" s="82">
        <f>H21/SUM($E$21:$H$21)</f>
        <v>9.5890410958904104E-2</v>
      </c>
      <c r="R21" s="104">
        <f>L30+R19</f>
        <v>0.53738737487924271</v>
      </c>
      <c r="S21" s="105">
        <f>M30+S19</f>
        <v>0.46261262512075735</v>
      </c>
    </row>
    <row r="22" spans="1:19" x14ac:dyDescent="0.25">
      <c r="A22" s="11"/>
      <c r="R22" s="243" t="s">
        <v>72</v>
      </c>
      <c r="S22" s="244"/>
    </row>
    <row r="23" spans="1:19" x14ac:dyDescent="0.25">
      <c r="A23" s="11"/>
      <c r="E23" s="97" t="s">
        <v>4</v>
      </c>
      <c r="F23" s="97" t="s">
        <v>5</v>
      </c>
      <c r="G23" s="10"/>
      <c r="H23" s="10"/>
      <c r="I23" s="97" t="s">
        <v>32</v>
      </c>
      <c r="J23" s="97" t="s">
        <v>33</v>
      </c>
      <c r="L23" s="97" t="s">
        <v>4</v>
      </c>
      <c r="M23" s="97" t="s">
        <v>5</v>
      </c>
      <c r="R23" s="99" t="s">
        <v>93</v>
      </c>
      <c r="S23" s="100" t="s">
        <v>94</v>
      </c>
    </row>
    <row r="24" spans="1:19" ht="15.75" thickBot="1" x14ac:dyDescent="0.3">
      <c r="A24" s="11" t="s">
        <v>0</v>
      </c>
      <c r="B24" s="9">
        <v>43450786</v>
      </c>
      <c r="C24" s="15">
        <v>0.43743932904282745</v>
      </c>
      <c r="E24" s="98">
        <v>34</v>
      </c>
      <c r="F24" s="98">
        <v>39</v>
      </c>
      <c r="G24" s="98"/>
      <c r="H24" s="98"/>
      <c r="I24" s="98">
        <v>20</v>
      </c>
      <c r="J24" s="98">
        <v>7</v>
      </c>
      <c r="K24" s="98"/>
      <c r="L24" s="81">
        <f>E24/SUM($E$24:$F$24)</f>
        <v>0.46575342465753422</v>
      </c>
      <c r="M24" s="81">
        <f>F24/SUM($E$24:$F$24)</f>
        <v>0.53424657534246578</v>
      </c>
      <c r="R24" s="104">
        <f>L30-M30</f>
        <v>0.10810810810810811</v>
      </c>
      <c r="S24" s="105">
        <f>R21-S21</f>
        <v>7.4774749758485359E-2</v>
      </c>
    </row>
    <row r="25" spans="1:19" x14ac:dyDescent="0.25">
      <c r="A25" s="11"/>
    </row>
    <row r="26" spans="1:19" x14ac:dyDescent="0.25">
      <c r="A26" s="11"/>
      <c r="E26" s="97" t="s">
        <v>4</v>
      </c>
      <c r="F26" s="97" t="s">
        <v>5</v>
      </c>
      <c r="G26" s="10" t="s">
        <v>7</v>
      </c>
      <c r="H26" s="10" t="s">
        <v>89</v>
      </c>
      <c r="I26" s="97" t="s">
        <v>32</v>
      </c>
      <c r="J26" s="97" t="s">
        <v>33</v>
      </c>
      <c r="L26" s="97" t="s">
        <v>4</v>
      </c>
      <c r="M26" s="97" t="s">
        <v>5</v>
      </c>
      <c r="N26" s="10" t="s">
        <v>7</v>
      </c>
      <c r="O26" s="10" t="s">
        <v>89</v>
      </c>
    </row>
    <row r="27" spans="1:19" x14ac:dyDescent="0.25">
      <c r="A27" s="11" t="s">
        <v>34</v>
      </c>
      <c r="B27" s="7">
        <f>B21/C21</f>
        <v>99329857</v>
      </c>
      <c r="C27" s="35">
        <v>1</v>
      </c>
      <c r="E27" s="98">
        <v>38</v>
      </c>
      <c r="F27" s="98">
        <v>22</v>
      </c>
      <c r="G27" s="98">
        <v>8</v>
      </c>
      <c r="H27" s="98">
        <v>7</v>
      </c>
      <c r="I27" s="98">
        <v>16</v>
      </c>
      <c r="J27" s="98">
        <v>9</v>
      </c>
      <c r="K27" s="98"/>
      <c r="L27" s="121">
        <f>E27/SUM($E$27:$H$27)</f>
        <v>0.50666666666666671</v>
      </c>
      <c r="M27" s="81">
        <f>F27/SUM($E$27:$H$27)</f>
        <v>0.29333333333333333</v>
      </c>
      <c r="N27" s="81">
        <f>G27/SUM($E$27:$H$27)</f>
        <v>0.10666666666666667</v>
      </c>
      <c r="O27" s="81">
        <f>H27/SUM($E$27:$H$27)</f>
        <v>9.3333333333333338E-2</v>
      </c>
    </row>
    <row r="28" spans="1:19" x14ac:dyDescent="0.25">
      <c r="A28" s="11"/>
    </row>
    <row r="29" spans="1:19" x14ac:dyDescent="0.25">
      <c r="A29" s="11"/>
      <c r="E29" s="97" t="s">
        <v>4</v>
      </c>
      <c r="F29" s="97" t="s">
        <v>5</v>
      </c>
      <c r="G29" s="10"/>
      <c r="H29" s="10"/>
      <c r="I29" s="97" t="s">
        <v>32</v>
      </c>
      <c r="J29" s="97" t="s">
        <v>33</v>
      </c>
      <c r="L29" s="97" t="s">
        <v>4</v>
      </c>
      <c r="M29" s="97" t="s">
        <v>5</v>
      </c>
    </row>
    <row r="30" spans="1:19" x14ac:dyDescent="0.25">
      <c r="A30" s="11" t="s">
        <v>34</v>
      </c>
      <c r="B30" s="7">
        <f>B24/C24</f>
        <v>99329857</v>
      </c>
      <c r="C30" s="35">
        <v>1</v>
      </c>
      <c r="E30" s="98">
        <v>41</v>
      </c>
      <c r="F30" s="98">
        <v>33</v>
      </c>
      <c r="G30" s="98"/>
      <c r="H30" s="98"/>
      <c r="I30" s="98">
        <v>18</v>
      </c>
      <c r="J30" s="98">
        <v>8</v>
      </c>
      <c r="K30" s="98"/>
      <c r="L30" s="81">
        <f>E30/SUM($E$30:$F$30)</f>
        <v>0.55405405405405406</v>
      </c>
      <c r="M30" s="81">
        <f>F30/SUM($E$30:$F$30)</f>
        <v>0.44594594594594594</v>
      </c>
    </row>
    <row r="33" spans="1:18" x14ac:dyDescent="0.25">
      <c r="E33">
        <v>38</v>
      </c>
      <c r="F33">
        <v>23</v>
      </c>
      <c r="G33">
        <v>9</v>
      </c>
      <c r="H33">
        <v>6</v>
      </c>
      <c r="I33">
        <v>13</v>
      </c>
      <c r="J33">
        <v>11</v>
      </c>
      <c r="L33" s="124">
        <f>E33/SUM(E33:H33)</f>
        <v>0.5</v>
      </c>
    </row>
    <row r="34" spans="1:18" x14ac:dyDescent="0.25">
      <c r="E34">
        <v>39</v>
      </c>
      <c r="F34">
        <v>21</v>
      </c>
      <c r="G34">
        <v>10</v>
      </c>
      <c r="H34">
        <v>9</v>
      </c>
      <c r="I34">
        <v>13</v>
      </c>
      <c r="J34">
        <v>8</v>
      </c>
      <c r="L34" s="124">
        <f>E34/SUM(E34:H34)</f>
        <v>0.49367088607594939</v>
      </c>
    </row>
    <row r="38" spans="1:18" x14ac:dyDescent="0.25">
      <c r="B38" t="s">
        <v>41</v>
      </c>
      <c r="C38" t="s">
        <v>8</v>
      </c>
    </row>
    <row r="39" spans="1:18" x14ac:dyDescent="0.25">
      <c r="A39" s="8" t="s">
        <v>0</v>
      </c>
      <c r="B39" s="9">
        <v>43450786</v>
      </c>
      <c r="C39" s="15">
        <v>0.43743932904282745</v>
      </c>
    </row>
    <row r="40" spans="1:18" x14ac:dyDescent="0.25">
      <c r="F40" t="s">
        <v>127</v>
      </c>
      <c r="G40" t="s">
        <v>4</v>
      </c>
      <c r="I40" t="s">
        <v>127</v>
      </c>
      <c r="J40" t="s">
        <v>4</v>
      </c>
    </row>
    <row r="41" spans="1:18" x14ac:dyDescent="0.25">
      <c r="A41" s="8" t="s">
        <v>50</v>
      </c>
      <c r="B41" s="101">
        <v>1879469</v>
      </c>
      <c r="C41" s="102">
        <v>4.325512086248566E-2</v>
      </c>
      <c r="E41" s="3">
        <f>C41*$C$39</f>
        <v>1.8921491047752134E-2</v>
      </c>
      <c r="I41" s="76">
        <f t="shared" ref="I41:J44" si="2">F41*$E41</f>
        <v>0</v>
      </c>
      <c r="J41" s="76">
        <f t="shared" si="2"/>
        <v>0</v>
      </c>
      <c r="M41" s="76">
        <f>G41*$C41</f>
        <v>0</v>
      </c>
      <c r="O41">
        <v>34</v>
      </c>
      <c r="P41">
        <v>29</v>
      </c>
      <c r="R41">
        <v>15</v>
      </c>
    </row>
    <row r="42" spans="1:18" x14ac:dyDescent="0.25">
      <c r="A42" s="8" t="s">
        <v>49</v>
      </c>
      <c r="B42" s="101">
        <v>8157968</v>
      </c>
      <c r="C42" s="102">
        <v>0.18775190856156204</v>
      </c>
      <c r="E42" s="3">
        <f t="shared" ref="E42:E44" si="3">C42*$C$39</f>
        <v>8.2130068907679987E-2</v>
      </c>
      <c r="F42" s="147">
        <v>8</v>
      </c>
      <c r="G42" s="147">
        <v>-6</v>
      </c>
      <c r="I42" s="76">
        <f t="shared" si="2"/>
        <v>0.6570405512614399</v>
      </c>
      <c r="J42" s="76">
        <f t="shared" si="2"/>
        <v>-0.49278041344607992</v>
      </c>
      <c r="L42" s="76">
        <f>F42*$C42</f>
        <v>1.5020152684924963</v>
      </c>
      <c r="M42" s="76">
        <f>G42*$C42</f>
        <v>-1.1265114513693724</v>
      </c>
      <c r="O42">
        <v>37</v>
      </c>
      <c r="P42">
        <v>33</v>
      </c>
      <c r="R42">
        <v>12</v>
      </c>
    </row>
    <row r="43" spans="1:18" x14ac:dyDescent="0.25">
      <c r="A43" s="8" t="s">
        <v>48</v>
      </c>
      <c r="B43" s="101">
        <v>10642419</v>
      </c>
      <c r="C43" s="102">
        <v>0.24493041391702328</v>
      </c>
      <c r="E43" s="3">
        <f t="shared" si="3"/>
        <v>0.10714219592604467</v>
      </c>
      <c r="F43" s="147"/>
      <c r="G43" s="147">
        <v>21</v>
      </c>
      <c r="H43" s="118"/>
      <c r="I43" s="76">
        <f t="shared" si="2"/>
        <v>0</v>
      </c>
      <c r="J43" s="76">
        <f t="shared" si="2"/>
        <v>2.249986114446938</v>
      </c>
      <c r="M43" s="76">
        <f>G43*$C43</f>
        <v>5.1435386922574891</v>
      </c>
    </row>
    <row r="44" spans="1:18" x14ac:dyDescent="0.25">
      <c r="A44" s="111" t="s">
        <v>47</v>
      </c>
      <c r="B44" s="112">
        <v>22770930</v>
      </c>
      <c r="C44" s="113">
        <v>0.52406255665892898</v>
      </c>
      <c r="E44" s="3">
        <f t="shared" si="3"/>
        <v>0.22924557316135064</v>
      </c>
      <c r="F44" s="147">
        <v>4</v>
      </c>
      <c r="G44" s="147">
        <v>0</v>
      </c>
      <c r="I44" s="149">
        <f t="shared" si="2"/>
        <v>0.91698229264540254</v>
      </c>
      <c r="J44" s="149">
        <f t="shared" si="2"/>
        <v>0</v>
      </c>
      <c r="L44" s="76">
        <f>F44*$C44</f>
        <v>2.0962502266357159</v>
      </c>
      <c r="M44" s="76">
        <f>G44*$C44</f>
        <v>0</v>
      </c>
      <c r="O44" s="35">
        <f>O41/(100-R41)</f>
        <v>0.4</v>
      </c>
      <c r="P44" s="35">
        <f>P41/(100-R41)</f>
        <v>0.3411764705882353</v>
      </c>
    </row>
    <row r="45" spans="1:18" x14ac:dyDescent="0.25">
      <c r="I45" s="150">
        <f>SUM(I41:I44)</f>
        <v>1.5740228439068424</v>
      </c>
      <c r="J45" s="150">
        <f>SUM(J41:J44)</f>
        <v>1.7572057010008582</v>
      </c>
      <c r="L45" s="150">
        <f>SUM(L41:L44)</f>
        <v>3.5982654951282123</v>
      </c>
      <c r="M45" s="150">
        <f>SUM(M41:M44)</f>
        <v>4.0170272408881171</v>
      </c>
      <c r="O45" s="35">
        <f>O42/(100-R42)</f>
        <v>0.42045454545454547</v>
      </c>
      <c r="P45" s="35">
        <f>P42/(100-R42)</f>
        <v>0.375</v>
      </c>
    </row>
    <row r="47" spans="1:18" x14ac:dyDescent="0.25">
      <c r="M47">
        <v>4</v>
      </c>
    </row>
    <row r="49" spans="1:18" x14ac:dyDescent="0.25">
      <c r="B49" t="s">
        <v>41</v>
      </c>
      <c r="C49" t="s">
        <v>8</v>
      </c>
    </row>
    <row r="50" spans="1:18" x14ac:dyDescent="0.25">
      <c r="A50" s="8" t="s">
        <v>0</v>
      </c>
      <c r="B50" s="9">
        <v>43450786</v>
      </c>
      <c r="C50" s="15">
        <v>0.43743932904282745</v>
      </c>
    </row>
    <row r="51" spans="1:18" x14ac:dyDescent="0.25">
      <c r="F51" t="s">
        <v>127</v>
      </c>
      <c r="G51" t="s">
        <v>4</v>
      </c>
      <c r="I51" t="s">
        <v>127</v>
      </c>
      <c r="J51" t="s">
        <v>4</v>
      </c>
    </row>
    <row r="52" spans="1:18" x14ac:dyDescent="0.25">
      <c r="A52" s="8" t="s">
        <v>50</v>
      </c>
      <c r="B52" s="101">
        <v>1879469</v>
      </c>
      <c r="C52" s="102">
        <v>4.325512086248566E-2</v>
      </c>
      <c r="E52" s="3">
        <f>C52*$C$39</f>
        <v>1.8921491047752134E-2</v>
      </c>
      <c r="I52" s="76">
        <f t="shared" ref="I52:I55" si="4">F52*$E52</f>
        <v>0</v>
      </c>
      <c r="J52" s="76">
        <f t="shared" ref="J52:J55" si="5">G52*$E52</f>
        <v>0</v>
      </c>
      <c r="M52" s="76">
        <f>G52*$C52</f>
        <v>0</v>
      </c>
      <c r="O52">
        <v>34</v>
      </c>
      <c r="P52">
        <v>29</v>
      </c>
      <c r="R52">
        <v>15</v>
      </c>
    </row>
    <row r="53" spans="1:18" x14ac:dyDescent="0.25">
      <c r="A53" s="8" t="s">
        <v>49</v>
      </c>
      <c r="B53" s="101">
        <v>8157968</v>
      </c>
      <c r="C53" s="102">
        <v>0.18775190856156204</v>
      </c>
      <c r="E53" s="3">
        <f t="shared" ref="E53:E55" si="6">C53*$C$39</f>
        <v>8.2130068907679987E-2</v>
      </c>
      <c r="F53" s="151">
        <v>4</v>
      </c>
      <c r="G53" s="151">
        <v>-1</v>
      </c>
      <c r="I53" s="76">
        <f t="shared" si="4"/>
        <v>0.32852027563071995</v>
      </c>
      <c r="J53" s="76">
        <f>G53*$E53</f>
        <v>-8.2130068907679987E-2</v>
      </c>
      <c r="L53" s="76">
        <f>F53*$C53</f>
        <v>0.75100763424624817</v>
      </c>
      <c r="M53" s="76">
        <f>G53*$C53</f>
        <v>-0.18775190856156204</v>
      </c>
      <c r="O53">
        <v>37</v>
      </c>
      <c r="P53">
        <v>33</v>
      </c>
      <c r="R53">
        <v>12</v>
      </c>
    </row>
    <row r="54" spans="1:18" x14ac:dyDescent="0.25">
      <c r="A54" s="8" t="s">
        <v>48</v>
      </c>
      <c r="B54" s="101">
        <v>10642419</v>
      </c>
      <c r="C54" s="102">
        <v>0.24493041391702328</v>
      </c>
      <c r="E54" s="3">
        <f t="shared" si="6"/>
        <v>0.10714219592604467</v>
      </c>
      <c r="F54" s="151"/>
      <c r="G54" s="151">
        <v>13</v>
      </c>
      <c r="H54" s="118"/>
      <c r="I54" s="76">
        <f t="shared" si="4"/>
        <v>0</v>
      </c>
      <c r="J54" s="76">
        <f t="shared" si="5"/>
        <v>1.3928485470385807</v>
      </c>
      <c r="M54" s="76">
        <f>G54*$C54</f>
        <v>3.1840953809213026</v>
      </c>
    </row>
    <row r="55" spans="1:18" x14ac:dyDescent="0.25">
      <c r="A55" s="111" t="s">
        <v>47</v>
      </c>
      <c r="B55" s="112">
        <v>22770930</v>
      </c>
      <c r="C55" s="113">
        <v>0.52406255665892898</v>
      </c>
      <c r="E55" s="3">
        <f t="shared" si="6"/>
        <v>0.22924557316135064</v>
      </c>
      <c r="F55" s="151">
        <v>3</v>
      </c>
      <c r="G55" s="151">
        <v>2</v>
      </c>
      <c r="I55" s="149">
        <f t="shared" si="4"/>
        <v>0.68773671948405191</v>
      </c>
      <c r="J55" s="149">
        <f t="shared" si="5"/>
        <v>0.45849114632270127</v>
      </c>
      <c r="L55" s="76">
        <f>F55*$C55</f>
        <v>1.5721876699767869</v>
      </c>
      <c r="M55" s="76">
        <f>G55*$C55</f>
        <v>1.048125113317858</v>
      </c>
      <c r="O55" s="35">
        <f>O52/(100-R52)</f>
        <v>0.4</v>
      </c>
      <c r="P55" s="35">
        <f>P52/(100-R52)</f>
        <v>0.3411764705882353</v>
      </c>
    </row>
    <row r="56" spans="1:18" x14ac:dyDescent="0.25">
      <c r="I56" s="150">
        <f>SUM(I52:I55)</f>
        <v>1.0162569951147717</v>
      </c>
      <c r="J56" s="150">
        <f>SUM(J52:J55)</f>
        <v>1.769209624453602</v>
      </c>
      <c r="L56" s="150">
        <f>SUM(L52:L55)</f>
        <v>2.3231953042230353</v>
      </c>
      <c r="M56" s="150">
        <f>SUM(M52:M55)</f>
        <v>4.044468585677599</v>
      </c>
      <c r="O56" s="35">
        <f>O53/(100-R53)</f>
        <v>0.42045454545454547</v>
      </c>
      <c r="P56" s="35">
        <f>P53/(100-R53)</f>
        <v>0.375</v>
      </c>
    </row>
    <row r="58" spans="1:18" x14ac:dyDescent="0.25">
      <c r="M58">
        <v>4</v>
      </c>
    </row>
    <row r="59" spans="1:18" ht="15.75" thickBot="1" x14ac:dyDescent="0.3"/>
    <row r="60" spans="1:18" x14ac:dyDescent="0.25">
      <c r="E60" s="152"/>
      <c r="F60" s="153" t="s">
        <v>51</v>
      </c>
      <c r="G60" s="153" t="s">
        <v>169</v>
      </c>
      <c r="H60" s="153" t="s">
        <v>170</v>
      </c>
      <c r="I60" s="154" t="s">
        <v>171</v>
      </c>
    </row>
    <row r="61" spans="1:18" x14ac:dyDescent="0.25">
      <c r="E61" s="59" t="s">
        <v>49</v>
      </c>
      <c r="F61" s="155">
        <v>0.18775190856156204</v>
      </c>
      <c r="G61" s="155">
        <v>8.2130068907679987E-2</v>
      </c>
      <c r="H61" s="86">
        <v>8</v>
      </c>
      <c r="I61" s="156">
        <v>-6</v>
      </c>
    </row>
    <row r="62" spans="1:18" x14ac:dyDescent="0.25">
      <c r="E62" s="161" t="s">
        <v>47</v>
      </c>
      <c r="F62" s="162">
        <v>0.52406255665892898</v>
      </c>
      <c r="G62" s="162">
        <v>0.22924557316135064</v>
      </c>
      <c r="H62" s="163">
        <v>4</v>
      </c>
      <c r="I62" s="164">
        <v>0</v>
      </c>
    </row>
    <row r="63" spans="1:18" ht="15.75" thickBot="1" x14ac:dyDescent="0.3">
      <c r="E63" s="157" t="s">
        <v>9</v>
      </c>
      <c r="F63" s="158">
        <f>SUM(F61:F62)</f>
        <v>0.71181446522049097</v>
      </c>
      <c r="G63" s="158">
        <f>SUM(G61:G62)</f>
        <v>0.31137564206903062</v>
      </c>
      <c r="H63" s="159">
        <f>SUMPRODUCT(H61:H62,$G$61:$G$62)</f>
        <v>1.5740228439068424</v>
      </c>
      <c r="I63" s="160">
        <f>SUMPRODUCT(I61:I62,$G$61:$G$62)</f>
        <v>-0.49278041344607992</v>
      </c>
    </row>
    <row r="64" spans="1:18" x14ac:dyDescent="0.25">
      <c r="E64" s="165" t="s">
        <v>172</v>
      </c>
      <c r="F64" s="36"/>
      <c r="G64" s="36"/>
      <c r="H64" s="166">
        <v>4</v>
      </c>
      <c r="I64" s="167">
        <v>3</v>
      </c>
    </row>
    <row r="65" spans="5:9" ht="15.75" thickBot="1" x14ac:dyDescent="0.3">
      <c r="E65" s="168" t="s">
        <v>173</v>
      </c>
      <c r="F65" s="46"/>
      <c r="G65" s="46"/>
      <c r="H65" s="159">
        <f>H64-H63</f>
        <v>2.4259771560931576</v>
      </c>
      <c r="I65" s="160">
        <f>I64-I63</f>
        <v>3.4927804134460798</v>
      </c>
    </row>
  </sheetData>
  <mergeCells count="12">
    <mergeCell ref="B1:C1"/>
    <mergeCell ref="R20:S20"/>
    <mergeCell ref="R17:S17"/>
    <mergeCell ref="R22:S22"/>
    <mergeCell ref="R8:S8"/>
    <mergeCell ref="R11:S11"/>
    <mergeCell ref="R13:S13"/>
    <mergeCell ref="R4:S4"/>
    <mergeCell ref="L7:O7"/>
    <mergeCell ref="L19:O19"/>
    <mergeCell ref="E19:J19"/>
    <mergeCell ref="E3:J3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42"/>
  <sheetViews>
    <sheetView topLeftCell="C10" workbookViewId="0">
      <selection activeCell="R20" sqref="R20"/>
    </sheetView>
    <sheetView workbookViewId="1"/>
  </sheetViews>
  <sheetFormatPr defaultRowHeight="15" x14ac:dyDescent="0.25"/>
  <cols>
    <col min="2" max="2" width="10.7109375" customWidth="1"/>
    <col min="6" max="6" width="12.7109375" bestFit="1" customWidth="1"/>
    <col min="7" max="7" width="10.42578125" bestFit="1" customWidth="1"/>
    <col min="10" max="10" width="12.140625" bestFit="1" customWidth="1"/>
  </cols>
  <sheetData>
    <row r="1" spans="1:20" ht="18.75" x14ac:dyDescent="0.3">
      <c r="A1" s="18">
        <v>2010</v>
      </c>
      <c r="B1" s="31"/>
      <c r="C1" s="31"/>
      <c r="D1" s="31"/>
      <c r="E1" s="234" t="s">
        <v>27</v>
      </c>
      <c r="F1" s="234"/>
      <c r="G1" s="31"/>
      <c r="H1" s="234" t="s">
        <v>46</v>
      </c>
      <c r="I1" s="234"/>
      <c r="J1" s="234"/>
      <c r="K1" s="234"/>
      <c r="L1" s="31"/>
      <c r="M1" s="234" t="s">
        <v>36</v>
      </c>
      <c r="N1" s="234"/>
    </row>
    <row r="2" spans="1:20" x14ac:dyDescent="0.25">
      <c r="A2" s="31"/>
      <c r="B2" t="s">
        <v>41</v>
      </c>
      <c r="C2" t="s">
        <v>8</v>
      </c>
      <c r="D2" s="31"/>
      <c r="E2" s="31" t="s">
        <v>4</v>
      </c>
      <c r="F2" s="31" t="s">
        <v>24</v>
      </c>
      <c r="G2" s="31"/>
      <c r="H2" s="31" t="s">
        <v>4</v>
      </c>
      <c r="I2" s="31" t="s">
        <v>24</v>
      </c>
      <c r="J2" s="31" t="s">
        <v>32</v>
      </c>
      <c r="K2" s="31" t="s">
        <v>33</v>
      </c>
      <c r="L2" s="31"/>
      <c r="M2" s="31" t="s">
        <v>4</v>
      </c>
      <c r="N2" s="31" t="s">
        <v>24</v>
      </c>
    </row>
    <row r="3" spans="1:20" x14ac:dyDescent="0.25">
      <c r="A3" s="32" t="s">
        <v>0</v>
      </c>
      <c r="B3" s="9">
        <v>43450786</v>
      </c>
      <c r="C3" s="15">
        <v>0.43743932904282745</v>
      </c>
      <c r="D3" s="31"/>
      <c r="E3" s="14">
        <v>51.876380326008373</v>
      </c>
      <c r="F3" s="14">
        <v>48.123619673991627</v>
      </c>
      <c r="G3" s="31"/>
      <c r="H3" s="31">
        <v>50</v>
      </c>
      <c r="I3" s="31">
        <v>40</v>
      </c>
      <c r="J3" s="31">
        <v>6</v>
      </c>
      <c r="K3" s="31">
        <v>4</v>
      </c>
      <c r="L3" s="31"/>
      <c r="M3" s="17">
        <v>55</v>
      </c>
      <c r="N3" s="17">
        <v>45</v>
      </c>
    </row>
    <row r="5" spans="1:20" x14ac:dyDescent="0.25">
      <c r="H5" s="234" t="s">
        <v>44</v>
      </c>
      <c r="I5" s="234"/>
      <c r="J5" s="234"/>
      <c r="K5" s="234"/>
      <c r="L5" s="31"/>
      <c r="M5" s="234" t="s">
        <v>36</v>
      </c>
      <c r="N5" s="234"/>
    </row>
    <row r="6" spans="1:20" x14ac:dyDescent="0.25">
      <c r="H6" s="31" t="s">
        <v>4</v>
      </c>
      <c r="I6" s="31" t="s">
        <v>5</v>
      </c>
      <c r="J6" s="31" t="s">
        <v>32</v>
      </c>
      <c r="K6" s="31" t="s">
        <v>33</v>
      </c>
      <c r="L6" s="31"/>
      <c r="M6" s="31" t="s">
        <v>4</v>
      </c>
      <c r="N6" s="31" t="s">
        <v>5</v>
      </c>
    </row>
    <row r="7" spans="1:20" x14ac:dyDescent="0.25">
      <c r="H7" s="31">
        <v>33</v>
      </c>
      <c r="I7" s="31">
        <v>36</v>
      </c>
      <c r="J7" s="31">
        <v>27</v>
      </c>
      <c r="K7" s="31">
        <f>100-SUM(H7:J7)</f>
        <v>4</v>
      </c>
      <c r="L7" s="31"/>
      <c r="M7" s="15">
        <f>Base!O48</f>
        <v>0.53623188405797106</v>
      </c>
      <c r="N7" s="15">
        <f>Base!P48</f>
        <v>0.46376811594202894</v>
      </c>
      <c r="O7" s="31">
        <f>(J3-J7+K3-K7)*-1</f>
        <v>21</v>
      </c>
      <c r="P7" s="29">
        <f>O7*0.333+H7</f>
        <v>39.993000000000002</v>
      </c>
      <c r="Q7" s="29">
        <f>O7*0.6666+I7</f>
        <v>49.998599999999996</v>
      </c>
      <c r="R7" s="31"/>
      <c r="S7" s="33">
        <f>P7/(P7+Q7)</f>
        <v>0.44440814476017759</v>
      </c>
      <c r="T7" s="27">
        <f>1-S7</f>
        <v>0.55559185523982246</v>
      </c>
    </row>
    <row r="10" spans="1:20" x14ac:dyDescent="0.25">
      <c r="K10" t="s">
        <v>0</v>
      </c>
    </row>
    <row r="11" spans="1:20" x14ac:dyDescent="0.25">
      <c r="F11" t="s">
        <v>41</v>
      </c>
      <c r="G11" t="s">
        <v>51</v>
      </c>
      <c r="H11" t="s">
        <v>4</v>
      </c>
      <c r="I11" t="s">
        <v>24</v>
      </c>
      <c r="K11" t="s">
        <v>4</v>
      </c>
      <c r="L11" t="s">
        <v>24</v>
      </c>
    </row>
    <row r="12" spans="1:20" x14ac:dyDescent="0.25">
      <c r="E12" t="s">
        <v>47</v>
      </c>
      <c r="F12" s="7">
        <v>22770930</v>
      </c>
      <c r="G12" s="34">
        <f>F12/SUM($F$12:$F$15)</f>
        <v>0.52406255665892898</v>
      </c>
      <c r="H12">
        <v>45.95</v>
      </c>
      <c r="I12">
        <v>54.05</v>
      </c>
      <c r="K12">
        <f>SUMPRODUCT(H12:H15,G12:G15)</f>
        <v>51.878946894539489</v>
      </c>
      <c r="L12">
        <f>SUMPRODUCT(I12:I15,G12:G15)</f>
        <v>48.121053105460511</v>
      </c>
    </row>
    <row r="13" spans="1:20" x14ac:dyDescent="0.25">
      <c r="E13" t="s">
        <v>48</v>
      </c>
      <c r="F13" s="7">
        <v>10642419</v>
      </c>
      <c r="G13" s="34">
        <f t="shared" ref="G13:G15" si="0">F13/SUM($F$12:$F$15)</f>
        <v>0.24493041391702328</v>
      </c>
      <c r="H13">
        <v>58.45</v>
      </c>
      <c r="I13">
        <v>41.55</v>
      </c>
    </row>
    <row r="14" spans="1:20" x14ac:dyDescent="0.25">
      <c r="E14" t="s">
        <v>49</v>
      </c>
      <c r="F14" s="7">
        <v>8157968</v>
      </c>
      <c r="G14" s="34">
        <f t="shared" si="0"/>
        <v>0.18775190856156204</v>
      </c>
      <c r="H14">
        <v>60.48</v>
      </c>
      <c r="I14">
        <v>39.520000000000003</v>
      </c>
    </row>
    <row r="15" spans="1:20" ht="15.75" thickBot="1" x14ac:dyDescent="0.3">
      <c r="E15" t="s">
        <v>50</v>
      </c>
      <c r="F15" s="7">
        <v>1879469</v>
      </c>
      <c r="G15" s="34">
        <f t="shared" si="0"/>
        <v>4.325512086248566E-2</v>
      </c>
      <c r="H15">
        <v>49.17</v>
      </c>
      <c r="I15">
        <v>50.83</v>
      </c>
    </row>
    <row r="16" spans="1:20" x14ac:dyDescent="0.25">
      <c r="O16" s="247" t="s">
        <v>53</v>
      </c>
      <c r="P16" s="248"/>
    </row>
    <row r="17" spans="5:17" ht="15.75" thickBot="1" x14ac:dyDescent="0.3">
      <c r="O17" s="50" t="s">
        <v>4</v>
      </c>
      <c r="P17" s="51" t="s">
        <v>5</v>
      </c>
    </row>
    <row r="18" spans="5:17" ht="15.75" thickBot="1" x14ac:dyDescent="0.3">
      <c r="L18" s="235" t="s">
        <v>55</v>
      </c>
      <c r="M18" s="237"/>
      <c r="O18" s="52">
        <f>Base!O54</f>
        <v>0.5766166568174329</v>
      </c>
      <c r="P18" s="53">
        <f>Base!P54</f>
        <v>0.4233833431825671</v>
      </c>
    </row>
    <row r="19" spans="5:17" x14ac:dyDescent="0.25">
      <c r="F19" t="s">
        <v>41</v>
      </c>
      <c r="G19" t="s">
        <v>51</v>
      </c>
      <c r="H19" t="s">
        <v>4</v>
      </c>
      <c r="I19" t="s">
        <v>5</v>
      </c>
      <c r="J19" s="10" t="s">
        <v>52</v>
      </c>
      <c r="L19" s="59" t="s">
        <v>4</v>
      </c>
      <c r="M19" s="60" t="s">
        <v>5</v>
      </c>
      <c r="O19" s="245" t="s">
        <v>59</v>
      </c>
      <c r="P19" s="246"/>
    </row>
    <row r="20" spans="5:17" x14ac:dyDescent="0.25">
      <c r="E20" t="s">
        <v>47</v>
      </c>
      <c r="F20" s="7">
        <v>22770930</v>
      </c>
      <c r="G20" s="34">
        <f>F20/SUM($F$12:$F$15)</f>
        <v>0.52406255665892898</v>
      </c>
      <c r="H20" s="7">
        <f>H12*(1-J20)</f>
        <v>45.95</v>
      </c>
      <c r="I20" s="7">
        <f>100-H20</f>
        <v>54.05</v>
      </c>
      <c r="J20" s="35">
        <v>0</v>
      </c>
      <c r="L20" s="61">
        <f>Base!U47</f>
        <v>0.48885673773996685</v>
      </c>
      <c r="M20" s="62">
        <f>Base!V47</f>
        <v>0.51114326226003315</v>
      </c>
      <c r="O20" s="50" t="s">
        <v>4</v>
      </c>
      <c r="P20" s="51" t="s">
        <v>5</v>
      </c>
    </row>
    <row r="21" spans="5:17" ht="15.75" thickBot="1" x14ac:dyDescent="0.3">
      <c r="E21" t="s">
        <v>48</v>
      </c>
      <c r="F21" s="7">
        <v>10642419</v>
      </c>
      <c r="G21" s="34">
        <f t="shared" ref="G21:G23" si="1">F21/SUM($F$12:$F$15)</f>
        <v>0.24493041391702328</v>
      </c>
      <c r="H21" s="7">
        <f t="shared" ref="H21:H23" si="2">H13*(1-J21)</f>
        <v>45.591000000000001</v>
      </c>
      <c r="I21" s="7">
        <f t="shared" ref="I21:I23" si="3">100-H21</f>
        <v>54.408999999999999</v>
      </c>
      <c r="J21" s="35">
        <v>0.22</v>
      </c>
      <c r="L21" s="231" t="s">
        <v>0</v>
      </c>
      <c r="M21" s="233"/>
      <c r="O21" s="54">
        <f>O18+(L23/100-M7)*C3</f>
        <v>0.55325389065190111</v>
      </c>
      <c r="P21" s="55">
        <f>P18+(M23/100-N7)*D3</f>
        <v>0.4233833431825671</v>
      </c>
      <c r="Q21" s="35"/>
    </row>
    <row r="22" spans="5:17" x14ac:dyDescent="0.25">
      <c r="E22" t="s">
        <v>49</v>
      </c>
      <c r="F22" s="7">
        <v>8157968</v>
      </c>
      <c r="G22" s="34">
        <f t="shared" si="1"/>
        <v>0.18775190856156204</v>
      </c>
      <c r="H22" s="7">
        <f t="shared" si="2"/>
        <v>58.665599999999998</v>
      </c>
      <c r="I22" s="7">
        <f t="shared" si="3"/>
        <v>41.334400000000002</v>
      </c>
      <c r="J22" s="35">
        <v>0.03</v>
      </c>
      <c r="L22" s="59" t="s">
        <v>4</v>
      </c>
      <c r="M22" s="60" t="s">
        <v>5</v>
      </c>
      <c r="O22" s="247" t="s">
        <v>56</v>
      </c>
      <c r="P22" s="248"/>
    </row>
    <row r="23" spans="5:17" ht="15.75" thickBot="1" x14ac:dyDescent="0.3">
      <c r="E23" t="s">
        <v>50</v>
      </c>
      <c r="F23" s="7">
        <v>1879469</v>
      </c>
      <c r="G23" s="34">
        <f t="shared" si="1"/>
        <v>4.325512086248566E-2</v>
      </c>
      <c r="H23" s="7">
        <f t="shared" si="2"/>
        <v>46.711500000000001</v>
      </c>
      <c r="I23" s="7">
        <f t="shared" si="3"/>
        <v>53.288499999999999</v>
      </c>
      <c r="J23" s="35">
        <v>0.05</v>
      </c>
      <c r="L23" s="63">
        <f>SUMPRODUCT(H20:H23,G20:G23)</f>
        <v>48.282386924445973</v>
      </c>
      <c r="M23" s="64">
        <f>SUMPRODUCT(I20:I23,G20:G23)</f>
        <v>51.717613075554027</v>
      </c>
      <c r="O23" s="56">
        <f>(L23/100-M7)*C3</f>
        <v>-2.3362766165531779E-2</v>
      </c>
      <c r="P23" s="57">
        <f>(M23/100-N7)*C3</f>
        <v>2.3362766165531779E-2</v>
      </c>
    </row>
    <row r="24" spans="5:17" ht="15.75" thickBot="1" x14ac:dyDescent="0.3">
      <c r="O24" s="58"/>
      <c r="P24" s="58"/>
    </row>
    <row r="25" spans="5:17" x14ac:dyDescent="0.25">
      <c r="E25" s="47" t="s">
        <v>60</v>
      </c>
      <c r="F25" s="36"/>
      <c r="G25" s="36"/>
      <c r="H25" s="36"/>
      <c r="I25" s="36"/>
      <c r="J25" s="36"/>
      <c r="K25" s="36"/>
      <c r="L25" s="36"/>
      <c r="M25" s="36"/>
      <c r="N25" s="36"/>
      <c r="O25" s="247" t="s">
        <v>53</v>
      </c>
      <c r="P25" s="248"/>
    </row>
    <row r="26" spans="5:17" ht="15.75" thickBot="1" x14ac:dyDescent="0.3">
      <c r="E26" s="37"/>
      <c r="F26" s="38"/>
      <c r="G26" s="38"/>
      <c r="H26" s="38"/>
      <c r="I26" s="38"/>
      <c r="J26" s="38"/>
      <c r="K26" s="38"/>
      <c r="L26" s="38"/>
      <c r="M26" s="38"/>
      <c r="N26" s="38"/>
      <c r="O26" s="67" t="s">
        <v>4</v>
      </c>
      <c r="P26" s="68" t="s">
        <v>5</v>
      </c>
    </row>
    <row r="27" spans="5:17" ht="15.75" thickBot="1" x14ac:dyDescent="0.3">
      <c r="E27" s="37"/>
      <c r="F27" s="38"/>
      <c r="G27" s="38"/>
      <c r="H27" s="38"/>
      <c r="I27" s="38"/>
      <c r="J27" s="38"/>
      <c r="K27" s="38"/>
      <c r="L27" s="235" t="s">
        <v>55</v>
      </c>
      <c r="M27" s="237"/>
      <c r="N27" s="38"/>
      <c r="O27" s="52">
        <v>0.5766166568174329</v>
      </c>
      <c r="P27" s="53">
        <v>0.4233833431825671</v>
      </c>
    </row>
    <row r="28" spans="5:17" x14ac:dyDescent="0.25">
      <c r="E28" s="37"/>
      <c r="F28" s="38" t="s">
        <v>41</v>
      </c>
      <c r="G28" s="38" t="s">
        <v>51</v>
      </c>
      <c r="H28" s="38" t="s">
        <v>4</v>
      </c>
      <c r="I28" s="38" t="s">
        <v>5</v>
      </c>
      <c r="J28" s="39" t="s">
        <v>52</v>
      </c>
      <c r="K28" s="38"/>
      <c r="L28" s="59" t="s">
        <v>4</v>
      </c>
      <c r="M28" s="60" t="s">
        <v>5</v>
      </c>
      <c r="N28" s="38"/>
      <c r="O28" s="245" t="s">
        <v>54</v>
      </c>
      <c r="P28" s="246"/>
    </row>
    <row r="29" spans="5:17" x14ac:dyDescent="0.25">
      <c r="E29" s="37" t="s">
        <v>47</v>
      </c>
      <c r="F29" s="40">
        <v>22770930</v>
      </c>
      <c r="G29" s="41">
        <v>0.52406255665892898</v>
      </c>
      <c r="H29" s="40">
        <v>45.95</v>
      </c>
      <c r="I29" s="40">
        <v>54.05</v>
      </c>
      <c r="J29" s="42">
        <v>0</v>
      </c>
      <c r="K29" s="38"/>
      <c r="L29" s="61">
        <v>0.48885673773996685</v>
      </c>
      <c r="M29" s="62">
        <v>0.51114326226003315</v>
      </c>
      <c r="N29" s="38"/>
      <c r="O29" s="67" t="s">
        <v>4</v>
      </c>
      <c r="P29" s="68" t="s">
        <v>5</v>
      </c>
    </row>
    <row r="30" spans="5:17" ht="15.75" thickBot="1" x14ac:dyDescent="0.3">
      <c r="E30" s="37" t="s">
        <v>48</v>
      </c>
      <c r="F30" s="40">
        <v>10642419</v>
      </c>
      <c r="G30" s="41">
        <v>0.24493041391702328</v>
      </c>
      <c r="H30" s="40">
        <v>48.513500000000001</v>
      </c>
      <c r="I30" s="40">
        <v>51.486499999999999</v>
      </c>
      <c r="J30" s="42">
        <v>0.17</v>
      </c>
      <c r="K30" s="38"/>
      <c r="L30" s="231" t="s">
        <v>0</v>
      </c>
      <c r="M30" s="233"/>
      <c r="N30" s="38"/>
      <c r="O30" s="54">
        <v>0.55638512132783979</v>
      </c>
      <c r="P30" s="55">
        <v>0.4233833431825671</v>
      </c>
    </row>
    <row r="31" spans="5:17" x14ac:dyDescent="0.25">
      <c r="E31" s="37" t="s">
        <v>49</v>
      </c>
      <c r="F31" s="40">
        <v>8157968</v>
      </c>
      <c r="G31" s="41">
        <v>0.18775190856156204</v>
      </c>
      <c r="H31" s="40">
        <v>58.665599999999998</v>
      </c>
      <c r="I31" s="40">
        <v>41.334400000000002</v>
      </c>
      <c r="J31" s="42">
        <v>0.03</v>
      </c>
      <c r="K31" s="38"/>
      <c r="L31" s="59" t="s">
        <v>4</v>
      </c>
      <c r="M31" s="60" t="s">
        <v>5</v>
      </c>
      <c r="N31" s="38"/>
      <c r="O31" s="247" t="s">
        <v>56</v>
      </c>
      <c r="P31" s="248"/>
    </row>
    <row r="32" spans="5:17" ht="15.75" thickBot="1" x14ac:dyDescent="0.3">
      <c r="E32" s="43" t="s">
        <v>50</v>
      </c>
      <c r="F32" s="44">
        <v>1879469</v>
      </c>
      <c r="G32" s="45">
        <v>4.325512086248566E-2</v>
      </c>
      <c r="H32" s="44">
        <v>46.711500000000001</v>
      </c>
      <c r="I32" s="44">
        <v>53.288499999999999</v>
      </c>
      <c r="J32" s="80">
        <v>0.05</v>
      </c>
      <c r="K32" s="46"/>
      <c r="L32" s="63">
        <v>48.99819605911847</v>
      </c>
      <c r="M32" s="64">
        <v>51.00180394088153</v>
      </c>
      <c r="N32" s="46"/>
      <c r="O32" s="56">
        <v>-2.0231535489593146E-2</v>
      </c>
      <c r="P32" s="57">
        <v>2.0231535489593146E-2</v>
      </c>
    </row>
    <row r="33" spans="5:16" x14ac:dyDescent="0.25">
      <c r="O33" s="58"/>
      <c r="P33" s="58"/>
    </row>
    <row r="34" spans="5:16" ht="15.75" thickBot="1" x14ac:dyDescent="0.3">
      <c r="O34" s="58"/>
      <c r="P34" s="58"/>
    </row>
    <row r="35" spans="5:16" x14ac:dyDescent="0.25">
      <c r="E35" s="47" t="s">
        <v>57</v>
      </c>
      <c r="F35" s="36"/>
      <c r="G35" s="36"/>
      <c r="H35" s="36"/>
      <c r="I35" s="36"/>
      <c r="J35" s="36"/>
      <c r="K35" s="36"/>
      <c r="L35" s="36"/>
      <c r="M35" s="36"/>
      <c r="N35" s="36"/>
      <c r="O35" s="247" t="s">
        <v>53</v>
      </c>
      <c r="P35" s="248"/>
    </row>
    <row r="36" spans="5:16" ht="15.75" thickBot="1" x14ac:dyDescent="0.3">
      <c r="E36" s="37"/>
      <c r="F36" s="38"/>
      <c r="G36" s="38"/>
      <c r="H36" s="38"/>
      <c r="I36" s="38"/>
      <c r="J36" s="38"/>
      <c r="K36" s="38"/>
      <c r="L36" s="38"/>
      <c r="M36" s="38"/>
      <c r="N36" s="38"/>
      <c r="O36" s="50" t="s">
        <v>4</v>
      </c>
      <c r="P36" s="51" t="s">
        <v>5</v>
      </c>
    </row>
    <row r="37" spans="5:16" ht="15.75" thickBot="1" x14ac:dyDescent="0.3">
      <c r="E37" s="37"/>
      <c r="F37" s="38"/>
      <c r="G37" s="38"/>
      <c r="H37" s="38"/>
      <c r="I37" s="38"/>
      <c r="J37" s="38"/>
      <c r="K37" s="38"/>
      <c r="L37" s="235" t="s">
        <v>55</v>
      </c>
      <c r="M37" s="237"/>
      <c r="N37" s="38"/>
      <c r="O37" s="52">
        <v>0.54824748614116703</v>
      </c>
      <c r="P37" s="53">
        <v>0.45175251385883297</v>
      </c>
    </row>
    <row r="38" spans="5:16" x14ac:dyDescent="0.25">
      <c r="E38" s="37"/>
      <c r="F38" s="38" t="s">
        <v>41</v>
      </c>
      <c r="G38" s="38" t="s">
        <v>51</v>
      </c>
      <c r="H38" s="38" t="s">
        <v>4</v>
      </c>
      <c r="I38" s="38" t="s">
        <v>5</v>
      </c>
      <c r="J38" s="39" t="s">
        <v>52</v>
      </c>
      <c r="K38" s="38"/>
      <c r="L38" s="59" t="s">
        <v>4</v>
      </c>
      <c r="M38" s="60" t="s">
        <v>5</v>
      </c>
      <c r="N38" s="38"/>
      <c r="O38" s="245" t="s">
        <v>54</v>
      </c>
      <c r="P38" s="246"/>
    </row>
    <row r="39" spans="5:16" x14ac:dyDescent="0.25">
      <c r="E39" s="37" t="s">
        <v>47</v>
      </c>
      <c r="F39" s="40">
        <v>22770930</v>
      </c>
      <c r="G39" s="41">
        <v>0.52406255665892898</v>
      </c>
      <c r="H39" s="40">
        <v>40.895500000000006</v>
      </c>
      <c r="I39" s="40">
        <v>59.104499999999994</v>
      </c>
      <c r="J39" s="42">
        <v>0.11</v>
      </c>
      <c r="K39" s="38"/>
      <c r="L39" s="61">
        <v>0.44440814476017759</v>
      </c>
      <c r="M39" s="62">
        <v>0.55559185523982246</v>
      </c>
      <c r="N39" s="38"/>
      <c r="O39" s="50" t="s">
        <v>4</v>
      </c>
      <c r="P39" s="51" t="s">
        <v>5</v>
      </c>
    </row>
    <row r="40" spans="5:16" ht="15.75" thickBot="1" x14ac:dyDescent="0.3">
      <c r="E40" s="37" t="s">
        <v>48</v>
      </c>
      <c r="F40" s="40">
        <v>10642419</v>
      </c>
      <c r="G40" s="41">
        <v>0.24493041391702328</v>
      </c>
      <c r="H40" s="40">
        <v>40.914999999999999</v>
      </c>
      <c r="I40" s="40">
        <v>59.085000000000001</v>
      </c>
      <c r="J40" s="42">
        <v>0.3</v>
      </c>
      <c r="K40" s="38"/>
      <c r="L40" s="231" t="s">
        <v>0</v>
      </c>
      <c r="M40" s="233"/>
      <c r="N40" s="38"/>
      <c r="O40" s="54">
        <v>0.53560168791000506</v>
      </c>
      <c r="P40" s="55">
        <v>0.45175251385883297</v>
      </c>
    </row>
    <row r="41" spans="5:16" x14ac:dyDescent="0.25">
      <c r="E41" s="37" t="s">
        <v>49</v>
      </c>
      <c r="F41" s="40">
        <v>8157968</v>
      </c>
      <c r="G41" s="41">
        <v>0.18775190856156204</v>
      </c>
      <c r="H41" s="40">
        <v>60.48</v>
      </c>
      <c r="I41" s="40">
        <v>39.520000000000003</v>
      </c>
      <c r="J41" s="38">
        <v>0</v>
      </c>
      <c r="K41" s="38"/>
      <c r="L41" s="59" t="s">
        <v>4</v>
      </c>
      <c r="M41" s="60" t="s">
        <v>5</v>
      </c>
      <c r="N41" s="38"/>
      <c r="O41" s="247" t="s">
        <v>56</v>
      </c>
      <c r="P41" s="248"/>
    </row>
    <row r="42" spans="5:16" ht="15.75" thickBot="1" x14ac:dyDescent="0.3">
      <c r="E42" s="43" t="s">
        <v>50</v>
      </c>
      <c r="F42" s="44">
        <v>1879469</v>
      </c>
      <c r="G42" s="45">
        <v>4.325512086248566E-2</v>
      </c>
      <c r="H42" s="44">
        <v>49.17</v>
      </c>
      <c r="I42" s="44">
        <v>50.83</v>
      </c>
      <c r="J42" s="46">
        <v>0</v>
      </c>
      <c r="K42" s="46"/>
      <c r="L42" s="63">
        <v>44.935217893871929</v>
      </c>
      <c r="M42" s="64">
        <v>55.064782106128071</v>
      </c>
      <c r="N42" s="46"/>
      <c r="O42" s="56">
        <v>-1.2645798231161999E-2</v>
      </c>
      <c r="P42" s="57">
        <v>1.2645798231162023E-2</v>
      </c>
    </row>
  </sheetData>
  <mergeCells count="20">
    <mergeCell ref="O22:P22"/>
    <mergeCell ref="O35:P35"/>
    <mergeCell ref="L37:M37"/>
    <mergeCell ref="O38:P38"/>
    <mergeCell ref="L40:M40"/>
    <mergeCell ref="O25:P25"/>
    <mergeCell ref="L18:M18"/>
    <mergeCell ref="L21:M21"/>
    <mergeCell ref="O19:P19"/>
    <mergeCell ref="E1:F1"/>
    <mergeCell ref="H1:K1"/>
    <mergeCell ref="M1:N1"/>
    <mergeCell ref="M5:N5"/>
    <mergeCell ref="H5:K5"/>
    <mergeCell ref="O16:P16"/>
    <mergeCell ref="L27:M27"/>
    <mergeCell ref="O28:P28"/>
    <mergeCell ref="L30:M30"/>
    <mergeCell ref="O31:P31"/>
    <mergeCell ref="O41:P4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E5:Q30"/>
  <sheetViews>
    <sheetView topLeftCell="A25" zoomScale="85" zoomScaleNormal="85" workbookViewId="0">
      <selection activeCell="R53" sqref="R53"/>
    </sheetView>
    <sheetView workbookViewId="1"/>
  </sheetViews>
  <sheetFormatPr defaultRowHeight="15" x14ac:dyDescent="0.25"/>
  <sheetData>
    <row r="5" spans="5:16" x14ac:dyDescent="0.25">
      <c r="E5" s="8"/>
    </row>
    <row r="8" spans="5:16" x14ac:dyDescent="0.25">
      <c r="E8" s="8" t="s">
        <v>5</v>
      </c>
      <c r="F8" s="66" t="s">
        <v>9</v>
      </c>
      <c r="G8" s="66" t="s">
        <v>65</v>
      </c>
      <c r="H8" s="66" t="s">
        <v>62</v>
      </c>
      <c r="I8" s="66" t="s">
        <v>63</v>
      </c>
      <c r="J8" s="66" t="s">
        <v>67</v>
      </c>
      <c r="K8" s="66" t="s">
        <v>64</v>
      </c>
    </row>
    <row r="9" spans="5:16" x14ac:dyDescent="0.25">
      <c r="E9" s="8" t="s">
        <v>66</v>
      </c>
      <c r="F9" s="65">
        <v>2002</v>
      </c>
      <c r="G9" s="65">
        <v>55</v>
      </c>
      <c r="H9" s="65">
        <v>252</v>
      </c>
      <c r="I9" s="65">
        <v>769</v>
      </c>
      <c r="J9" s="65">
        <v>531</v>
      </c>
      <c r="K9" s="65">
        <v>248</v>
      </c>
    </row>
    <row r="10" spans="5:16" x14ac:dyDescent="0.25">
      <c r="E10" s="8" t="s">
        <v>68</v>
      </c>
      <c r="F10" s="81">
        <v>1</v>
      </c>
      <c r="G10" s="81">
        <f>G9/$F$9</f>
        <v>2.7472527472527472E-2</v>
      </c>
      <c r="H10" s="81">
        <f t="shared" ref="H10:K10" si="0">H9/$F$9</f>
        <v>0.12587412587412589</v>
      </c>
      <c r="I10" s="81">
        <f t="shared" si="0"/>
        <v>0.3841158841158841</v>
      </c>
      <c r="J10" s="81">
        <f t="shared" si="0"/>
        <v>0.26523476523476525</v>
      </c>
      <c r="K10" s="81">
        <f t="shared" si="0"/>
        <v>0.12387612387612387</v>
      </c>
    </row>
    <row r="11" spans="5:16" x14ac:dyDescent="0.25">
      <c r="E11" s="8" t="s">
        <v>73</v>
      </c>
      <c r="F11" s="81">
        <f>SUM(G10:K10)</f>
        <v>0.92657342657342667</v>
      </c>
      <c r="G11" s="81">
        <f>G10/$F$11</f>
        <v>2.9649595687331533E-2</v>
      </c>
      <c r="H11" s="81">
        <f>H10/$F$11</f>
        <v>0.13584905660377358</v>
      </c>
      <c r="I11" s="81">
        <f>I10/$F$11</f>
        <v>0.41455525606468996</v>
      </c>
      <c r="J11" s="81">
        <f>J10/$F$11</f>
        <v>0.28625336927223716</v>
      </c>
      <c r="K11" s="81">
        <f>K10/$F$11</f>
        <v>0.13369272237196764</v>
      </c>
    </row>
    <row r="12" spans="5:16" x14ac:dyDescent="0.25">
      <c r="E12" s="11" t="s">
        <v>61</v>
      </c>
      <c r="F12" s="81">
        <v>0.2</v>
      </c>
      <c r="G12" s="81">
        <v>0.15</v>
      </c>
      <c r="H12" s="81">
        <v>0.16</v>
      </c>
      <c r="I12" s="81">
        <v>0.19</v>
      </c>
      <c r="J12" s="81">
        <v>0.24</v>
      </c>
      <c r="K12" s="81">
        <v>0.26</v>
      </c>
    </row>
    <row r="14" spans="5:16" x14ac:dyDescent="0.25">
      <c r="E14" s="11" t="s">
        <v>69</v>
      </c>
    </row>
    <row r="15" spans="5:16" x14ac:dyDescent="0.25">
      <c r="E15" s="8" t="s">
        <v>5</v>
      </c>
      <c r="F15" s="81">
        <v>0.3</v>
      </c>
      <c r="G15" s="81">
        <v>0.44</v>
      </c>
      <c r="H15" s="81">
        <v>0.35</v>
      </c>
      <c r="I15" s="81">
        <v>0.33</v>
      </c>
      <c r="J15" s="81">
        <v>0.27</v>
      </c>
      <c r="K15" s="81">
        <v>0.23</v>
      </c>
      <c r="M15" s="81"/>
      <c r="N15" s="81"/>
      <c r="O15" s="81"/>
      <c r="P15" s="81"/>
    </row>
    <row r="16" spans="5:16" x14ac:dyDescent="0.25">
      <c r="E16" s="8" t="s">
        <v>4</v>
      </c>
      <c r="F16" s="81">
        <v>0.43</v>
      </c>
      <c r="G16" s="81">
        <v>0.28999999999999998</v>
      </c>
      <c r="H16" s="81">
        <v>0.41</v>
      </c>
      <c r="I16" s="81">
        <v>0.37</v>
      </c>
      <c r="J16" s="81">
        <v>0.49</v>
      </c>
      <c r="K16" s="81">
        <v>0.59</v>
      </c>
      <c r="M16" s="81"/>
      <c r="N16" s="81"/>
      <c r="O16" s="81"/>
      <c r="P16" s="81"/>
    </row>
    <row r="17" spans="5:17" x14ac:dyDescent="0.25">
      <c r="E17" s="8" t="s">
        <v>32</v>
      </c>
      <c r="F17" s="81">
        <v>0.19</v>
      </c>
      <c r="G17" s="81">
        <v>0.22</v>
      </c>
      <c r="H17" s="81">
        <v>0.17</v>
      </c>
      <c r="I17" s="81">
        <v>0.22</v>
      </c>
      <c r="J17" s="81">
        <v>0.15</v>
      </c>
      <c r="K17" s="81">
        <v>0.13</v>
      </c>
    </row>
    <row r="18" spans="5:17" x14ac:dyDescent="0.25">
      <c r="E18" s="8" t="s">
        <v>18</v>
      </c>
      <c r="F18" s="81">
        <v>0.08</v>
      </c>
      <c r="G18" s="81">
        <v>0.05</v>
      </c>
      <c r="H18" s="81">
        <v>7.0000000000000007E-2</v>
      </c>
      <c r="I18" s="81">
        <v>0.08</v>
      </c>
      <c r="J18" s="81">
        <v>0.08</v>
      </c>
      <c r="K18" s="81">
        <v>0.05</v>
      </c>
    </row>
    <row r="20" spans="5:17" x14ac:dyDescent="0.25">
      <c r="E20" s="11" t="s">
        <v>36</v>
      </c>
    </row>
    <row r="21" spans="5:17" x14ac:dyDescent="0.25">
      <c r="E21" s="8" t="s">
        <v>5</v>
      </c>
      <c r="F21" s="81">
        <f>F15/SUM(F15:F16)</f>
        <v>0.41095890410958902</v>
      </c>
      <c r="G21" s="81">
        <f t="shared" ref="G21:K21" si="1">G15/SUM(G15:G16)</f>
        <v>0.60273972602739723</v>
      </c>
      <c r="H21" s="81">
        <f t="shared" si="1"/>
        <v>0.46052631578947367</v>
      </c>
      <c r="I21" s="81">
        <f t="shared" si="1"/>
        <v>0.47142857142857147</v>
      </c>
      <c r="J21" s="81">
        <f t="shared" si="1"/>
        <v>0.35526315789473684</v>
      </c>
      <c r="K21" s="81">
        <f t="shared" si="1"/>
        <v>0.28048780487804881</v>
      </c>
    </row>
    <row r="22" spans="5:17" x14ac:dyDescent="0.25">
      <c r="E22" s="8" t="s">
        <v>4</v>
      </c>
      <c r="F22" s="81">
        <f>F16/SUM(F15:F16)</f>
        <v>0.58904109589041098</v>
      </c>
      <c r="G22" s="81">
        <f t="shared" ref="G22:K22" si="2">G16/SUM(G15:G16)</f>
        <v>0.39726027397260272</v>
      </c>
      <c r="H22" s="81">
        <f t="shared" si="2"/>
        <v>0.53947368421052633</v>
      </c>
      <c r="I22" s="81">
        <f t="shared" si="2"/>
        <v>0.52857142857142858</v>
      </c>
      <c r="J22" s="81">
        <f t="shared" si="2"/>
        <v>0.64473684210526316</v>
      </c>
      <c r="K22" s="81">
        <f t="shared" si="2"/>
        <v>0.71951219512195119</v>
      </c>
    </row>
    <row r="23" spans="5:17" x14ac:dyDescent="0.25">
      <c r="F23" s="65"/>
      <c r="G23" s="65"/>
      <c r="H23" s="65"/>
      <c r="I23" s="65"/>
      <c r="J23" s="65"/>
      <c r="K23" s="65"/>
      <c r="M23" t="s">
        <v>9</v>
      </c>
      <c r="N23" s="116" t="s">
        <v>65</v>
      </c>
      <c r="O23" s="116" t="s">
        <v>62</v>
      </c>
      <c r="P23" s="116" t="s">
        <v>63</v>
      </c>
      <c r="Q23" s="116" t="s">
        <v>99</v>
      </c>
    </row>
    <row r="24" spans="5:17" x14ac:dyDescent="0.25">
      <c r="E24" s="11" t="s">
        <v>70</v>
      </c>
      <c r="F24" s="81">
        <f>SUM(F17:F18)</f>
        <v>0.27</v>
      </c>
      <c r="G24" s="81">
        <f t="shared" ref="G24:K24" si="3">SUM(G17:G18)</f>
        <v>0.27</v>
      </c>
      <c r="H24" s="81">
        <f t="shared" si="3"/>
        <v>0.24000000000000002</v>
      </c>
      <c r="I24" s="81">
        <f t="shared" si="3"/>
        <v>0.3</v>
      </c>
      <c r="J24" s="81">
        <f t="shared" si="3"/>
        <v>0.22999999999999998</v>
      </c>
      <c r="K24" s="81">
        <f t="shared" si="3"/>
        <v>0.18</v>
      </c>
      <c r="M24" s="81">
        <v>0.15</v>
      </c>
      <c r="N24" s="81">
        <v>0.13</v>
      </c>
      <c r="O24" s="81">
        <v>0.13</v>
      </c>
      <c r="P24" s="81">
        <v>0.16</v>
      </c>
      <c r="Q24" s="81">
        <v>0.15</v>
      </c>
    </row>
    <row r="25" spans="5:17" x14ac:dyDescent="0.25">
      <c r="E25" s="11" t="s">
        <v>71</v>
      </c>
      <c r="F25" s="81">
        <f>F12</f>
        <v>0.2</v>
      </c>
      <c r="G25" s="81">
        <f t="shared" ref="G25:K25" si="4">G12</f>
        <v>0.15</v>
      </c>
      <c r="H25" s="81">
        <f t="shared" si="4"/>
        <v>0.16</v>
      </c>
      <c r="I25" s="81">
        <f t="shared" si="4"/>
        <v>0.19</v>
      </c>
      <c r="J25" s="81">
        <f t="shared" si="4"/>
        <v>0.24</v>
      </c>
      <c r="K25" s="81">
        <f t="shared" si="4"/>
        <v>0.26</v>
      </c>
      <c r="M25" s="81">
        <v>0.19</v>
      </c>
      <c r="N25" s="81">
        <v>0.05</v>
      </c>
      <c r="O25" s="81">
        <v>7.0000000000000007E-2</v>
      </c>
      <c r="P25" s="81">
        <v>0.14000000000000001</v>
      </c>
      <c r="Q25" s="81">
        <v>0.27</v>
      </c>
    </row>
    <row r="26" spans="5:17" x14ac:dyDescent="0.25">
      <c r="F26" s="65"/>
      <c r="G26" s="65"/>
      <c r="H26" s="65"/>
      <c r="I26" s="65"/>
      <c r="J26" s="65"/>
      <c r="K26" s="65"/>
    </row>
    <row r="27" spans="5:17" x14ac:dyDescent="0.25">
      <c r="E27" s="11" t="s">
        <v>72</v>
      </c>
      <c r="F27" s="82">
        <f>F24-F25</f>
        <v>7.0000000000000007E-2</v>
      </c>
      <c r="G27" s="82">
        <f t="shared" ref="G27:K27" si="5">G24-G25</f>
        <v>0.12000000000000002</v>
      </c>
      <c r="H27" s="82">
        <f t="shared" si="5"/>
        <v>8.0000000000000016E-2</v>
      </c>
      <c r="I27" s="82">
        <f t="shared" si="5"/>
        <v>0.10999999999999999</v>
      </c>
      <c r="J27" s="83">
        <f t="shared" si="5"/>
        <v>-1.0000000000000009E-2</v>
      </c>
      <c r="K27" s="83">
        <f t="shared" si="5"/>
        <v>-8.0000000000000016E-2</v>
      </c>
    </row>
    <row r="28" spans="5:17" x14ac:dyDescent="0.25">
      <c r="E28" s="11" t="s">
        <v>74</v>
      </c>
      <c r="F28" s="82">
        <f>F25/F24</f>
        <v>0.7407407407407407</v>
      </c>
      <c r="G28" s="82">
        <f t="shared" ref="G28:K28" si="6">G25/G24</f>
        <v>0.55555555555555547</v>
      </c>
      <c r="H28" s="82">
        <f t="shared" si="6"/>
        <v>0.66666666666666663</v>
      </c>
      <c r="I28" s="82">
        <f t="shared" si="6"/>
        <v>0.63333333333333341</v>
      </c>
      <c r="J28" s="83">
        <f t="shared" si="6"/>
        <v>1.0434782608695652</v>
      </c>
      <c r="K28" s="83">
        <f t="shared" si="6"/>
        <v>1.4444444444444446</v>
      </c>
    </row>
    <row r="30" spans="5:17" x14ac:dyDescent="0.25">
      <c r="G30" s="35">
        <f>SUMPRODUCT(G28:I28,G9:I9)/SUM(G9:I9)</f>
        <v>0.63716439487814958</v>
      </c>
      <c r="J30" s="35"/>
      <c r="K30" s="35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F5:AG29"/>
  <sheetViews>
    <sheetView zoomScaleNormal="100" workbookViewId="0">
      <selection activeCell="M12" sqref="M12"/>
    </sheetView>
    <sheetView workbookViewId="1"/>
  </sheetViews>
  <sheetFormatPr defaultRowHeight="15" x14ac:dyDescent="0.25"/>
  <cols>
    <col min="6" max="6" width="3.5703125" bestFit="1" customWidth="1"/>
    <col min="7" max="7" width="12.7109375" bestFit="1" customWidth="1"/>
    <col min="8" max="12" width="10.7109375" bestFit="1" customWidth="1"/>
    <col min="14" max="14" width="7.140625" bestFit="1" customWidth="1"/>
    <col min="15" max="15" width="7.140625" customWidth="1"/>
    <col min="17" max="22" width="10.7109375" bestFit="1" customWidth="1"/>
    <col min="23" max="23" width="10.7109375" customWidth="1"/>
    <col min="26" max="29" width="10.7109375" bestFit="1" customWidth="1"/>
    <col min="30" max="30" width="11.42578125" customWidth="1"/>
    <col min="31" max="31" width="11.7109375" customWidth="1"/>
    <col min="32" max="33" width="10.7109375" bestFit="1" customWidth="1"/>
  </cols>
  <sheetData>
    <row r="5" spans="6:33" x14ac:dyDescent="0.25">
      <c r="G5" s="238" t="s">
        <v>4</v>
      </c>
      <c r="H5" s="238"/>
      <c r="I5" s="238" t="s">
        <v>5</v>
      </c>
      <c r="J5" s="238"/>
      <c r="K5" s="238" t="s">
        <v>7</v>
      </c>
      <c r="L5" s="238"/>
      <c r="P5" t="s">
        <v>9</v>
      </c>
      <c r="Q5" s="238" t="s">
        <v>4</v>
      </c>
      <c r="R5" s="238"/>
      <c r="S5" s="238" t="s">
        <v>5</v>
      </c>
      <c r="T5" s="238"/>
      <c r="U5" s="238" t="s">
        <v>7</v>
      </c>
      <c r="V5" s="238"/>
      <c r="W5" s="2"/>
      <c r="Z5" s="238" t="s">
        <v>4</v>
      </c>
      <c r="AA5" s="238"/>
      <c r="AB5" s="238" t="s">
        <v>5</v>
      </c>
      <c r="AC5" s="238"/>
      <c r="AD5" s="238" t="s">
        <v>14</v>
      </c>
      <c r="AE5" s="238"/>
      <c r="AF5" s="238" t="s">
        <v>15</v>
      </c>
      <c r="AG5" s="238"/>
    </row>
    <row r="6" spans="6:33" x14ac:dyDescent="0.25">
      <c r="G6" s="1">
        <v>41767</v>
      </c>
      <c r="H6" s="1">
        <v>41796</v>
      </c>
      <c r="I6" s="1">
        <v>41767</v>
      </c>
      <c r="J6" s="1">
        <v>41796</v>
      </c>
      <c r="K6" s="1">
        <v>41767</v>
      </c>
      <c r="L6" s="1">
        <v>41796</v>
      </c>
      <c r="N6" t="s">
        <v>8</v>
      </c>
      <c r="Q6" s="5" t="s">
        <v>11</v>
      </c>
      <c r="R6" s="5" t="s">
        <v>12</v>
      </c>
      <c r="S6" s="5" t="s">
        <v>11</v>
      </c>
      <c r="T6" s="5" t="s">
        <v>12</v>
      </c>
      <c r="U6" s="5" t="s">
        <v>11</v>
      </c>
      <c r="V6" s="5" t="s">
        <v>12</v>
      </c>
      <c r="W6" s="5"/>
      <c r="Z6" s="5" t="s">
        <v>11</v>
      </c>
      <c r="AA6" s="5" t="s">
        <v>12</v>
      </c>
      <c r="AB6" s="1">
        <v>41767</v>
      </c>
      <c r="AC6" s="1">
        <v>41796</v>
      </c>
      <c r="AD6" s="1">
        <v>41767</v>
      </c>
      <c r="AE6" s="1">
        <v>41796</v>
      </c>
      <c r="AF6" s="1">
        <v>41767</v>
      </c>
      <c r="AG6" s="1">
        <v>41796</v>
      </c>
    </row>
    <row r="7" spans="6:33" x14ac:dyDescent="0.25">
      <c r="F7" t="s">
        <v>0</v>
      </c>
      <c r="G7">
        <v>30</v>
      </c>
      <c r="H7">
        <v>26</v>
      </c>
      <c r="I7">
        <v>27</v>
      </c>
      <c r="J7">
        <v>25</v>
      </c>
      <c r="K7">
        <v>7</v>
      </c>
      <c r="L7">
        <v>4</v>
      </c>
      <c r="N7" s="3">
        <v>0.42099999999999999</v>
      </c>
      <c r="O7" s="3"/>
      <c r="Q7" s="4">
        <f t="shared" ref="Q7:V7" si="0">SUMPRODUCT(G7:G11,$N$7:$N$11)</f>
        <v>37.881</v>
      </c>
      <c r="R7" s="4">
        <f t="shared" si="0"/>
        <v>34.922000000000004</v>
      </c>
      <c r="S7" s="4">
        <f t="shared" si="0"/>
        <v>20.146000000000001</v>
      </c>
      <c r="T7" s="4">
        <f t="shared" si="0"/>
        <v>19.146000000000001</v>
      </c>
      <c r="U7" s="4">
        <f t="shared" si="0"/>
        <v>10.57</v>
      </c>
      <c r="V7" s="4">
        <f t="shared" si="0"/>
        <v>6.6219999999999999</v>
      </c>
      <c r="W7" s="4"/>
      <c r="Y7" t="s">
        <v>13</v>
      </c>
      <c r="Z7">
        <v>47</v>
      </c>
      <c r="AA7">
        <v>46</v>
      </c>
      <c r="AB7">
        <v>36</v>
      </c>
      <c r="AC7">
        <v>38</v>
      </c>
      <c r="AD7">
        <f>12</f>
        <v>12</v>
      </c>
      <c r="AE7">
        <f>11</f>
        <v>11</v>
      </c>
      <c r="AF7">
        <v>5</v>
      </c>
      <c r="AG7">
        <v>5</v>
      </c>
    </row>
    <row r="8" spans="6:33" x14ac:dyDescent="0.25">
      <c r="F8" t="s">
        <v>1</v>
      </c>
      <c r="G8">
        <v>29</v>
      </c>
      <c r="H8">
        <v>31</v>
      </c>
      <c r="I8">
        <v>19</v>
      </c>
      <c r="J8">
        <v>21</v>
      </c>
      <c r="K8">
        <v>8</v>
      </c>
      <c r="L8">
        <v>6</v>
      </c>
      <c r="N8" s="3">
        <v>0.14399999999999999</v>
      </c>
      <c r="O8" s="3"/>
    </row>
    <row r="9" spans="6:33" x14ac:dyDescent="0.25">
      <c r="F9" t="s">
        <v>2</v>
      </c>
      <c r="G9">
        <v>52</v>
      </c>
      <c r="H9">
        <v>48</v>
      </c>
      <c r="I9">
        <v>12</v>
      </c>
      <c r="J9">
        <v>10</v>
      </c>
      <c r="K9">
        <v>16</v>
      </c>
      <c r="L9">
        <v>11</v>
      </c>
      <c r="N9" s="3">
        <v>0.27800000000000002</v>
      </c>
      <c r="O9" s="3"/>
      <c r="P9" t="s">
        <v>10</v>
      </c>
      <c r="Q9" s="4">
        <f t="shared" ref="Q9:V9" si="1">SUMPRODUCT(G8:G11,$N$8:$N$11)/SUM($N$8:$N$11)</f>
        <v>43.611398963730565</v>
      </c>
      <c r="R9" s="4">
        <f t="shared" si="1"/>
        <v>41.409326424870457</v>
      </c>
      <c r="S9" s="4">
        <f t="shared" si="1"/>
        <v>15.162348877374782</v>
      </c>
      <c r="T9" s="4">
        <f t="shared" si="1"/>
        <v>14.889464594127805</v>
      </c>
      <c r="U9" s="4">
        <f t="shared" si="1"/>
        <v>13.165803108808291</v>
      </c>
      <c r="V9" s="4">
        <f t="shared" si="1"/>
        <v>8.528497409326425</v>
      </c>
      <c r="W9" s="4"/>
      <c r="Y9" s="8" t="s">
        <v>16</v>
      </c>
      <c r="Z9" s="7">
        <f>Z7/(100-AD7-AF7)*100</f>
        <v>56.626506024096393</v>
      </c>
      <c r="AA9" s="7">
        <f>AA7/(100-AE7-AG7)*100</f>
        <v>54.761904761904766</v>
      </c>
      <c r="AB9" s="7">
        <f>AB7/(100-AD7-AF7)*100</f>
        <v>43.373493975903614</v>
      </c>
      <c r="AC9" s="7">
        <f>AC7/(100-AE7-AG7)*100</f>
        <v>45.238095238095241</v>
      </c>
    </row>
    <row r="10" spans="6:33" x14ac:dyDescent="0.25">
      <c r="F10" t="s">
        <v>3</v>
      </c>
      <c r="G10">
        <v>30</v>
      </c>
      <c r="H10">
        <v>34</v>
      </c>
      <c r="I10">
        <v>22</v>
      </c>
      <c r="J10">
        <v>19</v>
      </c>
      <c r="K10">
        <v>15</v>
      </c>
      <c r="L10">
        <v>7</v>
      </c>
      <c r="N10" s="3">
        <v>7.3999999999999996E-2</v>
      </c>
      <c r="O10" s="3"/>
    </row>
    <row r="11" spans="6:33" x14ac:dyDescent="0.25">
      <c r="F11" t="s">
        <v>6</v>
      </c>
      <c r="G11">
        <v>53</v>
      </c>
      <c r="H11">
        <v>44</v>
      </c>
      <c r="I11">
        <v>13</v>
      </c>
      <c r="J11">
        <v>17</v>
      </c>
      <c r="K11">
        <v>11</v>
      </c>
      <c r="L11">
        <v>6</v>
      </c>
      <c r="N11" s="3">
        <v>8.3000000000000004E-2</v>
      </c>
      <c r="O11" s="3"/>
    </row>
    <row r="15" spans="6:33" x14ac:dyDescent="0.25">
      <c r="G15" t="s">
        <v>26</v>
      </c>
      <c r="L15" t="s">
        <v>26</v>
      </c>
    </row>
    <row r="16" spans="6:33" x14ac:dyDescent="0.25">
      <c r="G16" t="s">
        <v>4</v>
      </c>
      <c r="H16" t="s">
        <v>5</v>
      </c>
      <c r="I16" t="s">
        <v>25</v>
      </c>
      <c r="J16" t="s">
        <v>15</v>
      </c>
      <c r="L16" t="s">
        <v>4</v>
      </c>
      <c r="M16" t="s">
        <v>5</v>
      </c>
    </row>
    <row r="17" spans="6:17" x14ac:dyDescent="0.25">
      <c r="F17" t="s">
        <v>0</v>
      </c>
      <c r="G17">
        <v>36</v>
      </c>
      <c r="H17">
        <v>45</v>
      </c>
      <c r="I17">
        <v>14</v>
      </c>
      <c r="J17">
        <v>5</v>
      </c>
      <c r="L17" s="4">
        <f>G17/(SUM($G17:$H17)/100)</f>
        <v>44.444444444444443</v>
      </c>
      <c r="M17" s="4">
        <f>H17/(SUM($G17:$H17)/100)</f>
        <v>55.55555555555555</v>
      </c>
      <c r="N17" s="4">
        <f>SUM(L17:M17)</f>
        <v>100</v>
      </c>
    </row>
    <row r="18" spans="6:17" x14ac:dyDescent="0.25">
      <c r="F18" t="s">
        <v>1</v>
      </c>
      <c r="G18">
        <v>40</v>
      </c>
      <c r="H18">
        <v>43</v>
      </c>
      <c r="I18">
        <v>9</v>
      </c>
      <c r="J18">
        <v>8</v>
      </c>
      <c r="L18" s="4">
        <f t="shared" ref="L18:L21" si="2">G18/(SUM($G18:$H18)/100)</f>
        <v>48.192771084337352</v>
      </c>
      <c r="M18" s="4">
        <f t="shared" ref="M18:M21" si="3">H18/(SUM($G18:$H18)/100)</f>
        <v>51.807228915662655</v>
      </c>
      <c r="N18" s="4">
        <f>SUM(L18:M18)</f>
        <v>100</v>
      </c>
    </row>
    <row r="19" spans="6:17" x14ac:dyDescent="0.25">
      <c r="F19" t="s">
        <v>2</v>
      </c>
      <c r="G19">
        <v>65</v>
      </c>
      <c r="H19">
        <v>22</v>
      </c>
      <c r="I19">
        <v>10</v>
      </c>
      <c r="J19">
        <v>3</v>
      </c>
      <c r="L19" s="4">
        <f t="shared" si="2"/>
        <v>74.712643678160916</v>
      </c>
      <c r="M19" s="4">
        <f t="shared" si="3"/>
        <v>25.287356321839081</v>
      </c>
      <c r="N19" s="4">
        <f>SUM(L19:M19)</f>
        <v>100</v>
      </c>
    </row>
    <row r="20" spans="6:17" x14ac:dyDescent="0.25">
      <c r="F20" t="s">
        <v>3</v>
      </c>
      <c r="G20">
        <v>43</v>
      </c>
      <c r="H20">
        <v>43</v>
      </c>
      <c r="I20">
        <v>9</v>
      </c>
      <c r="J20">
        <v>6</v>
      </c>
      <c r="L20" s="4">
        <f t="shared" si="2"/>
        <v>50</v>
      </c>
      <c r="M20" s="4">
        <f t="shared" si="3"/>
        <v>50</v>
      </c>
      <c r="N20" s="4">
        <f>SUM(L20:M20)</f>
        <v>100</v>
      </c>
    </row>
    <row r="21" spans="6:17" x14ac:dyDescent="0.25">
      <c r="F21" t="s">
        <v>6</v>
      </c>
      <c r="G21">
        <v>56</v>
      </c>
      <c r="H21">
        <v>32</v>
      </c>
      <c r="I21">
        <v>8</v>
      </c>
      <c r="J21">
        <v>4</v>
      </c>
      <c r="L21" s="4">
        <f t="shared" si="2"/>
        <v>63.636363636363633</v>
      </c>
      <c r="M21" s="4">
        <f t="shared" si="3"/>
        <v>36.363636363636367</v>
      </c>
      <c r="N21" s="4">
        <f>SUM(L21:M21)</f>
        <v>100</v>
      </c>
    </row>
    <row r="23" spans="6:17" x14ac:dyDescent="0.25">
      <c r="G23" t="s">
        <v>27</v>
      </c>
      <c r="L23" t="s">
        <v>27</v>
      </c>
    </row>
    <row r="24" spans="6:17" x14ac:dyDescent="0.25">
      <c r="G24" t="s">
        <v>4</v>
      </c>
      <c r="H24" t="s">
        <v>24</v>
      </c>
      <c r="I24" t="s">
        <v>9</v>
      </c>
      <c r="J24" t="s">
        <v>28</v>
      </c>
      <c r="L24" t="s">
        <v>4</v>
      </c>
      <c r="M24" t="s">
        <v>24</v>
      </c>
      <c r="N24" t="s">
        <v>9</v>
      </c>
      <c r="P24" t="s">
        <v>29</v>
      </c>
      <c r="Q24" t="s">
        <v>30</v>
      </c>
    </row>
    <row r="25" spans="6:17" x14ac:dyDescent="0.25">
      <c r="F25" t="s">
        <v>0</v>
      </c>
      <c r="G25" s="9">
        <v>22540695</v>
      </c>
      <c r="H25" s="9">
        <v>20910091</v>
      </c>
      <c r="I25" s="9">
        <f>SUM(G25:H25)</f>
        <v>43450786</v>
      </c>
      <c r="J25" s="9">
        <f>SUM(I25:I29)</f>
        <v>99329857</v>
      </c>
      <c r="L25" s="7">
        <f t="shared" ref="L25:M29" si="4">G25/$I25*100</f>
        <v>51.876380326008373</v>
      </c>
      <c r="M25" s="7">
        <f t="shared" si="4"/>
        <v>48.123619673991627</v>
      </c>
      <c r="N25" s="9">
        <f>SUM(L25:M25)</f>
        <v>100</v>
      </c>
      <c r="P25" s="3">
        <v>2.7199999999999998E-2</v>
      </c>
      <c r="Q25" s="3">
        <v>5.0299999999999997E-2</v>
      </c>
    </row>
    <row r="26" spans="6:17" x14ac:dyDescent="0.25">
      <c r="F26" t="s">
        <v>1</v>
      </c>
      <c r="G26" s="9">
        <v>7267073</v>
      </c>
      <c r="H26" s="9">
        <v>8493558</v>
      </c>
      <c r="I26" s="9">
        <f>SUM(G26:H26)</f>
        <v>15760631</v>
      </c>
      <c r="J26" s="9"/>
      <c r="L26" s="7">
        <f t="shared" si="4"/>
        <v>46.109023172993517</v>
      </c>
      <c r="M26" s="7">
        <f t="shared" si="4"/>
        <v>53.89097682700649</v>
      </c>
      <c r="N26" s="9">
        <f>SUM(L26:M26)</f>
        <v>100</v>
      </c>
    </row>
    <row r="27" spans="6:17" x14ac:dyDescent="0.25">
      <c r="F27" t="s">
        <v>2</v>
      </c>
      <c r="G27" s="9">
        <v>18405389</v>
      </c>
      <c r="H27" s="9">
        <v>7672382</v>
      </c>
      <c r="I27" s="9">
        <f>SUM(G27:H27)</f>
        <v>26077771</v>
      </c>
      <c r="J27" s="9"/>
      <c r="L27" s="7">
        <f t="shared" si="4"/>
        <v>70.578842800636593</v>
      </c>
      <c r="M27" s="7">
        <f t="shared" si="4"/>
        <v>29.421157199363396</v>
      </c>
      <c r="N27" s="9">
        <f>SUM(L27:M27)</f>
        <v>99.999999999999986</v>
      </c>
      <c r="P27" s="3">
        <v>2.1100000000000001E-2</v>
      </c>
      <c r="Q27" s="3">
        <v>4.6699999999999998E-2</v>
      </c>
    </row>
    <row r="28" spans="6:17" x14ac:dyDescent="0.25">
      <c r="F28" t="s">
        <v>3</v>
      </c>
      <c r="G28" s="9">
        <v>3439882</v>
      </c>
      <c r="H28" s="9">
        <v>3568877</v>
      </c>
      <c r="I28" s="9">
        <f>SUM(G28:H28)</f>
        <v>7008759</v>
      </c>
      <c r="J28" s="9"/>
      <c r="L28" s="7">
        <f t="shared" si="4"/>
        <v>49.079758627739942</v>
      </c>
      <c r="M28" s="7">
        <f t="shared" si="4"/>
        <v>50.920241372260058</v>
      </c>
      <c r="N28" s="9">
        <f>SUM(L28:M28)</f>
        <v>100</v>
      </c>
    </row>
    <row r="29" spans="6:17" x14ac:dyDescent="0.25">
      <c r="F29" t="s">
        <v>6</v>
      </c>
      <c r="G29" s="9">
        <v>4038360</v>
      </c>
      <c r="H29" s="9">
        <v>2993550</v>
      </c>
      <c r="I29" s="9">
        <f>SUM(G29:H29)</f>
        <v>7031910</v>
      </c>
      <c r="J29" s="9"/>
      <c r="L29" s="7">
        <f t="shared" si="4"/>
        <v>57.429062658651773</v>
      </c>
      <c r="M29" s="7">
        <f t="shared" si="4"/>
        <v>42.570937341348227</v>
      </c>
      <c r="N29" s="9">
        <f>SUM(L29:M29)</f>
        <v>100</v>
      </c>
      <c r="P29" s="3">
        <v>1.41E-2</v>
      </c>
      <c r="Q29" s="3">
        <v>3.1399999999999997E-2</v>
      </c>
    </row>
  </sheetData>
  <mergeCells count="10">
    <mergeCell ref="G5:H5"/>
    <mergeCell ref="I5:J5"/>
    <mergeCell ref="K5:L5"/>
    <mergeCell ref="Q5:R5"/>
    <mergeCell ref="S5:T5"/>
    <mergeCell ref="U5:V5"/>
    <mergeCell ref="Z5:AA5"/>
    <mergeCell ref="AB5:AC5"/>
    <mergeCell ref="AD5:AE5"/>
    <mergeCell ref="AF5:AG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C4:L19"/>
  <sheetViews>
    <sheetView topLeftCell="A22" workbookViewId="0">
      <selection activeCell="E82" sqref="E82"/>
    </sheetView>
    <sheetView workbookViewId="1"/>
  </sheetViews>
  <sheetFormatPr defaultRowHeight="15" x14ac:dyDescent="0.25"/>
  <cols>
    <col min="4" max="10" width="10.7109375" bestFit="1" customWidth="1"/>
  </cols>
  <sheetData>
    <row r="4" spans="3:10" x14ac:dyDescent="0.25">
      <c r="C4" s="10" t="s">
        <v>19</v>
      </c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</row>
    <row r="5" spans="3:10" x14ac:dyDescent="0.25">
      <c r="C5" s="11" t="s">
        <v>4</v>
      </c>
      <c r="D5" s="9">
        <v>53</v>
      </c>
      <c r="E5" s="9">
        <v>54</v>
      </c>
      <c r="F5" s="9">
        <v>57</v>
      </c>
      <c r="G5" s="9">
        <v>54</v>
      </c>
      <c r="H5" s="9">
        <v>50</v>
      </c>
      <c r="I5" s="9">
        <v>47</v>
      </c>
      <c r="J5" s="9">
        <v>46</v>
      </c>
    </row>
    <row r="6" spans="3:10" x14ac:dyDescent="0.25">
      <c r="C6" s="11" t="s">
        <v>5</v>
      </c>
      <c r="D6" s="9">
        <v>29</v>
      </c>
      <c r="E6" s="9">
        <v>31</v>
      </c>
      <c r="F6" s="9">
        <v>27</v>
      </c>
      <c r="G6" s="9">
        <v>27</v>
      </c>
      <c r="H6" s="9">
        <v>31</v>
      </c>
      <c r="I6" s="9">
        <v>36</v>
      </c>
      <c r="J6" s="9">
        <v>38</v>
      </c>
    </row>
    <row r="7" spans="3:10" x14ac:dyDescent="0.25">
      <c r="C7" s="11" t="s">
        <v>17</v>
      </c>
      <c r="D7" s="9">
        <v>15</v>
      </c>
      <c r="E7" s="9">
        <v>12</v>
      </c>
      <c r="F7" s="9">
        <v>12</v>
      </c>
      <c r="G7" s="9">
        <v>16</v>
      </c>
      <c r="H7" s="9">
        <v>16</v>
      </c>
      <c r="I7" s="9">
        <v>12</v>
      </c>
      <c r="J7" s="9">
        <v>11</v>
      </c>
    </row>
    <row r="8" spans="3:10" x14ac:dyDescent="0.25">
      <c r="C8" s="11" t="s">
        <v>18</v>
      </c>
      <c r="D8" s="9">
        <v>4</v>
      </c>
      <c r="E8" s="9">
        <v>4</v>
      </c>
      <c r="F8" s="9">
        <v>4</v>
      </c>
      <c r="G8" s="9">
        <v>4</v>
      </c>
      <c r="H8" s="9">
        <v>4</v>
      </c>
      <c r="I8" s="9">
        <v>5</v>
      </c>
      <c r="J8" s="9">
        <v>5</v>
      </c>
    </row>
    <row r="11" spans="3:10" x14ac:dyDescent="0.25">
      <c r="C11" s="10" t="s">
        <v>20</v>
      </c>
      <c r="D11" s="12">
        <v>41495</v>
      </c>
      <c r="E11" s="12">
        <v>41558</v>
      </c>
      <c r="F11" s="12">
        <v>41607</v>
      </c>
      <c r="G11" s="12">
        <v>41690</v>
      </c>
      <c r="H11" s="12">
        <v>41732</v>
      </c>
      <c r="I11" s="12">
        <v>41767</v>
      </c>
      <c r="J11" s="12">
        <v>41796</v>
      </c>
    </row>
    <row r="12" spans="3:10" x14ac:dyDescent="0.25">
      <c r="C12" s="11" t="s">
        <v>4</v>
      </c>
      <c r="D12" s="9"/>
      <c r="E12" s="9">
        <f>E5-D5</f>
        <v>1</v>
      </c>
      <c r="F12" s="9">
        <f t="shared" ref="F12:J12" si="0">F5-E5</f>
        <v>3</v>
      </c>
      <c r="G12" s="9">
        <f t="shared" si="0"/>
        <v>-3</v>
      </c>
      <c r="H12" s="9">
        <f t="shared" si="0"/>
        <v>-4</v>
      </c>
      <c r="I12" s="9">
        <f t="shared" si="0"/>
        <v>-3</v>
      </c>
      <c r="J12" s="9">
        <f t="shared" si="0"/>
        <v>-1</v>
      </c>
    </row>
    <row r="13" spans="3:10" x14ac:dyDescent="0.25">
      <c r="C13" s="11" t="s">
        <v>5</v>
      </c>
      <c r="D13" s="9"/>
      <c r="E13" s="9">
        <f t="shared" ref="E13:J15" si="1">E6-D6</f>
        <v>2</v>
      </c>
      <c r="F13" s="9">
        <f t="shared" si="1"/>
        <v>-4</v>
      </c>
      <c r="G13" s="9">
        <f t="shared" si="1"/>
        <v>0</v>
      </c>
      <c r="H13" s="9">
        <f t="shared" si="1"/>
        <v>4</v>
      </c>
      <c r="I13" s="9">
        <f t="shared" si="1"/>
        <v>5</v>
      </c>
      <c r="J13" s="9">
        <f t="shared" si="1"/>
        <v>2</v>
      </c>
    </row>
    <row r="14" spans="3:10" x14ac:dyDescent="0.25">
      <c r="C14" s="11" t="s">
        <v>17</v>
      </c>
      <c r="D14" s="9"/>
      <c r="E14" s="9">
        <f t="shared" si="1"/>
        <v>-3</v>
      </c>
      <c r="F14" s="9">
        <f t="shared" si="1"/>
        <v>0</v>
      </c>
      <c r="G14" s="9">
        <f t="shared" si="1"/>
        <v>4</v>
      </c>
      <c r="H14" s="9">
        <f t="shared" si="1"/>
        <v>0</v>
      </c>
      <c r="I14" s="9">
        <f t="shared" si="1"/>
        <v>-4</v>
      </c>
      <c r="J14" s="9">
        <f t="shared" si="1"/>
        <v>-1</v>
      </c>
    </row>
    <row r="15" spans="3:10" x14ac:dyDescent="0.25">
      <c r="C15" s="11" t="s">
        <v>18</v>
      </c>
      <c r="D15" s="9"/>
      <c r="E15" s="9">
        <f t="shared" si="1"/>
        <v>0</v>
      </c>
      <c r="F15" s="9">
        <f t="shared" si="1"/>
        <v>0</v>
      </c>
      <c r="G15" s="9">
        <f t="shared" si="1"/>
        <v>0</v>
      </c>
      <c r="H15" s="9">
        <f t="shared" si="1"/>
        <v>0</v>
      </c>
      <c r="I15" s="9">
        <f t="shared" si="1"/>
        <v>1</v>
      </c>
      <c r="J15" s="9">
        <f t="shared" si="1"/>
        <v>0</v>
      </c>
    </row>
    <row r="18" spans="3:12" x14ac:dyDescent="0.25">
      <c r="C18" s="11" t="s">
        <v>22</v>
      </c>
      <c r="F18">
        <v>4</v>
      </c>
      <c r="G18">
        <v>3</v>
      </c>
      <c r="H18">
        <v>4</v>
      </c>
      <c r="I18">
        <v>3</v>
      </c>
      <c r="J18">
        <v>1</v>
      </c>
      <c r="L18" t="s">
        <v>23</v>
      </c>
    </row>
    <row r="19" spans="3:12" x14ac:dyDescent="0.25">
      <c r="C19" s="11" t="s">
        <v>21</v>
      </c>
      <c r="E19">
        <v>-3</v>
      </c>
      <c r="F19">
        <v>-3</v>
      </c>
      <c r="H19">
        <v>-4</v>
      </c>
      <c r="I19">
        <v>-5</v>
      </c>
      <c r="J19">
        <v>-2</v>
      </c>
    </row>
  </sheetData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H44"/>
  <sheetViews>
    <sheetView topLeftCell="A19" workbookViewId="0">
      <selection activeCell="L12" sqref="L12"/>
    </sheetView>
    <sheetView workbookViewId="1"/>
  </sheetViews>
  <sheetFormatPr defaultRowHeight="15" x14ac:dyDescent="0.25"/>
  <sheetData>
    <row r="2" spans="2:8" x14ac:dyDescent="0.25">
      <c r="C2" s="84" t="s">
        <v>9</v>
      </c>
      <c r="D2" s="84" t="s">
        <v>64</v>
      </c>
      <c r="E2" s="84" t="s">
        <v>82</v>
      </c>
      <c r="F2" s="84" t="s">
        <v>81</v>
      </c>
      <c r="G2" s="84" t="s">
        <v>80</v>
      </c>
      <c r="H2" s="84" t="s">
        <v>87</v>
      </c>
    </row>
    <row r="3" spans="2:8" x14ac:dyDescent="0.25">
      <c r="B3" s="8" t="s">
        <v>66</v>
      </c>
      <c r="C3" s="84">
        <v>2002</v>
      </c>
      <c r="D3" s="84">
        <v>265</v>
      </c>
      <c r="E3" s="84">
        <v>613</v>
      </c>
      <c r="F3" s="84">
        <v>707</v>
      </c>
      <c r="G3" s="84">
        <v>290</v>
      </c>
    </row>
    <row r="4" spans="2:8" x14ac:dyDescent="0.25">
      <c r="B4" s="8" t="s">
        <v>86</v>
      </c>
      <c r="C4" s="81">
        <v>0.13</v>
      </c>
      <c r="D4" s="81">
        <v>0.35</v>
      </c>
      <c r="E4" s="81">
        <v>0.17</v>
      </c>
      <c r="F4" s="81">
        <v>7.0000000000000007E-2</v>
      </c>
      <c r="G4" s="81">
        <v>0.03</v>
      </c>
    </row>
    <row r="5" spans="2:8" x14ac:dyDescent="0.25">
      <c r="B5" s="8" t="s">
        <v>85</v>
      </c>
      <c r="C5" s="81">
        <v>0.15</v>
      </c>
      <c r="D5" s="81">
        <v>0.22</v>
      </c>
      <c r="E5" s="81">
        <v>0.2</v>
      </c>
      <c r="F5" s="81">
        <v>0.12</v>
      </c>
      <c r="G5" s="81">
        <v>7.0000000000000007E-2</v>
      </c>
    </row>
    <row r="7" spans="2:8" x14ac:dyDescent="0.25">
      <c r="B7" s="8" t="s">
        <v>83</v>
      </c>
      <c r="C7" s="17">
        <f>C4*C3</f>
        <v>260.26</v>
      </c>
      <c r="D7" s="17">
        <f>D4*D3</f>
        <v>92.75</v>
      </c>
      <c r="E7" s="17">
        <f>E4*E3</f>
        <v>104.21000000000001</v>
      </c>
      <c r="F7" s="17">
        <f>F4*F3</f>
        <v>49.49</v>
      </c>
      <c r="G7" s="17">
        <f>G4*G3</f>
        <v>8.6999999999999993</v>
      </c>
    </row>
    <row r="8" spans="2:8" x14ac:dyDescent="0.25">
      <c r="B8" s="8" t="s">
        <v>84</v>
      </c>
      <c r="C8" s="27">
        <f>C7/SUM($D$7:$G$7)</f>
        <v>1.0200274348422496</v>
      </c>
      <c r="D8" s="27">
        <f t="shared" ref="D8:G8" si="0">D7/SUM($D$7:$G$7)</f>
        <v>0.36351165980795608</v>
      </c>
      <c r="E8" s="27">
        <f t="shared" si="0"/>
        <v>0.40842641583382328</v>
      </c>
      <c r="F8" s="27">
        <f t="shared" si="0"/>
        <v>0.19396433470507546</v>
      </c>
      <c r="G8" s="27">
        <f t="shared" si="0"/>
        <v>3.4097589653145202E-2</v>
      </c>
      <c r="H8" s="81">
        <v>0.13</v>
      </c>
    </row>
    <row r="10" spans="2:8" x14ac:dyDescent="0.25">
      <c r="B10" s="8" t="s">
        <v>83</v>
      </c>
      <c r="C10" s="17">
        <f>C5*C3</f>
        <v>300.3</v>
      </c>
      <c r="D10" s="17">
        <f t="shared" ref="D10:G10" si="1">D5*D3</f>
        <v>58.3</v>
      </c>
      <c r="E10" s="17">
        <f t="shared" si="1"/>
        <v>122.60000000000001</v>
      </c>
      <c r="F10" s="17">
        <f t="shared" si="1"/>
        <v>84.84</v>
      </c>
      <c r="G10" s="17">
        <f t="shared" si="1"/>
        <v>20.3</v>
      </c>
    </row>
    <row r="11" spans="2:8" x14ac:dyDescent="0.25">
      <c r="B11" s="8" t="s">
        <v>84</v>
      </c>
      <c r="C11" s="27">
        <f>C10/SUM($D$10:$G$10)</f>
        <v>1.0498531673891762</v>
      </c>
      <c r="D11" s="27">
        <f t="shared" ref="D11:G11" si="2">D10/SUM($D$10:$G$10)</f>
        <v>0.20381764788141515</v>
      </c>
      <c r="E11" s="27">
        <f t="shared" si="2"/>
        <v>0.42861138302335339</v>
      </c>
      <c r="F11" s="27">
        <f t="shared" si="2"/>
        <v>0.29660187386379527</v>
      </c>
      <c r="G11" s="27">
        <f t="shared" si="2"/>
        <v>7.0969095231436158E-2</v>
      </c>
      <c r="H11" s="81">
        <v>0.15</v>
      </c>
    </row>
    <row r="12" spans="2:8" x14ac:dyDescent="0.25">
      <c r="D12" s="7"/>
    </row>
    <row r="13" spans="2:8" x14ac:dyDescent="0.25">
      <c r="B13" s="8" t="s">
        <v>83</v>
      </c>
      <c r="C13" s="17">
        <f>C10+C7</f>
        <v>560.55999999999995</v>
      </c>
      <c r="D13" s="17">
        <f t="shared" ref="D13:G13" si="3">D10+D7</f>
        <v>151.05000000000001</v>
      </c>
      <c r="E13" s="17">
        <f t="shared" si="3"/>
        <v>226.81</v>
      </c>
      <c r="F13" s="17">
        <f t="shared" si="3"/>
        <v>134.33000000000001</v>
      </c>
      <c r="G13" s="17">
        <f t="shared" si="3"/>
        <v>29</v>
      </c>
    </row>
    <row r="14" spans="2:8" x14ac:dyDescent="0.25">
      <c r="B14" s="8" t="s">
        <v>84</v>
      </c>
      <c r="C14" s="27">
        <f>C13/SUM($D$13:$G$13)</f>
        <v>1.0357914965169348</v>
      </c>
      <c r="D14" s="27">
        <f t="shared" ref="D14:G14" si="4">D13/SUM($D$13:$G$13)</f>
        <v>0.27910715275596371</v>
      </c>
      <c r="E14" s="27">
        <f t="shared" si="4"/>
        <v>0.41909495740867342</v>
      </c>
      <c r="F14" s="27">
        <f t="shared" si="4"/>
        <v>0.24821227295404572</v>
      </c>
      <c r="G14" s="27">
        <f t="shared" si="4"/>
        <v>5.3585616881317091E-2</v>
      </c>
      <c r="H14" s="27">
        <f>C13/C3</f>
        <v>0.27999999999999997</v>
      </c>
    </row>
    <row r="15" spans="2:8" x14ac:dyDescent="0.25">
      <c r="D15" s="7"/>
    </row>
    <row r="16" spans="2:8" x14ac:dyDescent="0.25">
      <c r="D16" s="7"/>
    </row>
    <row r="17" spans="4:4" x14ac:dyDescent="0.25">
      <c r="D17" s="7"/>
    </row>
    <row r="18" spans="4:4" x14ac:dyDescent="0.25">
      <c r="D18" s="7"/>
    </row>
    <row r="19" spans="4:4" x14ac:dyDescent="0.25">
      <c r="D19" s="7"/>
    </row>
    <row r="20" spans="4:4" x14ac:dyDescent="0.25">
      <c r="D20" s="7"/>
    </row>
    <row r="21" spans="4:4" x14ac:dyDescent="0.25">
      <c r="D21" s="7"/>
    </row>
    <row r="22" spans="4:4" x14ac:dyDescent="0.25">
      <c r="D22" s="7"/>
    </row>
    <row r="23" spans="4:4" x14ac:dyDescent="0.25">
      <c r="D23" s="7"/>
    </row>
    <row r="24" spans="4:4" x14ac:dyDescent="0.25">
      <c r="D24" s="7"/>
    </row>
    <row r="25" spans="4:4" x14ac:dyDescent="0.25">
      <c r="D25" s="7"/>
    </row>
    <row r="26" spans="4:4" x14ac:dyDescent="0.25">
      <c r="D26" s="7"/>
    </row>
    <row r="27" spans="4:4" x14ac:dyDescent="0.25">
      <c r="D27" s="7"/>
    </row>
    <row r="28" spans="4:4" x14ac:dyDescent="0.25">
      <c r="D28" s="7"/>
    </row>
    <row r="29" spans="4:4" x14ac:dyDescent="0.25">
      <c r="D29" s="7"/>
    </row>
    <row r="30" spans="4:4" x14ac:dyDescent="0.25">
      <c r="D30" s="7"/>
    </row>
    <row r="31" spans="4:4" x14ac:dyDescent="0.25">
      <c r="D31" s="7"/>
    </row>
    <row r="32" spans="4:4" x14ac:dyDescent="0.25">
      <c r="D32" s="7"/>
    </row>
    <row r="33" spans="4:4" x14ac:dyDescent="0.25">
      <c r="D33" s="7"/>
    </row>
    <row r="34" spans="4:4" x14ac:dyDescent="0.25">
      <c r="D34" s="7"/>
    </row>
    <row r="35" spans="4:4" x14ac:dyDescent="0.25">
      <c r="D35" s="7"/>
    </row>
    <row r="36" spans="4:4" x14ac:dyDescent="0.25">
      <c r="D36" s="7"/>
    </row>
    <row r="37" spans="4:4" x14ac:dyDescent="0.25">
      <c r="D37" s="7"/>
    </row>
    <row r="38" spans="4:4" x14ac:dyDescent="0.25">
      <c r="D38" s="7"/>
    </row>
    <row r="39" spans="4:4" x14ac:dyDescent="0.25">
      <c r="D39" s="7"/>
    </row>
    <row r="40" spans="4:4" x14ac:dyDescent="0.25">
      <c r="D40" s="7"/>
    </row>
    <row r="41" spans="4:4" x14ac:dyDescent="0.25">
      <c r="D41" s="7"/>
    </row>
    <row r="42" spans="4:4" x14ac:dyDescent="0.25">
      <c r="D42" s="7"/>
    </row>
    <row r="43" spans="4:4" x14ac:dyDescent="0.25">
      <c r="D43" s="7"/>
    </row>
    <row r="44" spans="4:4" x14ac:dyDescent="0.25">
      <c r="D44" s="7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D2:E14"/>
  <sheetViews>
    <sheetView topLeftCell="A10" workbookViewId="0">
      <selection activeCell="S37" sqref="S37"/>
    </sheetView>
    <sheetView workbookViewId="1"/>
  </sheetViews>
  <sheetFormatPr defaultRowHeight="15" x14ac:dyDescent="0.25"/>
  <sheetData>
    <row r="2" spans="4:5" x14ac:dyDescent="0.25">
      <c r="D2" s="8" t="s">
        <v>151</v>
      </c>
      <c r="E2" s="81">
        <v>0.55000000000000004</v>
      </c>
    </row>
    <row r="3" spans="4:5" x14ac:dyDescent="0.25">
      <c r="D3" s="8" t="s">
        <v>152</v>
      </c>
      <c r="E3" s="81">
        <v>0.48</v>
      </c>
    </row>
    <row r="4" spans="4:5" x14ac:dyDescent="0.25">
      <c r="D4" s="8" t="s">
        <v>153</v>
      </c>
      <c r="E4" s="81">
        <v>0.26</v>
      </c>
    </row>
    <row r="5" spans="4:5" x14ac:dyDescent="0.25">
      <c r="D5" s="8" t="s">
        <v>154</v>
      </c>
      <c r="E5" s="81">
        <v>0.26</v>
      </c>
    </row>
    <row r="6" spans="4:5" x14ac:dyDescent="0.25">
      <c r="D6" s="8" t="s">
        <v>155</v>
      </c>
      <c r="E6" s="81">
        <v>0.26</v>
      </c>
    </row>
    <row r="7" spans="4:5" x14ac:dyDescent="0.25">
      <c r="D7" s="8" t="s">
        <v>156</v>
      </c>
      <c r="E7" s="81">
        <v>0.16</v>
      </c>
    </row>
    <row r="8" spans="4:5" x14ac:dyDescent="0.25">
      <c r="D8" s="8" t="s">
        <v>157</v>
      </c>
      <c r="E8" s="81">
        <v>0.12</v>
      </c>
    </row>
    <row r="9" spans="4:5" x14ac:dyDescent="0.25">
      <c r="D9" s="8" t="s">
        <v>158</v>
      </c>
      <c r="E9" s="81">
        <v>0.09</v>
      </c>
    </row>
    <row r="10" spans="4:5" x14ac:dyDescent="0.25">
      <c r="D10" s="8" t="s">
        <v>159</v>
      </c>
      <c r="E10" s="81">
        <v>7.0000000000000007E-2</v>
      </c>
    </row>
    <row r="11" spans="4:5" x14ac:dyDescent="0.25">
      <c r="D11" s="8" t="s">
        <v>160</v>
      </c>
      <c r="E11" s="81">
        <v>0.04</v>
      </c>
    </row>
    <row r="12" spans="4:5" x14ac:dyDescent="0.25">
      <c r="D12" s="8" t="s">
        <v>161</v>
      </c>
      <c r="E12" s="81">
        <v>0.04</v>
      </c>
    </row>
    <row r="13" spans="4:5" x14ac:dyDescent="0.25">
      <c r="D13" s="8" t="s">
        <v>162</v>
      </c>
      <c r="E13" s="81">
        <v>0.03</v>
      </c>
    </row>
    <row r="14" spans="4:5" x14ac:dyDescent="0.25">
      <c r="D14" s="8" t="s">
        <v>163</v>
      </c>
      <c r="E14" s="81">
        <v>0.02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Charts</vt:lpstr>
      </vt:variant>
      <vt:variant>
        <vt:i4>2</vt:i4>
      </vt:variant>
    </vt:vector>
  </HeadingPairs>
  <TitlesOfParts>
    <vt:vector size="20" baseType="lpstr">
      <vt:lpstr>Ajuste Pesquisa Datafolha (2)</vt:lpstr>
      <vt:lpstr>Ajuste Pesquisa Datafolha</vt:lpstr>
      <vt:lpstr>Ajuste Pesquisa IBOPE</vt:lpstr>
      <vt:lpstr>Ajuste Pesquisa IBOPE Regiao</vt:lpstr>
      <vt:lpstr>1o turno efetivo (2)</vt:lpstr>
      <vt:lpstr>1o turno efetivo</vt:lpstr>
      <vt:lpstr>Base</vt:lpstr>
      <vt:lpstr>1 turno</vt:lpstr>
      <vt:lpstr>2010</vt:lpstr>
      <vt:lpstr>Transferencia Campos</vt:lpstr>
      <vt:lpstr>Municipio</vt:lpstr>
      <vt:lpstr>Sudeste Composto</vt:lpstr>
      <vt:lpstr>Sudeste</vt:lpstr>
      <vt:lpstr>Aecio - Desconhecimento</vt:lpstr>
      <vt:lpstr>Sheet1</vt:lpstr>
      <vt:lpstr>Sheet2</vt:lpstr>
      <vt:lpstr>Bolsa Família</vt:lpstr>
      <vt:lpstr>Decidir voto</vt:lpstr>
      <vt:lpstr>Abstenções</vt:lpstr>
      <vt:lpstr>G 1o turno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RENIE GEVISIEZ REIMERMENDT</dc:creator>
  <cp:lastModifiedBy>ALEXANDRE DE AZARA</cp:lastModifiedBy>
  <cp:lastPrinted>2014-10-22T12:37:34Z</cp:lastPrinted>
  <dcterms:created xsi:type="dcterms:W3CDTF">2014-06-09T20:23:51Z</dcterms:created>
  <dcterms:modified xsi:type="dcterms:W3CDTF">2014-10-22T18:11:17Z</dcterms:modified>
</cp:coreProperties>
</file>