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Nkusu\My Local Documents\FIN\SDR\Rule O-1\Files for COM\"/>
    </mc:Choice>
  </mc:AlternateContent>
  <bookViews>
    <workbookView xWindow="0" yWindow="0" windowWidth="21570" windowHeight="5370" tabRatio="798" activeTab="1"/>
  </bookViews>
  <sheets>
    <sheet name="Read me" sheetId="2" r:id="rId1"/>
    <sheet name="Inputs (Edit)" sheetId="1" r:id="rId2"/>
    <sheet name="DO NOT EDIT &gt;&gt;" sheetId="10" r:id="rId3"/>
    <sheet name="Calculation + Rounding " sheetId="3" r:id="rId4"/>
    <sheet name="Output (CA)" sheetId="4" r:id="rId5"/>
  </sheets>
  <definedNames>
    <definedName name="_xlnm.Print_Area" localSheetId="0">'Read me'!$AI$1:$AP$20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 l="1"/>
  <c r="B27" i="1" l="1"/>
  <c r="D27" i="1" l="1"/>
  <c r="B28" i="1"/>
  <c r="J27" i="1"/>
  <c r="B29" i="1" l="1"/>
  <c r="B30" i="1" s="1"/>
  <c r="B31" i="1" s="1"/>
  <c r="F27" i="1" l="1"/>
  <c r="G27" i="1" s="1"/>
  <c r="H27" i="1"/>
  <c r="I27" i="1" s="1"/>
  <c r="E27" i="1"/>
  <c r="F28" i="1"/>
  <c r="G28" i="1" s="1"/>
  <c r="E28" i="1"/>
  <c r="H28" i="1"/>
  <c r="I28" i="1" s="1"/>
  <c r="D28" i="1"/>
  <c r="E30" i="1"/>
  <c r="F30" i="1"/>
  <c r="G30" i="1" s="1"/>
  <c r="H29" i="1"/>
  <c r="I29" i="1" s="1"/>
  <c r="D31" i="1"/>
  <c r="E31" i="1"/>
  <c r="F31" i="1"/>
  <c r="G31" i="1" s="1"/>
  <c r="B32" i="1"/>
  <c r="H31" i="1"/>
  <c r="I31" i="1" s="1"/>
  <c r="F29" i="1"/>
  <c r="G29" i="1" s="1"/>
  <c r="E29" i="1"/>
  <c r="H30" i="1"/>
  <c r="I30" i="1" s="1"/>
  <c r="D30" i="1"/>
  <c r="D29" i="1"/>
  <c r="D32" i="1" l="1"/>
  <c r="H32" i="1"/>
  <c r="I32" i="1" s="1"/>
  <c r="F32" i="1"/>
  <c r="G32" i="1" s="1"/>
  <c r="B33" i="1"/>
  <c r="E32" i="1"/>
  <c r="F33" i="1" l="1"/>
  <c r="G33" i="1" s="1"/>
  <c r="E33" i="1"/>
  <c r="B34" i="1"/>
  <c r="H33" i="1"/>
  <c r="I33" i="1" s="1"/>
  <c r="D33" i="1"/>
  <c r="D34" i="1" l="1"/>
  <c r="E34" i="1"/>
  <c r="B35" i="1"/>
  <c r="F34" i="1"/>
  <c r="G34" i="1" s="1"/>
  <c r="H34" i="1"/>
  <c r="I34" i="1" s="1"/>
  <c r="B36" i="1" l="1"/>
  <c r="E35" i="1"/>
  <c r="F35" i="1"/>
  <c r="G35" i="1" s="1"/>
  <c r="D35" i="1"/>
  <c r="H35" i="1"/>
  <c r="I35" i="1" s="1"/>
  <c r="B37" i="1" l="1"/>
  <c r="E36" i="1"/>
  <c r="F36" i="1"/>
  <c r="G36" i="1" s="1"/>
  <c r="D36" i="1"/>
  <c r="H36" i="1"/>
  <c r="I36" i="1" s="1"/>
  <c r="B38" i="1" l="1"/>
  <c r="D37" i="1"/>
  <c r="E37" i="1"/>
  <c r="F37" i="1"/>
  <c r="G37" i="1" s="1"/>
  <c r="H37" i="1"/>
  <c r="I37" i="1" s="1"/>
  <c r="F38" i="1" l="1"/>
  <c r="G38" i="1" s="1"/>
  <c r="B39" i="1"/>
  <c r="D38" i="1"/>
  <c r="E38" i="1"/>
  <c r="H38" i="1"/>
  <c r="I38" i="1" s="1"/>
  <c r="D39" i="1" l="1"/>
  <c r="E39" i="1"/>
  <c r="F39" i="1"/>
  <c r="G39" i="1" s="1"/>
  <c r="B40" i="1"/>
  <c r="H39" i="1"/>
  <c r="I39" i="1" s="1"/>
  <c r="D40" i="1" l="1"/>
  <c r="B41" i="1"/>
  <c r="E40" i="1"/>
  <c r="F40" i="1"/>
  <c r="G40" i="1" s="1"/>
  <c r="H40" i="1"/>
  <c r="I40" i="1" s="1"/>
  <c r="F41" i="1" l="1"/>
  <c r="G41" i="1" s="1"/>
  <c r="E41" i="1"/>
  <c r="D41" i="1"/>
  <c r="B42" i="1"/>
  <c r="H41" i="1"/>
  <c r="I41" i="1" s="1"/>
  <c r="D42" i="1" l="1"/>
  <c r="E42" i="1"/>
  <c r="F42" i="1"/>
  <c r="G42" i="1" s="1"/>
  <c r="B43" i="1"/>
  <c r="H42" i="1"/>
  <c r="I42" i="1" s="1"/>
  <c r="E43" i="1" l="1"/>
  <c r="F43" i="1"/>
  <c r="G43" i="1" s="1"/>
  <c r="B44" i="1"/>
  <c r="D43" i="1"/>
  <c r="H43" i="1"/>
  <c r="I43" i="1" s="1"/>
  <c r="B45" i="1" l="1"/>
  <c r="E44" i="1"/>
  <c r="F44" i="1"/>
  <c r="G44" i="1" s="1"/>
  <c r="D44" i="1"/>
  <c r="H44" i="1"/>
  <c r="I44" i="1" s="1"/>
  <c r="B46" i="1" l="1"/>
  <c r="D45" i="1"/>
  <c r="E45" i="1"/>
  <c r="F45" i="1"/>
  <c r="G45" i="1" s="1"/>
  <c r="H45" i="1"/>
  <c r="I45" i="1" s="1"/>
  <c r="F46" i="1" l="1"/>
  <c r="G46" i="1" s="1"/>
  <c r="B47" i="1"/>
  <c r="D46" i="1"/>
  <c r="E46" i="1"/>
  <c r="H46" i="1"/>
  <c r="I46" i="1" s="1"/>
  <c r="D47" i="1" l="1"/>
  <c r="E47" i="1"/>
  <c r="F47" i="1"/>
  <c r="G47" i="1" s="1"/>
  <c r="B48" i="1"/>
  <c r="H47" i="1"/>
  <c r="I47" i="1" s="1"/>
  <c r="F48" i="1" l="1"/>
  <c r="G48" i="1" s="1"/>
  <c r="D48" i="1"/>
  <c r="B49" i="1"/>
  <c r="E48" i="1"/>
  <c r="H48" i="1"/>
  <c r="I48" i="1" s="1"/>
  <c r="F49" i="1" l="1"/>
  <c r="G49" i="1" s="1"/>
  <c r="B50" i="1"/>
  <c r="D49" i="1"/>
  <c r="E49" i="1"/>
  <c r="H49" i="1"/>
  <c r="I49" i="1" s="1"/>
  <c r="D50" i="1" l="1"/>
  <c r="E50" i="1"/>
  <c r="F50" i="1"/>
  <c r="G50" i="1" s="1"/>
  <c r="B51" i="1"/>
  <c r="H50" i="1"/>
  <c r="I50" i="1" s="1"/>
  <c r="E51" i="1" l="1"/>
  <c r="F51" i="1"/>
  <c r="G51" i="1" s="1"/>
  <c r="D51" i="1"/>
  <c r="B52" i="1"/>
  <c r="H51" i="1"/>
  <c r="I51" i="1" s="1"/>
  <c r="B53" i="1" l="1"/>
  <c r="E52" i="1"/>
  <c r="F52" i="1"/>
  <c r="G52" i="1" s="1"/>
  <c r="D52" i="1"/>
  <c r="H52" i="1"/>
  <c r="I52" i="1" s="1"/>
  <c r="B54" i="1" l="1"/>
  <c r="D53" i="1"/>
  <c r="E53" i="1"/>
  <c r="F53" i="1"/>
  <c r="G53" i="1" s="1"/>
  <c r="H53" i="1"/>
  <c r="I53" i="1" s="1"/>
  <c r="B55" i="1" l="1"/>
  <c r="D54" i="1"/>
  <c r="E54" i="1"/>
  <c r="F54" i="1"/>
  <c r="G54" i="1" s="1"/>
  <c r="H54" i="1"/>
  <c r="I54" i="1" s="1"/>
  <c r="D55" i="1" l="1"/>
  <c r="E55" i="1"/>
  <c r="F55" i="1"/>
  <c r="G55" i="1" s="1"/>
  <c r="B56" i="1"/>
  <c r="H55" i="1"/>
  <c r="I55" i="1" s="1"/>
  <c r="F56" i="1" l="1"/>
  <c r="G56" i="1" s="1"/>
  <c r="D56" i="1"/>
  <c r="B57" i="1"/>
  <c r="E56" i="1"/>
  <c r="H56" i="1"/>
  <c r="I56" i="1" s="1"/>
  <c r="F57" i="1" l="1"/>
  <c r="G57" i="1" s="1"/>
  <c r="E57" i="1"/>
  <c r="B58" i="1"/>
  <c r="D57" i="1"/>
  <c r="H57" i="1"/>
  <c r="I57" i="1" s="1"/>
  <c r="D58" i="1" l="1"/>
  <c r="E58" i="1"/>
  <c r="F58" i="1"/>
  <c r="G58" i="1" s="1"/>
  <c r="B59" i="1"/>
  <c r="H58" i="1"/>
  <c r="I58" i="1" s="1"/>
  <c r="E59" i="1" l="1"/>
  <c r="F59" i="1"/>
  <c r="G59" i="1" s="1"/>
  <c r="B60" i="1"/>
  <c r="D59" i="1"/>
  <c r="H59" i="1"/>
  <c r="I59" i="1" s="1"/>
  <c r="B61" i="1" l="1"/>
  <c r="E60" i="1"/>
  <c r="F60" i="1"/>
  <c r="G60" i="1" s="1"/>
  <c r="D60" i="1"/>
  <c r="H60" i="1"/>
  <c r="I60" i="1" s="1"/>
  <c r="B62" i="1" l="1"/>
  <c r="D61" i="1"/>
  <c r="E61" i="1"/>
  <c r="F61" i="1"/>
  <c r="G61" i="1" s="1"/>
  <c r="H61" i="1"/>
  <c r="I61" i="1" s="1"/>
  <c r="F62" i="1" l="1"/>
  <c r="G62" i="1" s="1"/>
  <c r="B63" i="1"/>
  <c r="D62" i="1"/>
  <c r="E62" i="1"/>
  <c r="H62" i="1"/>
  <c r="I62" i="1" s="1"/>
  <c r="D63" i="1" l="1"/>
  <c r="E63" i="1"/>
  <c r="F63" i="1"/>
  <c r="G63" i="1" s="1"/>
  <c r="B64" i="1"/>
  <c r="H63" i="1"/>
  <c r="I63" i="1" s="1"/>
  <c r="D64" i="1" l="1"/>
  <c r="B65" i="1"/>
  <c r="E64" i="1"/>
  <c r="F64" i="1"/>
  <c r="G64" i="1" s="1"/>
  <c r="H64" i="1"/>
  <c r="I64" i="1" s="1"/>
  <c r="F65" i="1" l="1"/>
  <c r="G65" i="1" s="1"/>
  <c r="B66" i="1"/>
  <c r="D65" i="1"/>
  <c r="E65" i="1"/>
  <c r="H65" i="1"/>
  <c r="I65" i="1" s="1"/>
  <c r="D66" i="1" l="1"/>
  <c r="E66" i="1"/>
  <c r="B67" i="1"/>
  <c r="F66" i="1"/>
  <c r="G66" i="1" s="1"/>
  <c r="H66" i="1"/>
  <c r="I66" i="1" s="1"/>
  <c r="E67" i="1" l="1"/>
  <c r="B68" i="1"/>
  <c r="D67" i="1"/>
  <c r="F67" i="1"/>
  <c r="G67" i="1" s="1"/>
  <c r="H67" i="1"/>
  <c r="I67" i="1" s="1"/>
  <c r="B69" i="1" l="1"/>
  <c r="E68" i="1"/>
  <c r="F68" i="1"/>
  <c r="G68" i="1" s="1"/>
  <c r="D68" i="1"/>
  <c r="H68" i="1"/>
  <c r="I68" i="1" s="1"/>
  <c r="B70" i="1" l="1"/>
  <c r="D69" i="1"/>
  <c r="E69" i="1"/>
  <c r="F69" i="1"/>
  <c r="G69" i="1" s="1"/>
  <c r="H69" i="1"/>
  <c r="I69" i="1" s="1"/>
  <c r="B71" i="1" l="1"/>
  <c r="D70" i="1"/>
  <c r="E70" i="1"/>
  <c r="F70" i="1"/>
  <c r="G70" i="1" s="1"/>
  <c r="H70" i="1"/>
  <c r="I70" i="1" s="1"/>
  <c r="D71" i="1" l="1"/>
  <c r="E71" i="1"/>
  <c r="F71" i="1"/>
  <c r="G71" i="1" s="1"/>
  <c r="B72" i="1"/>
  <c r="H71" i="1"/>
  <c r="I71" i="1" s="1"/>
  <c r="D72" i="1" l="1"/>
  <c r="B73" i="1"/>
  <c r="E72" i="1"/>
  <c r="F72" i="1"/>
  <c r="G72" i="1" s="1"/>
  <c r="H72" i="1"/>
  <c r="I72" i="1" s="1"/>
  <c r="F73" i="1" l="1"/>
  <c r="G73" i="1" s="1"/>
  <c r="E73" i="1"/>
  <c r="B74" i="1"/>
  <c r="D73" i="1"/>
  <c r="H73" i="1"/>
  <c r="I73" i="1" s="1"/>
  <c r="D74" i="1" l="1"/>
  <c r="E74" i="1"/>
  <c r="F74" i="1"/>
  <c r="G74" i="1" s="1"/>
  <c r="B75" i="1"/>
  <c r="H74" i="1"/>
  <c r="I74" i="1" s="1"/>
  <c r="E75" i="1" l="1"/>
  <c r="F75" i="1"/>
  <c r="G75" i="1" s="1"/>
  <c r="B76" i="1"/>
  <c r="D75" i="1"/>
  <c r="H75" i="1"/>
  <c r="I75" i="1" s="1"/>
  <c r="B77" i="1" l="1"/>
  <c r="E76" i="1"/>
  <c r="F76" i="1"/>
  <c r="G76" i="1" s="1"/>
  <c r="D76" i="1"/>
  <c r="H76" i="1"/>
  <c r="I76" i="1" s="1"/>
  <c r="B78" i="1" l="1"/>
  <c r="D77" i="1"/>
  <c r="E77" i="1"/>
  <c r="F77" i="1"/>
  <c r="G77" i="1" s="1"/>
  <c r="H77" i="1"/>
  <c r="I77" i="1" s="1"/>
  <c r="F78" i="1" l="1"/>
  <c r="G78" i="1" s="1"/>
  <c r="B79" i="1"/>
  <c r="D78" i="1"/>
  <c r="E78" i="1"/>
  <c r="H78" i="1"/>
  <c r="I78" i="1" s="1"/>
  <c r="D79" i="1" l="1"/>
  <c r="E79" i="1"/>
  <c r="F79" i="1"/>
  <c r="G79" i="1" s="1"/>
  <c r="B80" i="1"/>
  <c r="H79" i="1"/>
  <c r="I79" i="1" s="1"/>
  <c r="F80" i="1" l="1"/>
  <c r="G80" i="1" s="1"/>
  <c r="D80" i="1"/>
  <c r="B81" i="1"/>
  <c r="E80" i="1"/>
  <c r="H80" i="1"/>
  <c r="I80" i="1" s="1"/>
  <c r="I4" i="3"/>
  <c r="F81" i="1" l="1"/>
  <c r="G81" i="1" s="1"/>
  <c r="B82" i="1"/>
  <c r="D81" i="1"/>
  <c r="E81" i="1"/>
  <c r="H81" i="1"/>
  <c r="I81" i="1" s="1"/>
  <c r="D82" i="1" l="1"/>
  <c r="E82" i="1"/>
  <c r="B83" i="1"/>
  <c r="F82" i="1"/>
  <c r="G82" i="1" s="1"/>
  <c r="H82" i="1"/>
  <c r="I82" i="1" s="1"/>
  <c r="J4" i="3"/>
  <c r="E83" i="1" l="1"/>
  <c r="F83" i="1"/>
  <c r="G83" i="1" s="1"/>
  <c r="B84" i="1"/>
  <c r="D83" i="1"/>
  <c r="H83" i="1"/>
  <c r="I83" i="1" s="1"/>
  <c r="F6" i="3"/>
  <c r="F7" i="3"/>
  <c r="F5" i="3"/>
  <c r="B85" i="1" l="1"/>
  <c r="E84" i="1"/>
  <c r="F84" i="1"/>
  <c r="G84" i="1" s="1"/>
  <c r="D84" i="1"/>
  <c r="H84" i="1"/>
  <c r="I84" i="1" s="1"/>
  <c r="K28" i="3"/>
  <c r="J28" i="3"/>
  <c r="I28" i="3"/>
  <c r="G28" i="3"/>
  <c r="F28" i="3"/>
  <c r="E28" i="3"/>
  <c r="D28" i="3"/>
  <c r="B86" i="1" l="1"/>
  <c r="B87" i="1" s="1"/>
  <c r="D85" i="1"/>
  <c r="E85" i="1"/>
  <c r="F85" i="1"/>
  <c r="G85" i="1" s="1"/>
  <c r="H85" i="1"/>
  <c r="I85" i="1" s="1"/>
  <c r="I24" i="1"/>
  <c r="C87" i="1" l="1"/>
  <c r="B88" i="1"/>
  <c r="J87" i="1" s="1"/>
  <c r="D87" i="1"/>
  <c r="F87" i="1"/>
  <c r="G87" i="1" s="1"/>
  <c r="H87" i="1"/>
  <c r="I87" i="1" s="1"/>
  <c r="E87" i="1"/>
  <c r="D86" i="1"/>
  <c r="E86" i="1"/>
  <c r="F86" i="1"/>
  <c r="G86" i="1" s="1"/>
  <c r="H86" i="1"/>
  <c r="I86" i="1" s="1"/>
  <c r="G24" i="1"/>
  <c r="B89" i="1" l="1"/>
  <c r="J88" i="1" s="1"/>
  <c r="D88" i="1"/>
  <c r="E88" i="1"/>
  <c r="H88" i="1"/>
  <c r="I88" i="1" s="1"/>
  <c r="C88" i="1"/>
  <c r="F88" i="1"/>
  <c r="G88" i="1" s="1"/>
  <c r="F9" i="3"/>
  <c r="F8" i="3"/>
  <c r="G3" i="3"/>
  <c r="K16" i="3"/>
  <c r="J16" i="3"/>
  <c r="I16" i="3"/>
  <c r="G16" i="3"/>
  <c r="F16" i="3"/>
  <c r="E16" i="3"/>
  <c r="D16" i="3"/>
  <c r="K4" i="3"/>
  <c r="G9" i="3"/>
  <c r="G8" i="3"/>
  <c r="G7" i="3"/>
  <c r="G6" i="3"/>
  <c r="G5" i="3"/>
  <c r="I10" i="3"/>
  <c r="G4" i="3"/>
  <c r="F4" i="3"/>
  <c r="E4" i="3"/>
  <c r="D4" i="3"/>
  <c r="D6" i="3"/>
  <c r="D7" i="3"/>
  <c r="D8" i="3"/>
  <c r="D9" i="3"/>
  <c r="D5" i="3"/>
  <c r="B90" i="1" l="1"/>
  <c r="J89" i="1" s="1"/>
  <c r="E89" i="1"/>
  <c r="F89" i="1"/>
  <c r="G89" i="1" s="1"/>
  <c r="H89" i="1"/>
  <c r="I89" i="1" s="1"/>
  <c r="C89" i="1"/>
  <c r="D89" i="1"/>
  <c r="B91" i="1" l="1"/>
  <c r="F90" i="1"/>
  <c r="G90" i="1" s="1"/>
  <c r="H90" i="1"/>
  <c r="I90" i="1" s="1"/>
  <c r="C90" i="1"/>
  <c r="D90" i="1"/>
  <c r="E90" i="1"/>
  <c r="J90" i="1" l="1"/>
  <c r="B92" i="1"/>
  <c r="J91" i="1" s="1"/>
  <c r="C91" i="1"/>
  <c r="D91" i="1"/>
  <c r="E91" i="1"/>
  <c r="F91" i="1"/>
  <c r="G91" i="1" s="1"/>
  <c r="H91" i="1"/>
  <c r="I91" i="1" s="1"/>
  <c r="J92" i="1" l="1"/>
  <c r="F92" i="1"/>
  <c r="G92" i="1" s="1"/>
  <c r="G26" i="1" s="1"/>
  <c r="E92" i="1"/>
  <c r="E26" i="1" s="1"/>
  <c r="D92" i="1"/>
  <c r="D26" i="1" s="1"/>
  <c r="C92" i="1"/>
  <c r="C25" i="1" s="1"/>
  <c r="E5" i="3" s="1"/>
  <c r="I5" i="3" s="1"/>
  <c r="J5" i="3" s="1"/>
  <c r="H92" i="1"/>
  <c r="I92" i="1" s="1"/>
  <c r="I26" i="1" s="1"/>
  <c r="J26" i="1" l="1"/>
  <c r="I4" i="1" s="1"/>
  <c r="D25" i="1"/>
  <c r="E6" i="3" s="1"/>
  <c r="I6" i="3" s="1"/>
  <c r="J6" i="3" s="1"/>
  <c r="I25" i="1"/>
  <c r="E9" i="3" s="1"/>
  <c r="I9" i="3" s="1"/>
  <c r="J9" i="3" s="1"/>
  <c r="G25" i="1"/>
  <c r="E8" i="3" s="1"/>
  <c r="I8" i="3" s="1"/>
  <c r="J8" i="3" s="1"/>
  <c r="E25" i="1"/>
  <c r="E7" i="3" s="1"/>
  <c r="I7" i="3" s="1"/>
  <c r="J7" i="3" s="1"/>
  <c r="J10" i="3" l="1"/>
  <c r="K5" i="3" s="1"/>
  <c r="D17" i="3" s="1"/>
  <c r="E17" i="3" s="1"/>
  <c r="F17" i="3" s="1"/>
  <c r="K8" i="3" l="1"/>
  <c r="L8" i="3" s="1"/>
  <c r="K6" i="3"/>
  <c r="L6" i="3" s="1"/>
  <c r="L5" i="3"/>
  <c r="K7" i="3"/>
  <c r="L7" i="3" s="1"/>
  <c r="K9" i="3"/>
  <c r="L9" i="3" s="1"/>
  <c r="D18" i="3" l="1"/>
  <c r="E18" i="3" s="1"/>
  <c r="F18" i="3" s="1"/>
  <c r="D20" i="3"/>
  <c r="E20" i="3" s="1"/>
  <c r="F20" i="3" s="1"/>
  <c r="D19" i="3"/>
  <c r="E19" i="3" s="1"/>
  <c r="F19" i="3" s="1"/>
  <c r="D21" i="3"/>
  <c r="E21" i="3" s="1"/>
  <c r="F21" i="3" s="1"/>
  <c r="F22" i="3" l="1"/>
  <c r="G17" i="3" s="1"/>
  <c r="G22" i="3" s="1"/>
  <c r="G23" i="3" s="1"/>
  <c r="I17" i="3" s="1"/>
  <c r="F23" i="3" l="1"/>
  <c r="F24" i="3" s="1"/>
  <c r="D32" i="3"/>
  <c r="I18" i="3"/>
  <c r="K18" i="3" s="1"/>
  <c r="D31" i="3"/>
  <c r="E31" i="3" s="1"/>
  <c r="F31" i="3" s="1"/>
  <c r="I21" i="3"/>
  <c r="K21" i="3" s="1"/>
  <c r="D33" i="3"/>
  <c r="D29" i="3"/>
  <c r="I20" i="3"/>
  <c r="K20" i="3" s="1"/>
  <c r="I19" i="3"/>
  <c r="K19" i="3" s="1"/>
  <c r="D30" i="3"/>
  <c r="K17" i="3"/>
  <c r="J17" i="3"/>
  <c r="E33" i="3"/>
  <c r="E32" i="3"/>
  <c r="E30" i="3"/>
  <c r="E29" i="3"/>
  <c r="F29" i="3" s="1"/>
  <c r="K22" i="3" l="1"/>
  <c r="K23" i="3" s="1"/>
  <c r="F33" i="3"/>
  <c r="F32" i="3"/>
  <c r="F30" i="3"/>
  <c r="F34" i="3" l="1"/>
  <c r="G29" i="3" s="1"/>
  <c r="I29" i="3" l="1"/>
  <c r="I30" i="3"/>
  <c r="I31" i="3"/>
  <c r="I32" i="3"/>
  <c r="I33" i="3"/>
  <c r="K30" i="3"/>
  <c r="K31" i="3"/>
  <c r="K32" i="3"/>
  <c r="K33" i="3"/>
  <c r="F35" i="3"/>
  <c r="K29" i="3" l="1"/>
  <c r="K34" i="3" s="1"/>
  <c r="K35" i="3" s="1"/>
  <c r="M23" i="3" s="1"/>
  <c r="J29" i="3"/>
  <c r="F36" i="3"/>
  <c r="E2" i="4" l="1"/>
  <c r="E6" i="4"/>
  <c r="E7" i="4"/>
  <c r="E9" i="4"/>
  <c r="E10" i="4"/>
  <c r="E8" i="4"/>
</calcChain>
</file>

<file path=xl/comments1.xml><?xml version="1.0" encoding="utf-8"?>
<comments xmlns="http://schemas.openxmlformats.org/spreadsheetml/2006/main">
  <authors>
    <author>Ceyda Oner</author>
  </authors>
  <commentList>
    <comment ref="N45" authorId="0" shapeId="0">
      <text>
        <r>
          <rPr>
            <sz val="9"/>
            <color indexed="81"/>
            <rFont val="Tahoma"/>
            <family val="2"/>
          </rPr>
          <t xml:space="preserve">IMF holiday. Rates from Bloomberg.
</t>
        </r>
      </text>
    </comment>
    <comment ref="O45" authorId="0" shapeId="0">
      <text>
        <r>
          <rPr>
            <sz val="9"/>
            <color indexed="81"/>
            <rFont val="Tahoma"/>
            <family val="2"/>
          </rPr>
          <t xml:space="preserve">IMF holiday. Rates from Bloomberg.
</t>
        </r>
      </text>
    </comment>
    <comment ref="P45" authorId="0" shapeId="0">
      <text>
        <r>
          <rPr>
            <sz val="9"/>
            <color indexed="81"/>
            <rFont val="Tahoma"/>
            <family val="2"/>
          </rPr>
          <t xml:space="preserve">IMF holiday. Rates from Bloomberg.
</t>
        </r>
      </text>
    </comment>
  </commentList>
</comments>
</file>

<file path=xl/sharedStrings.xml><?xml version="1.0" encoding="utf-8"?>
<sst xmlns="http://schemas.openxmlformats.org/spreadsheetml/2006/main" count="104" uniqueCount="65">
  <si>
    <t>USD/SDR</t>
  </si>
  <si>
    <t>Euro</t>
  </si>
  <si>
    <t>Pound Sterling</t>
  </si>
  <si>
    <t>Renminbi</t>
  </si>
  <si>
    <t xml:space="preserve">Weights
</t>
  </si>
  <si>
    <t>Input</t>
  </si>
  <si>
    <t>Japanese Yen</t>
  </si>
  <si>
    <t>US Dollar</t>
  </si>
  <si>
    <t xml:space="preserve">Currency Weights
(In percent)
</t>
  </si>
  <si>
    <t>Date</t>
  </si>
  <si>
    <t>FX Rates</t>
  </si>
  <si>
    <t>Transition Date FX Rate (i.e., TEX)</t>
  </si>
  <si>
    <t>Three-Months Average Base FX (i.e., BEX)</t>
  </si>
  <si>
    <t>Average</t>
  </si>
  <si>
    <t>Source / Notes</t>
  </si>
  <si>
    <t>Legend:</t>
  </si>
  <si>
    <t>Unrounded Currency Amounts</t>
  </si>
  <si>
    <t xml:space="preserve">Illustrative 
</t>
  </si>
  <si>
    <t>Unrounded Currency Amounts (from Step 1)</t>
  </si>
  <si>
    <t>Adjustment</t>
  </si>
  <si>
    <t xml:space="preserve">           (after adjustment)</t>
  </si>
  <si>
    <t>The adopted weights can be found in the "Review of the Method of Valuation of the SDR - Revised Proposed Decision and Illustrative Currency Amounts," Decision No. 15891-(15/109), adopted on November 30, 2015.</t>
  </si>
  <si>
    <t>https://www.imf.org/external/np/fin/data/rms_sdrv.aspx</t>
  </si>
  <si>
    <t xml:space="preserve">
Step 1: 
Calculate unrounded currency amounts
</t>
  </si>
  <si>
    <t>For the purposes of calculation, the transition date is assumed to be the date on which CA are calculated.</t>
  </si>
  <si>
    <t>Illustrative Currency Amounts</t>
  </si>
  <si>
    <t>Assumed Transition Date</t>
  </si>
  <si>
    <t>Check</t>
  </si>
  <si>
    <t>Solution Found:</t>
  </si>
  <si>
    <t>R5</t>
  </si>
  <si>
    <t>R5+Adj</t>
  </si>
  <si>
    <t>R6</t>
  </si>
  <si>
    <t>R6+Adj</t>
  </si>
  <si>
    <t>Solution found at 5 Significant Digits</t>
  </si>
  <si>
    <t>Solution found at 5 Significant Digits with an adjustment to the US dollar</t>
  </si>
  <si>
    <t>Solution found at 6 Significant Digits</t>
  </si>
  <si>
    <t>Solution found at 6 Significant Digits with an adjustment to the US dollar</t>
  </si>
  <si>
    <t>Ensure that the FX rates on Row 27 match the FX rates on the assumed transition date.</t>
  </si>
  <si>
    <t>Day Count</t>
  </si>
  <si>
    <t>Equality Condition</t>
  </si>
  <si>
    <t>Transition Date Check</t>
  </si>
  <si>
    <t xml:space="preserve">
Step 2: 
- Round currency amounts to 5 significant digits and apply an adjustment (cell G17), if needed, to meet the equality condition.
- Check for uniformity of the number of significant digits (cell G23). If violated, Step 3 is needed. If met, calculation ends at step 2.</t>
  </si>
  <si>
    <t>Solution</t>
  </si>
  <si>
    <t>Illustrative Decision Tree for CA Determination</t>
  </si>
  <si>
    <t>Rounded Currency Amounts (6 Sig. Digs.)</t>
  </si>
  <si>
    <t xml:space="preserve">
Step 3:
- Only proceed to this step if the uniformity of sig. digs. was violated under Step 2 (i.e., only if cell M23 displays "R6" or "R6+Adj").
- Round currency amounts to 6 significant digits and apply an adjustment (cell G29), if needed, to meet the equality condition.
</t>
  </si>
  <si>
    <t>Note: In the absense of a simple excel function that concomittantly rounds and displays the desired number of significant digits, the formulas in cells E17:E21, I17:I21, E29:E33 and I29:33 are designed to automate rounding and display of the appropriate number of significant digits with no user intervention.</t>
  </si>
  <si>
    <t>Except as indicated below, FX rates are London Noon Quotes ("LNQ") provided by the Bank of England ("BOE"). On BOE holidays, rates are provided by Federal Reserve Bank of New York ("NY Fed"). If not available there, the rates shall be obtained from the European Central Bank ("ECB").
Note:  
-  From June 29, 2016 onwards, CNH rates are based on the official rates provided by the BOE. All CNH rates prior to June 29 are market-based obtained from Bloomberg (Ticker: CNH L120 Curncy), used only for illustration purposes. 
- The three months average FX (i.e., BEX) for the purposes of calculating currency amounts is based on the full series of FX rates including IMF and BOE holidays and excluding weekends.
- The reciprocal of indirect quotes (i.e., JPY and CNH) are utilized in the calculation with maximum number of decimals provided by Excel.</t>
  </si>
  <si>
    <t>BEX Start Date Check</t>
  </si>
  <si>
    <t>Checks</t>
  </si>
  <si>
    <r>
      <rPr>
        <b/>
        <sz val="12"/>
        <color theme="1"/>
        <rFont val="Segoe UI"/>
        <family val="2"/>
      </rPr>
      <t>"Calculation &amp; Rounding" Sheet:</t>
    </r>
    <r>
      <rPr>
        <sz val="12"/>
        <color theme="1"/>
        <rFont val="Segoe UI"/>
        <family val="2"/>
      </rPr>
      <t xml:space="preserve">
This tab implements the calculation and rounding methodology outlined under the "Read me" tab. 
                                                                                 </t>
    </r>
    <r>
      <rPr>
        <sz val="12"/>
        <color rgb="FFFF0000"/>
        <rFont val="Segoe UI"/>
        <family val="2"/>
      </rPr>
      <t xml:space="preserve"> </t>
    </r>
    <r>
      <rPr>
        <sz val="18"/>
        <color rgb="FFFF0000"/>
        <rFont val="Segoe UI"/>
        <family val="2"/>
      </rPr>
      <t xml:space="preserve">  </t>
    </r>
    <r>
      <rPr>
        <sz val="20"/>
        <color rgb="FFFF0000"/>
        <rFont val="Segoe UI"/>
        <family val="2"/>
      </rPr>
      <t xml:space="preserve">  </t>
    </r>
    <r>
      <rPr>
        <sz val="20"/>
        <color rgb="FFC00000"/>
        <rFont val="Segoe UI"/>
        <family val="2"/>
      </rPr>
      <t>***</t>
    </r>
    <r>
      <rPr>
        <sz val="20"/>
        <color rgb="FFC00000"/>
        <rFont val="Segoe UI Semibold"/>
        <family val="2"/>
      </rPr>
      <t>NO CHANGES SHOULD BE MADE TO THIS TAB***</t>
    </r>
  </si>
  <si>
    <t>Insert FX Rates</t>
  </si>
  <si>
    <t>User Input - EDIT</t>
  </si>
  <si>
    <t>Notes</t>
  </si>
  <si>
    <t>BEX Start Date</t>
  </si>
  <si>
    <t>Calculation/Fixed Input - DO NOT EDIT</t>
  </si>
  <si>
    <t>CNH Official Rates start here</t>
  </si>
  <si>
    <r>
      <t xml:space="preserve">Copy the </t>
    </r>
    <r>
      <rPr>
        <b/>
        <sz val="9"/>
        <color theme="1"/>
        <rFont val="Segoe UI"/>
        <family val="2"/>
      </rPr>
      <t>SDR Value in U.S. dollars</t>
    </r>
    <r>
      <rPr>
        <sz val="9"/>
        <color theme="1"/>
        <rFont val="Segoe UI"/>
        <family val="2"/>
      </rPr>
      <t xml:space="preserve"> prevailing on the assumed transition date entered in </t>
    </r>
    <r>
      <rPr>
        <b/>
        <sz val="9"/>
        <color theme="1"/>
        <rFont val="Segoe UI"/>
        <family val="2"/>
      </rPr>
      <t>cell E10</t>
    </r>
    <r>
      <rPr>
        <sz val="9"/>
        <color theme="1"/>
        <rFont val="Segoe UI"/>
        <family val="2"/>
      </rPr>
      <t xml:space="preserve">  from link below into </t>
    </r>
    <r>
      <rPr>
        <b/>
        <sz val="9"/>
        <color theme="1"/>
        <rFont val="Segoe UI"/>
        <family val="2"/>
      </rPr>
      <t>cell E13</t>
    </r>
    <r>
      <rPr>
        <sz val="9"/>
        <color theme="1"/>
        <rFont val="Segoe UI"/>
        <family val="2"/>
      </rPr>
      <t xml:space="preserve">:  </t>
    </r>
  </si>
  <si>
    <r>
      <t xml:space="preserve">Legal Disclaimer: 
</t>
    </r>
    <r>
      <rPr>
        <sz val="11"/>
        <color theme="1"/>
        <rFont val="Segoe UI"/>
        <family val="2"/>
      </rPr>
      <t>Final currency amounts for the purposes of SDR valuation as of October 1, 2016 will be determined on September 30, 2016 in accordance with the IMF policies. The authoritative source establishing the calculation methodology for currency amounts is the IMF Decision No. 15891-(15/109)</t>
    </r>
    <r>
      <rPr>
        <sz val="11"/>
        <color theme="1"/>
        <rFont val="Segoe UI"/>
        <family val="2"/>
      </rPr>
      <t>. Users are encouraged to consult these documents for authoritative guidance. While every effort has been made to ensure that this excel file accurately reflects current IMF rules for calculation of currency amounts, in case of any inconsistency with the Decision and/or the Board paper, the latter will prevail. This excel file (including any data contained herein) is for general information and illustrative purposes only. It is not a projection of final currency amounts, and is not intended to be relied upon for the purposes of financial, investment or any other type of advice. Any reliance by users on this file, including any modifications hereto, is at the user's own risk. The International Monetary Fund shall not be liable for any damages arising out of use or misuse of the information set out herein.</t>
    </r>
    <r>
      <rPr>
        <b/>
        <sz val="11"/>
        <color theme="1"/>
        <rFont val="Segoe UI"/>
        <family val="2"/>
      </rPr>
      <t xml:space="preserve">
Description: 
</t>
    </r>
    <r>
      <rPr>
        <sz val="11"/>
        <color theme="1"/>
        <rFont val="Segoe UI"/>
        <family val="2"/>
      </rPr>
      <t>This tab describes the calculation of illustrative currency amounts and the proposed rounding methodology.</t>
    </r>
    <r>
      <rPr>
        <b/>
        <sz val="11"/>
        <color theme="1"/>
        <rFont val="Segoe UI"/>
        <family val="2"/>
      </rPr>
      <t xml:space="preserve">
</t>
    </r>
  </si>
  <si>
    <r>
      <rPr>
        <sz val="10.5"/>
        <color rgb="FF0070C0"/>
        <rFont val="Segoe UI Semibold"/>
        <family val="2"/>
      </rPr>
      <t xml:space="preserve">                             1. How Are Currency Amounts Determined?</t>
    </r>
    <r>
      <rPr>
        <sz val="10.5"/>
        <color theme="1"/>
        <rFont val="Segoe UI"/>
        <family val="2"/>
      </rPr>
      <t xml:space="preserve">
</t>
    </r>
    <r>
      <rPr>
        <i/>
        <sz val="10.5"/>
        <color theme="1"/>
        <rFont val="Segoe UI"/>
        <family val="2"/>
      </rPr>
      <t xml:space="preserve">First Step: </t>
    </r>
    <r>
      <rPr>
        <sz val="10.5"/>
        <color theme="1"/>
        <rFont val="Segoe UI"/>
        <family val="2"/>
      </rPr>
      <t>Calculate the unrounded currency amounts (C</t>
    </r>
    <r>
      <rPr>
        <vertAlign val="subscript"/>
        <sz val="10.5"/>
        <color theme="1"/>
        <rFont val="Segoe UI"/>
        <family val="2"/>
      </rPr>
      <t>i</t>
    </r>
    <r>
      <rPr>
        <sz val="10.5"/>
        <color theme="1"/>
        <rFont val="Segoe UI"/>
        <family val="2"/>
      </rPr>
      <t>) using the following formula:
where: 
- W</t>
    </r>
    <r>
      <rPr>
        <vertAlign val="subscript"/>
        <sz val="10.5"/>
        <color theme="1"/>
        <rFont val="Segoe UI"/>
        <family val="2"/>
      </rPr>
      <t>i</t>
    </r>
    <r>
      <rPr>
        <sz val="10.5"/>
        <color theme="1"/>
        <rFont val="Segoe UI"/>
        <family val="2"/>
      </rPr>
      <t xml:space="preserve"> is the weight of currency i as determined by the Board Decision</t>
    </r>
    <r>
      <rPr>
        <vertAlign val="superscript"/>
        <sz val="10.5"/>
        <color theme="1"/>
        <rFont val="Segoe UI"/>
        <family val="2"/>
      </rPr>
      <t>1</t>
    </r>
    <r>
      <rPr>
        <sz val="10.5"/>
        <color theme="1"/>
        <rFont val="Segoe UI"/>
        <family val="2"/>
      </rPr>
      <t>, 
- BEX</t>
    </r>
    <r>
      <rPr>
        <vertAlign val="subscript"/>
        <sz val="10.5"/>
        <color theme="1"/>
        <rFont val="Segoe UI"/>
        <family val="2"/>
      </rPr>
      <t>i</t>
    </r>
    <r>
      <rPr>
        <sz val="10.5"/>
        <color theme="1"/>
        <rFont val="Segoe UI"/>
        <family val="2"/>
      </rPr>
      <t xml:space="preserve"> is the base exchange rate for currency i against the U.S. dollar i.e.; the three-month average exchange rate against the U.S. dollar; 
- TEX</t>
    </r>
    <r>
      <rPr>
        <vertAlign val="subscript"/>
        <sz val="10.5"/>
        <color theme="1"/>
        <rFont val="Segoe UI"/>
        <family val="2"/>
      </rPr>
      <t>i</t>
    </r>
    <r>
      <rPr>
        <sz val="10.5"/>
        <color theme="1"/>
        <rFont val="Segoe UI"/>
        <family val="2"/>
      </rPr>
      <t xml:space="preserve"> is the transition date exchange rate for currency i against the U.S. dollar; and,
- USD/SDR is the U.S. dollar per SDR exchange rate on the transition date, expressed in six significant digits (i.e., "sig. digs.")
This equation ensures that, as per the Decision 1) each currency’s share in the new basket is equal to its Board-determined weight; and 2) the value of the SDR in U.S. dollar terms on the transition date is the same under the old and the new baskets (“equality condition”).
</t>
    </r>
    <r>
      <rPr>
        <i/>
        <sz val="10.5"/>
        <color theme="1"/>
        <rFont val="Segoe UI"/>
        <family val="2"/>
      </rPr>
      <t>Second Step</t>
    </r>
    <r>
      <rPr>
        <sz val="10.5"/>
        <color theme="1"/>
        <rFont val="Segoe UI"/>
        <family val="2"/>
      </rPr>
      <t>: 
a. Round the unrounded currency amounts (obtained from the first step) to five significant digits</t>
    </r>
    <r>
      <rPr>
        <vertAlign val="superscript"/>
        <sz val="10.5"/>
        <color theme="1"/>
        <rFont val="Segoe UI"/>
        <family val="2"/>
      </rPr>
      <t>2</t>
    </r>
    <r>
      <rPr>
        <sz val="10.5"/>
        <color theme="1"/>
        <rFont val="Segoe UI"/>
        <family val="2"/>
      </rPr>
      <t xml:space="preserve"> based on the sixth significant digit. 
b. If the equality condition is not met, compute an adjustment, as illustrated below, and apply it to the US dollar currency amount. 
c. If the currency amount of the US dollar exceeds 5 significant digits after the adjustment then, all unrounded currency amounts are rounded to 6 significant digits and an adjustment can be applied in a similar manner to ensure that the equality condition is met.
</t>
    </r>
    <r>
      <rPr>
        <i/>
        <sz val="10.5"/>
        <color theme="1"/>
        <rFont val="Segoe UI"/>
        <family val="2"/>
      </rPr>
      <t>Note:  As long as the USD/SDR exchange rate on transition date is above 1, currency amounts that meet the equality condition would be found with five significant digits. If the USD/SDR rate were to fall below 1, which has a low likelihood</t>
    </r>
    <r>
      <rPr>
        <i/>
        <vertAlign val="superscript"/>
        <sz val="10.5"/>
        <color theme="1"/>
        <rFont val="Segoe UI"/>
        <family val="2"/>
      </rPr>
      <t>3</t>
    </r>
    <r>
      <rPr>
        <i/>
        <sz val="10.5"/>
        <color theme="1"/>
        <rFont val="Segoe UI"/>
        <family val="2"/>
      </rPr>
      <t xml:space="preserve">, currency amounts that meet the equality condition would likely be found with six significant digits.   
--------------------------
</t>
    </r>
    <r>
      <rPr>
        <vertAlign val="superscript"/>
        <sz val="9.5"/>
        <color theme="1"/>
        <rFont val="Segoe UI"/>
        <family val="2"/>
      </rPr>
      <t xml:space="preserve">1 </t>
    </r>
    <r>
      <rPr>
        <sz val="9.5"/>
        <color theme="1"/>
        <rFont val="Segoe UI"/>
        <family val="2"/>
      </rPr>
      <t>Decision No. 15891-(15/109), adopted on November 30, 2015.</t>
    </r>
    <r>
      <rPr>
        <vertAlign val="superscript"/>
        <sz val="9.5"/>
        <color theme="1"/>
        <rFont val="Segoe UI"/>
        <family val="2"/>
      </rPr>
      <t xml:space="preserve">
2 </t>
    </r>
    <r>
      <rPr>
        <sz val="9.5"/>
        <color theme="1"/>
        <rFont val="Segoe UI"/>
        <family val="2"/>
      </rPr>
      <t xml:space="preserve">In an approximated number that includes decimals, significant digits are counted from the first non-zero digit and include all nonzero digits, any zeros between two non-zero digits, and all trailing zeros that come after a decimal. Leading zeros are never significant. For example: 0.0402 has four decimals but only three significant digits.
</t>
    </r>
    <r>
      <rPr>
        <vertAlign val="superscript"/>
        <sz val="9.5"/>
        <color theme="1"/>
        <rFont val="Segoe UI"/>
        <family val="2"/>
      </rPr>
      <t>3</t>
    </r>
    <r>
      <rPr>
        <sz val="9.5"/>
        <color theme="1"/>
        <rFont val="Segoe UI"/>
        <family val="2"/>
      </rPr>
      <t xml:space="preserve">The USD/SDR rate has fallen below 1 only for a few weeks in early 1985 since 1981. From its current level, it would take very large depreciations of a number of the basket currencies against the U.S. dollar for the rate to fall below 1.  </t>
    </r>
  </si>
  <si>
    <r>
      <t xml:space="preserve">                              </t>
    </r>
    <r>
      <rPr>
        <sz val="10.5"/>
        <color rgb="FF0070C0"/>
        <rFont val="Segoe UI Semibold"/>
        <family val="2"/>
      </rPr>
      <t xml:space="preserve">                  2. How to Use this File?</t>
    </r>
    <r>
      <rPr>
        <sz val="10.5"/>
        <color theme="1"/>
        <rFont val="Segoe UI Semibold"/>
        <family val="2"/>
      </rPr>
      <t xml:space="preserve">
</t>
    </r>
    <r>
      <rPr>
        <b/>
        <sz val="10.5"/>
        <color rgb="FFC00000"/>
        <rFont val="Segoe UI Semibold"/>
        <family val="2"/>
      </rPr>
      <t>The only sheet that can be edited by the user is the "Inputs (Edit)" tab.</t>
    </r>
    <r>
      <rPr>
        <sz val="10.5"/>
        <color theme="1"/>
        <rFont val="Segoe UI Semibold"/>
        <family val="2"/>
      </rPr>
      <t xml:space="preserve">
</t>
    </r>
    <r>
      <rPr>
        <i/>
        <sz val="10.5"/>
        <color theme="1"/>
        <rFont val="Segoe UI"/>
        <family val="2"/>
      </rPr>
      <t>First Step:</t>
    </r>
    <r>
      <rPr>
        <sz val="10.5"/>
        <color theme="1"/>
        <rFont val="Segoe UI Semibold"/>
        <family val="2"/>
      </rPr>
      <t xml:space="preserve"> </t>
    </r>
    <r>
      <rPr>
        <sz val="10.5"/>
        <color theme="1"/>
        <rFont val="Segoe UI"/>
        <family val="2"/>
      </rPr>
      <t xml:space="preserve">Populate the "Inputs (Edit)" sheet with the following:
</t>
    </r>
    <r>
      <rPr>
        <sz val="10.5"/>
        <color theme="1"/>
        <rFont val="Segoe UI Semibold"/>
        <family val="2"/>
      </rPr>
      <t xml:space="preserve">
     </t>
    </r>
    <r>
      <rPr>
        <b/>
        <sz val="10.5"/>
        <color theme="1"/>
        <rFont val="Segoe UI"/>
        <family val="2"/>
      </rPr>
      <t>1. Transition Date (cell E10):</t>
    </r>
    <r>
      <rPr>
        <sz val="10.5"/>
        <color theme="1"/>
        <rFont val="Segoe UI"/>
        <family val="2"/>
      </rPr>
      <t xml:space="preserve"> The official transition date is September 30th, 2016. For the purpose of calculating illustrative currency amounts ("CA"), the transition date is assumed to be the date on which the illustrative currency amounts are calculated. 
   </t>
    </r>
    <r>
      <rPr>
        <b/>
        <sz val="10.5"/>
        <color theme="1"/>
        <rFont val="Segoe UI"/>
        <family val="2"/>
      </rPr>
      <t xml:space="preserve">  2. SDR Value (cell E13): </t>
    </r>
    <r>
      <rPr>
        <sz val="10.5"/>
        <color theme="1"/>
        <rFont val="Segoe UI"/>
        <family val="2"/>
      </rPr>
      <t xml:space="preserve">The SDR value in U.S. dollars should be populated based on the prevailing value on the assumed transition date, as published on the IMF external website.
 </t>
    </r>
    <r>
      <rPr>
        <b/>
        <sz val="10.5"/>
        <color theme="1"/>
        <rFont val="Segoe UI"/>
        <family val="2"/>
      </rPr>
      <t xml:space="preserve">    3. FX Rates (cells N85:Q134):</t>
    </r>
    <r>
      <rPr>
        <i/>
        <sz val="10.5"/>
        <color theme="1"/>
        <rFont val="Segoe UI"/>
        <family val="2"/>
      </rPr>
      <t xml:space="preserve"> </t>
    </r>
    <r>
      <rPr>
        <sz val="10.5"/>
        <color theme="1"/>
        <rFont val="Segoe UI"/>
        <family val="2"/>
      </rPr>
      <t xml:space="preserve">FX rates are London Noon Quotes ("LNQ") provided by the Bank of England ("BOE"). On BOE holidays, rates are provided by Federal Reserve Bank of New York ("NY Fed"). If not available there, the rates shall be obtained from the European Central Bank ("ECB"). </t>
    </r>
    <r>
      <rPr>
        <sz val="10.5"/>
        <color rgb="FFC00000"/>
        <rFont val="Segoe UI Semibold"/>
        <family val="2"/>
      </rPr>
      <t xml:space="preserve">The three-months average (i.e., BEX) is calculated using the entire FX series over the three months period excluding weekends and including holidays.
</t>
    </r>
    <r>
      <rPr>
        <sz val="10.5"/>
        <color theme="1"/>
        <rFont val="Segoe UI"/>
        <family val="2"/>
      </rPr>
      <t xml:space="preserve">
Note: Currency weights are one of the main inputs to the calculation of currency amounts and are already fixed as per the Board Decision.
</t>
    </r>
    <r>
      <rPr>
        <i/>
        <sz val="10.5"/>
        <color theme="1"/>
        <rFont val="Segoe UI"/>
        <family val="2"/>
      </rPr>
      <t>Second Step:</t>
    </r>
    <r>
      <rPr>
        <sz val="10.5"/>
        <color theme="1"/>
        <rFont val="Segoe UI"/>
        <family val="2"/>
      </rPr>
      <t xml:space="preserve"> Collect the calculated currency amounts from cells D6:E10 of the "Output (CA)" tab. For details on how these currency amounts were calculated and rounded, please refer to "Calculation + Rounding" tab but note that no changes can be made to this tab.</t>
    </r>
    <r>
      <rPr>
        <sz val="10.5"/>
        <color theme="1"/>
        <rFont val="Segoe UI Semibold"/>
        <family val="2"/>
      </rPr>
      <t xml:space="preserve">
</t>
    </r>
  </si>
  <si>
    <r>
      <t xml:space="preserve">              </t>
    </r>
    <r>
      <rPr>
        <sz val="10.5"/>
        <color rgb="FF0070C0"/>
        <rFont val="Segoe UI Semibold"/>
        <family val="2"/>
      </rPr>
      <t xml:space="preserve">                               3. How Is the Adjustment Applied?</t>
    </r>
    <r>
      <rPr>
        <sz val="10.5"/>
        <color theme="1"/>
        <rFont val="Segoe UI Semibold"/>
        <family val="2"/>
      </rPr>
      <t xml:space="preserve">
</t>
    </r>
    <r>
      <rPr>
        <i/>
        <sz val="10.5"/>
        <color theme="1"/>
        <rFont val="Segoe UI"/>
        <family val="2"/>
      </rPr>
      <t>First Step:</t>
    </r>
    <r>
      <rPr>
        <sz val="10.5"/>
        <color theme="1"/>
        <rFont val="Segoe UI"/>
        <family val="2"/>
      </rPr>
      <t xml:space="preserve"> Determine if an adjustment is needed. It is required only when the rounded currency amounts (5 sig. digs.) valued at the transition date exchange rates and rounded to six significant digits yields an SDR value that is not equal to the SDR value prevailing on the transition date.
</t>
    </r>
    <r>
      <rPr>
        <i/>
        <sz val="10.5"/>
        <color theme="1"/>
        <rFont val="Segoe UI"/>
        <family val="2"/>
      </rPr>
      <t>Second Step:</t>
    </r>
    <r>
      <rPr>
        <sz val="10.5"/>
        <color theme="1"/>
        <rFont val="Segoe UI"/>
        <family val="2"/>
      </rPr>
      <t xml:space="preserve"> Compute the adjustment required to meet the equality condition.
</t>
    </r>
    <r>
      <rPr>
        <i/>
        <sz val="10.5"/>
        <color theme="1"/>
        <rFont val="Segoe UI"/>
        <family val="2"/>
      </rPr>
      <t>Third Step:</t>
    </r>
    <r>
      <rPr>
        <sz val="10.5"/>
        <color theme="1"/>
        <rFont val="Segoe UI"/>
        <family val="2"/>
      </rPr>
      <t xml:space="preserve"> Add the adjustment to the US dollar currency amount.
</t>
    </r>
    <r>
      <rPr>
        <i/>
        <sz val="10.5"/>
        <color theme="1"/>
        <rFont val="Segoe UI"/>
        <family val="2"/>
      </rPr>
      <t>Note:  If the adjusted currency amount (from third step) exceeds 5 sig. digs. then, all unrounded currency amounts should be rounded to 6 sig. digs. and steps 1-3 should be repeated if the equality condition is not met.</t>
    </r>
  </si>
  <si>
    <r>
      <rPr>
        <b/>
        <sz val="11"/>
        <color theme="1"/>
        <rFont val="Segoe UI"/>
        <family val="2"/>
      </rPr>
      <t xml:space="preserve">Legal Disclaimer: 
</t>
    </r>
    <r>
      <rPr>
        <sz val="11"/>
        <color theme="1"/>
        <rFont val="Segoe UI"/>
        <family val="2"/>
      </rPr>
      <t>Final currency amounts for the purposes of SDR valuation as of October 1, 2016 will be determined on September 30, 2016 in accordance with the IMF policies. The authoritative source establishing the calculation methodology for currency amounts is the IMF Decision No. 15891-(15/109)</t>
    </r>
    <r>
      <rPr>
        <sz val="11"/>
        <color theme="1"/>
        <rFont val="Segoe UI"/>
        <family val="2"/>
      </rPr>
      <t>. Users are encouraged to consult these documents for authoritative guidance. While every effort has been made to ensure that this excel file accurately reflects current IMF rules for calculation of currency amounts, in case of any inconsistency with the Decision and/or the Board paper, the latter will prevail. This excel file (including any data contained herein) is for general information and illustrative purposes only. It is not a projection of final currency amounts, and is not intended to be relied upon for the purposes of financial, investment or any other type of advice. Any reliance by users on this file, including any modifications hereto, is at the user's own risk. The International Monetary Fund shall not be liable for any damages arising out of use or misuse of the information set out herein.</t>
    </r>
    <r>
      <rPr>
        <b/>
        <sz val="11"/>
        <color theme="1"/>
        <rFont val="Segoe UI"/>
        <family val="2"/>
      </rPr>
      <t xml:space="preserve">
Output:</t>
    </r>
    <r>
      <rPr>
        <sz val="11"/>
        <color theme="1"/>
        <rFont val="Segoe UI Semibold"/>
        <family val="2"/>
      </rPr>
      <t xml:space="preserve">
</t>
    </r>
    <r>
      <rPr>
        <sz val="11"/>
        <color theme="1"/>
        <rFont val="Segoe UI"/>
        <family val="2"/>
      </rPr>
      <t>This tab shows the illustrative calculated and rounded currency amounts.</t>
    </r>
    <r>
      <rPr>
        <sz val="22"/>
        <color rgb="FFC00000"/>
        <rFont val="Segoe UI"/>
        <family val="2"/>
      </rPr>
      <t xml:space="preserve">
 </t>
    </r>
    <r>
      <rPr>
        <sz val="20"/>
        <color rgb="FFC00000"/>
        <rFont val="Segoe UI Semibold"/>
        <family val="2"/>
      </rPr>
      <t xml:space="preserve">                                  ***NO CHANGES SHOULD BE MADE TO THIS TAB***</t>
    </r>
  </si>
  <si>
    <t>This checks whether any of the unrounded CA is below 0.01. In which case, the IMF will adjust the formula in the next weekly update to ensure appropriate display of the number of sig. digs.</t>
  </si>
  <si>
    <r>
      <rPr>
        <b/>
        <sz val="12"/>
        <color theme="1"/>
        <rFont val="Segoe UI"/>
        <family val="2"/>
      </rPr>
      <t>"Inputs" Sheet:
    1. Enter the assumed transition date into cell E10. 
    2. Enter the SDR value in U.S. dollars prevailing on the transition date into cell E13. 
    3. Enter the new FX rates in the green cells of columns N, O, P and Q.</t>
    </r>
    <r>
      <rPr>
        <sz val="12"/>
        <color theme="1"/>
        <rFont val="Segoe UI"/>
        <family val="2"/>
      </rPr>
      <t xml:space="preserve">
</t>
    </r>
    <r>
      <rPr>
        <b/>
        <sz val="12"/>
        <color theme="1"/>
        <rFont val="Segoe UI"/>
        <family val="2"/>
      </rPr>
      <t>When updating the FX range:</t>
    </r>
    <r>
      <rPr>
        <sz val="12"/>
        <color theme="1"/>
        <rFont val="Segoe UI"/>
        <family val="2"/>
      </rPr>
      <t xml:space="preserve">
    a. Do NOT delete/add rows.
    b. Ensure that the calculated averages (i.e., cells D25, E25, G25, I25) capture the intended 3-months period (incl. the FX rates on transition date).
    c. Ensure that B27:I27 capture the FX rates on the assumed transition date (i.e., TEX).
    d. Ensure that B91:I91 OR B92:I92 capture the FX rates on the BEX start date (cell E22).
    e.  Check that the FX rates for all currencies have the same number of observations.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</si>
</sst>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3" formatCode="_(* #,##0.00_);_(* \(#,##0.00\);_(* &quot;-&quot;??_);_(@_)"/>
    <numFmt numFmtId="164" formatCode="mm/dd/yy"/>
    <numFmt numFmtId="165" formatCode="0.0000"/>
    <numFmt numFmtId="166" formatCode="0.0"/>
    <numFmt numFmtId="167" formatCode="0.0000000"/>
    <numFmt numFmtId="168" formatCode="0.000000"/>
    <numFmt numFmtId="169" formatCode="0.000000000"/>
    <numFmt numFmtId="170" formatCode="0.0000000000"/>
    <numFmt numFmtId="171" formatCode="0.0000000000000"/>
    <numFmt numFmtId="172" formatCode="0.000000000000000"/>
    <numFmt numFmtId="173" formatCode="0.00000000000000000"/>
    <numFmt numFmtId="174" formatCode="_(* #,##0.000000000000000_);_(* \(#,##0.000000000000000\);_(* &quot;-&quot;??_);_(@_)"/>
    <numFmt numFmtId="175" formatCode="0.0000000000000000"/>
    <numFmt numFmtId="176" formatCode="0.00000"/>
    <numFmt numFmtId="177" formatCode="0.000"/>
    <numFmt numFmtId="178" formatCode="0.000000000000000000"/>
  </numFmts>
  <fonts count="45" x14ac:knownFonts="1">
    <font>
      <sz val="11"/>
      <color theme="1"/>
      <name val="Calibri"/>
      <family val="2"/>
      <scheme val="minor"/>
    </font>
    <font>
      <sz val="10"/>
      <color theme="1"/>
      <name val="Segoe UI"/>
      <family val="2"/>
    </font>
    <font>
      <b/>
      <sz val="9"/>
      <color theme="0"/>
      <name val="Segoe UI"/>
      <family val="2"/>
    </font>
    <font>
      <sz val="9"/>
      <color theme="1"/>
      <name val="Segoe UI"/>
      <family val="2"/>
    </font>
    <font>
      <sz val="10.5"/>
      <color theme="1"/>
      <name val="Segoe UI"/>
      <family val="2"/>
    </font>
    <font>
      <sz val="9"/>
      <name val="Segoe UI"/>
      <family val="2"/>
    </font>
    <font>
      <sz val="9"/>
      <color theme="1"/>
      <name val="Segoe UI Semibold"/>
      <family val="2"/>
    </font>
    <font>
      <sz val="10"/>
      <color theme="1"/>
      <name val="Segoe UI Semibold"/>
      <family val="2"/>
    </font>
    <font>
      <sz val="10"/>
      <name val="Segoe UI Semibold"/>
      <family val="2"/>
    </font>
    <font>
      <sz val="10"/>
      <color theme="0"/>
      <name val="Segoe UI Semibold"/>
      <family val="2"/>
    </font>
    <font>
      <b/>
      <sz val="9"/>
      <name val="Segoe UI Semibold"/>
      <family val="2"/>
    </font>
    <font>
      <sz val="10"/>
      <color theme="0"/>
      <name val="Segoe UI"/>
      <family val="2"/>
    </font>
    <font>
      <sz val="10.5"/>
      <name val="Segoe UI Semibold"/>
      <family val="2"/>
    </font>
    <font>
      <sz val="12"/>
      <color rgb="FF000000"/>
      <name val="Calibri"/>
      <family val="2"/>
    </font>
    <font>
      <sz val="10.5"/>
      <color theme="1"/>
      <name val="Segoe UI Semibold"/>
      <family val="2"/>
    </font>
    <font>
      <i/>
      <sz val="10.5"/>
      <color theme="1"/>
      <name val="Segoe UI"/>
      <family val="2"/>
    </font>
    <font>
      <vertAlign val="subscript"/>
      <sz val="10.5"/>
      <color theme="1"/>
      <name val="Segoe UI"/>
      <family val="2"/>
    </font>
    <font>
      <vertAlign val="superscript"/>
      <sz val="10.5"/>
      <color theme="1"/>
      <name val="Segoe UI"/>
      <family val="2"/>
    </font>
    <font>
      <u/>
      <sz val="11"/>
      <color theme="10"/>
      <name val="Calibri"/>
      <family val="2"/>
      <scheme val="minor"/>
    </font>
    <font>
      <sz val="11"/>
      <color theme="1"/>
      <name val="Calibri"/>
      <family val="2"/>
      <scheme val="minor"/>
    </font>
    <font>
      <sz val="11"/>
      <color theme="1"/>
      <name val="Segoe UI"/>
      <family val="2"/>
    </font>
    <font>
      <sz val="12"/>
      <color theme="1"/>
      <name val="Segoe UI"/>
      <family val="2"/>
    </font>
    <font>
      <b/>
      <sz val="12"/>
      <color theme="1"/>
      <name val="Segoe UI"/>
      <family val="2"/>
    </font>
    <font>
      <b/>
      <sz val="11"/>
      <color theme="1"/>
      <name val="Segoe UI"/>
      <family val="2"/>
    </font>
    <font>
      <sz val="11"/>
      <color theme="1"/>
      <name val="Segoe UI Semibold"/>
      <family val="2"/>
    </font>
    <font>
      <i/>
      <sz val="10"/>
      <color theme="1"/>
      <name val="Segoe UI"/>
      <family val="2"/>
    </font>
    <font>
      <i/>
      <vertAlign val="superscript"/>
      <sz val="10.5"/>
      <color theme="1"/>
      <name val="Segoe UI"/>
      <family val="2"/>
    </font>
    <font>
      <sz val="12"/>
      <color rgb="FFFF0000"/>
      <name val="Segoe UI"/>
      <family val="2"/>
    </font>
    <font>
      <vertAlign val="superscript"/>
      <sz val="9.5"/>
      <color theme="1"/>
      <name val="Segoe UI"/>
      <family val="2"/>
    </font>
    <font>
      <sz val="9.5"/>
      <color theme="1"/>
      <name val="Segoe UI"/>
      <family val="2"/>
    </font>
    <font>
      <sz val="18"/>
      <color rgb="FFFF0000"/>
      <name val="Segoe UI"/>
      <family val="2"/>
    </font>
    <font>
      <sz val="9"/>
      <color indexed="81"/>
      <name val="Tahoma"/>
      <family val="2"/>
    </font>
    <font>
      <b/>
      <sz val="9"/>
      <color theme="1"/>
      <name val="Segoe UI Semibold"/>
      <family val="2"/>
    </font>
    <font>
      <sz val="20"/>
      <color rgb="FFFF0000"/>
      <name val="Segoe UI"/>
      <family val="2"/>
    </font>
    <font>
      <sz val="20"/>
      <color rgb="FFC00000"/>
      <name val="Segoe UI"/>
      <family val="2"/>
    </font>
    <font>
      <sz val="20"/>
      <color rgb="FFC00000"/>
      <name val="Segoe UI Semibold"/>
      <family val="2"/>
    </font>
    <font>
      <sz val="22"/>
      <color rgb="FFC00000"/>
      <name val="Segoe UI"/>
      <family val="2"/>
    </font>
    <font>
      <b/>
      <sz val="10.5"/>
      <color rgb="FFC00000"/>
      <name val="Segoe UI Semibold"/>
      <family val="2"/>
    </font>
    <font>
      <sz val="10.5"/>
      <color rgb="FFC00000"/>
      <name val="Segoe UI Semibold"/>
      <family val="2"/>
    </font>
    <font>
      <b/>
      <sz val="10.5"/>
      <color theme="1"/>
      <name val="Segoe UI"/>
      <family val="2"/>
    </font>
    <font>
      <b/>
      <sz val="9"/>
      <color theme="1"/>
      <name val="Segoe UI"/>
      <family val="2"/>
    </font>
    <font>
      <b/>
      <sz val="9"/>
      <name val="Segoe UI"/>
      <family val="2"/>
    </font>
    <font>
      <sz val="9"/>
      <name val="Segoe UI Semibold"/>
      <family val="2"/>
    </font>
    <font>
      <sz val="10.5"/>
      <color rgb="FF0070C0"/>
      <name val="Segoe UI Semibold"/>
      <family val="2"/>
    </font>
    <font>
      <sz val="11"/>
      <color rgb="FF0070C0"/>
      <name val="Segoe UI Semibold"/>
      <family val="2"/>
    </font>
  </fonts>
  <fills count="11">
    <fill>
      <patternFill patternType="none"/>
    </fill>
    <fill>
      <patternFill patternType="gray125"/>
    </fill>
    <fill>
      <patternFill patternType="solid">
        <fgColor rgb="FF00666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00CC99"/>
        <bgColor indexed="64"/>
      </patternFill>
    </fill>
    <fill>
      <patternFill patternType="solid">
        <fgColor theme="9" tint="0.39997558519241921"/>
        <bgColor indexed="64"/>
      </patternFill>
    </fill>
    <fill>
      <patternFill patternType="solid">
        <fgColor rgb="FF33CCCC"/>
        <bgColor indexed="64"/>
      </patternFill>
    </fill>
    <fill>
      <patternFill patternType="solid">
        <fgColor theme="0"/>
        <bgColor indexed="64"/>
      </patternFill>
    </fill>
    <fill>
      <patternFill patternType="solid">
        <fgColor theme="7" tint="0.79998168889431442"/>
        <bgColor indexed="64"/>
      </patternFill>
    </fill>
    <fill>
      <patternFill patternType="solid">
        <fgColor rgb="FF99FF99"/>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3" fillId="0" borderId="0"/>
    <xf numFmtId="0" fontId="18" fillId="0" borderId="0" applyNumberFormat="0" applyFill="0" applyBorder="0" applyAlignment="0" applyProtection="0"/>
    <xf numFmtId="43" fontId="19" fillId="0" borderId="0" applyFont="0" applyFill="0" applyBorder="0" applyAlignment="0" applyProtection="0"/>
  </cellStyleXfs>
  <cellXfs count="301">
    <xf numFmtId="0" fontId="0" fillId="0" borderId="0" xfId="0"/>
    <xf numFmtId="0" fontId="2" fillId="0" borderId="0" xfId="0" applyFont="1" applyFill="1" applyBorder="1" applyAlignment="1">
      <alignment vertical="center"/>
    </xf>
    <xf numFmtId="0" fontId="3" fillId="0" borderId="0" xfId="0" applyFont="1" applyBorder="1"/>
    <xf numFmtId="0" fontId="3" fillId="0" borderId="1" xfId="0" applyFont="1" applyBorder="1" applyAlignment="1"/>
    <xf numFmtId="0" fontId="1" fillId="0" borderId="0" xfId="0" applyFont="1"/>
    <xf numFmtId="0" fontId="1"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0" borderId="0" xfId="0" applyFont="1" applyAlignment="1">
      <alignment horizontal="center"/>
    </xf>
    <xf numFmtId="0" fontId="3" fillId="0" borderId="0" xfId="0" applyFont="1" applyBorder="1" applyAlignment="1">
      <alignment wrapText="1"/>
    </xf>
    <xf numFmtId="0" fontId="3" fillId="0" borderId="0" xfId="0" applyFont="1" applyBorder="1" applyAlignment="1"/>
    <xf numFmtId="0" fontId="3" fillId="0" borderId="2" xfId="0" applyFont="1" applyBorder="1"/>
    <xf numFmtId="0" fontId="3" fillId="0" borderId="0" xfId="0" applyFont="1" applyFill="1" applyBorder="1"/>
    <xf numFmtId="14" fontId="3" fillId="0" borderId="0" xfId="0" applyNumberFormat="1" applyFont="1" applyFill="1" applyBorder="1"/>
    <xf numFmtId="164" fontId="3" fillId="0" borderId="0" xfId="0" applyNumberFormat="1" applyFont="1" applyBorder="1"/>
    <xf numFmtId="0" fontId="3" fillId="0" borderId="1" xfId="0" applyFont="1" applyFill="1" applyBorder="1"/>
    <xf numFmtId="0" fontId="3" fillId="0" borderId="1" xfId="0" applyFont="1" applyBorder="1"/>
    <xf numFmtId="0" fontId="3" fillId="0" borderId="3" xfId="0" applyFont="1" applyBorder="1"/>
    <xf numFmtId="0" fontId="3" fillId="0" borderId="5" xfId="0" applyFont="1" applyBorder="1"/>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10" xfId="0" applyFont="1" applyFill="1" applyBorder="1"/>
    <xf numFmtId="0" fontId="3" fillId="0" borderId="9" xfId="0" applyFont="1" applyFill="1" applyBorder="1"/>
    <xf numFmtId="0" fontId="6" fillId="0" borderId="0" xfId="0" applyFont="1" applyFill="1" applyBorder="1" applyAlignment="1">
      <alignment horizontal="right" indent="1"/>
    </xf>
    <xf numFmtId="14" fontId="6" fillId="0" borderId="10" xfId="0" applyNumberFormat="1" applyFont="1" applyFill="1" applyBorder="1" applyAlignment="1">
      <alignment horizontal="center"/>
    </xf>
    <xf numFmtId="0" fontId="3" fillId="0" borderId="10" xfId="0" applyFont="1" applyBorder="1"/>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0" xfId="0" applyFont="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4" xfId="0" applyFont="1" applyBorder="1" applyAlignment="1">
      <alignment horizontal="center"/>
    </xf>
    <xf numFmtId="0" fontId="1" fillId="0" borderId="8" xfId="0" applyFont="1" applyBorder="1" applyAlignment="1">
      <alignment horizontal="center"/>
    </xf>
    <xf numFmtId="0" fontId="11" fillId="0" borderId="0" xfId="0" applyFont="1" applyFill="1" applyAlignment="1">
      <alignment vertical="center" wrapText="1"/>
    </xf>
    <xf numFmtId="0" fontId="1" fillId="0" borderId="0" xfId="0" applyFont="1" applyAlignment="1">
      <alignment horizontal="right"/>
    </xf>
    <xf numFmtId="0" fontId="1" fillId="0" borderId="12" xfId="0" applyFont="1" applyBorder="1" applyAlignment="1">
      <alignment horizontal="center" vertical="center"/>
    </xf>
    <xf numFmtId="0" fontId="1" fillId="4" borderId="7" xfId="0" applyFont="1" applyFill="1" applyBorder="1" applyAlignment="1">
      <alignment horizontal="center" vertical="center" wrapText="1"/>
    </xf>
    <xf numFmtId="0" fontId="1" fillId="0" borderId="13" xfId="0" applyFont="1" applyBorder="1"/>
    <xf numFmtId="0" fontId="1" fillId="0" borderId="13" xfId="0" applyFont="1" applyBorder="1" applyAlignment="1">
      <alignment horizontal="center" vertical="center"/>
    </xf>
    <xf numFmtId="0" fontId="1" fillId="0" borderId="7" xfId="0" applyFont="1" applyFill="1" applyBorder="1" applyAlignment="1">
      <alignment horizontal="center" vertical="center" wrapText="1"/>
    </xf>
    <xf numFmtId="0" fontId="1" fillId="0" borderId="9" xfId="0" applyFont="1" applyBorder="1" applyAlignment="1">
      <alignment horizontal="center" vertical="center"/>
    </xf>
    <xf numFmtId="0" fontId="1" fillId="4" borderId="5" xfId="0" applyFont="1" applyFill="1" applyBorder="1" applyAlignment="1">
      <alignment horizontal="center" vertical="center" wrapText="1"/>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0" fontId="1" fillId="0" borderId="0" xfId="0" applyFont="1" applyBorder="1" applyAlignment="1">
      <alignment horizontal="right"/>
    </xf>
    <xf numFmtId="0" fontId="1" fillId="0" borderId="3" xfId="0" applyFont="1" applyFill="1" applyBorder="1"/>
    <xf numFmtId="0" fontId="1" fillId="0" borderId="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0" xfId="0" applyFont="1" applyFill="1" applyBorder="1"/>
    <xf numFmtId="0" fontId="1" fillId="0" borderId="1" xfId="0" applyFont="1" applyFill="1" applyBorder="1"/>
    <xf numFmtId="0" fontId="1" fillId="4" borderId="0" xfId="0" applyFont="1" applyFill="1" applyBorder="1" applyAlignment="1">
      <alignment horizontal="center"/>
    </xf>
    <xf numFmtId="0" fontId="1" fillId="4" borderId="4" xfId="0" applyFont="1" applyFill="1" applyBorder="1" applyAlignment="1">
      <alignment horizontal="center"/>
    </xf>
    <xf numFmtId="0" fontId="1" fillId="4" borderId="1" xfId="0" applyFont="1" applyFill="1" applyBorder="1" applyAlignment="1">
      <alignment horizontal="center"/>
    </xf>
    <xf numFmtId="0" fontId="1" fillId="4" borderId="5" xfId="0" applyFont="1" applyFill="1" applyBorder="1" applyAlignment="1">
      <alignment horizontal="center"/>
    </xf>
    <xf numFmtId="0" fontId="1" fillId="0" borderId="12" xfId="0" applyFont="1" applyBorder="1"/>
    <xf numFmtId="0" fontId="1" fillId="0" borderId="3" xfId="0" applyFont="1" applyBorder="1"/>
    <xf numFmtId="0" fontId="1" fillId="0" borderId="7" xfId="0" applyFont="1" applyBorder="1"/>
    <xf numFmtId="0" fontId="1" fillId="0" borderId="4" xfId="0" applyFont="1" applyBorder="1"/>
    <xf numFmtId="0" fontId="1" fillId="0" borderId="0" xfId="0" applyFont="1" applyBorder="1" applyAlignment="1">
      <alignment horizontal="left" indent="1"/>
    </xf>
    <xf numFmtId="0" fontId="1" fillId="0" borderId="9" xfId="0" applyFont="1" applyBorder="1"/>
    <xf numFmtId="0" fontId="1" fillId="0" borderId="5" xfId="0" applyFont="1" applyBorder="1"/>
    <xf numFmtId="0" fontId="1" fillId="0" borderId="1" xfId="0" applyFont="1" applyBorder="1" applyAlignment="1">
      <alignment horizontal="right" indent="2"/>
    </xf>
    <xf numFmtId="0" fontId="12" fillId="0" borderId="2" xfId="0" applyFont="1" applyFill="1" applyBorder="1" applyAlignment="1">
      <alignment horizontal="center"/>
    </xf>
    <xf numFmtId="0" fontId="1" fillId="0" borderId="3" xfId="0" applyFont="1" applyBorder="1" applyAlignment="1">
      <alignment horizontal="right" indent="2"/>
    </xf>
    <xf numFmtId="0" fontId="8" fillId="6" borderId="0" xfId="0" applyFont="1" applyFill="1" applyBorder="1"/>
    <xf numFmtId="0" fontId="8" fillId="6" borderId="0" xfId="0" applyFont="1" applyFill="1" applyBorder="1" applyAlignment="1">
      <alignment horizontal="center"/>
    </xf>
    <xf numFmtId="0" fontId="1" fillId="5" borderId="13" xfId="0" applyFont="1" applyFill="1" applyBorder="1" applyAlignment="1">
      <alignment horizontal="center" vertical="center" wrapText="1"/>
    </xf>
    <xf numFmtId="0" fontId="1" fillId="5" borderId="8" xfId="0" applyFont="1" applyFill="1" applyBorder="1" applyAlignment="1">
      <alignment horizontal="center" vertical="center" wrapText="1"/>
    </xf>
    <xf numFmtId="171" fontId="1" fillId="4" borderId="0" xfId="0" applyNumberFormat="1" applyFont="1" applyFill="1" applyBorder="1" applyAlignment="1">
      <alignment horizontal="center"/>
    </xf>
    <xf numFmtId="171" fontId="1" fillId="4" borderId="1" xfId="0" applyNumberFormat="1" applyFont="1" applyFill="1" applyBorder="1" applyAlignment="1">
      <alignment horizontal="center"/>
    </xf>
    <xf numFmtId="0" fontId="1" fillId="0" borderId="12" xfId="0" applyFont="1" applyFill="1" applyBorder="1" applyAlignment="1">
      <alignment horizontal="center" vertical="center" wrapText="1"/>
    </xf>
    <xf numFmtId="0" fontId="1" fillId="0" borderId="9" xfId="0" applyFont="1" applyFill="1" applyBorder="1" applyAlignment="1">
      <alignment horizontal="center" vertical="center" wrapText="1"/>
    </xf>
    <xf numFmtId="172" fontId="1" fillId="0" borderId="10" xfId="0" applyNumberFormat="1" applyFont="1" applyFill="1" applyBorder="1" applyAlignment="1">
      <alignment horizontal="center"/>
    </xf>
    <xf numFmtId="172" fontId="1" fillId="0" borderId="9" xfId="0" applyNumberFormat="1" applyFont="1" applyFill="1" applyBorder="1" applyAlignment="1">
      <alignment horizontal="center"/>
    </xf>
    <xf numFmtId="0" fontId="1" fillId="0" borderId="0" xfId="0" applyFont="1" applyAlignment="1">
      <alignment horizontal="center"/>
    </xf>
    <xf numFmtId="0" fontId="0" fillId="0" borderId="0" xfId="0" applyBorder="1"/>
    <xf numFmtId="1" fontId="1" fillId="0" borderId="14" xfId="0" applyNumberFormat="1" applyFont="1" applyBorder="1"/>
    <xf numFmtId="1" fontId="1" fillId="0" borderId="8" xfId="0" applyNumberFormat="1" applyFont="1" applyBorder="1"/>
    <xf numFmtId="0" fontId="3" fillId="0" borderId="6" xfId="0" applyFont="1" applyBorder="1"/>
    <xf numFmtId="0" fontId="3" fillId="0" borderId="0" xfId="0" applyFont="1" applyBorder="1" applyAlignment="1">
      <alignment horizontal="left"/>
    </xf>
    <xf numFmtId="0" fontId="1" fillId="0" borderId="0" xfId="0" quotePrefix="1" applyFont="1" applyAlignment="1">
      <alignment wrapText="1"/>
    </xf>
    <xf numFmtId="0" fontId="1" fillId="0" borderId="5" xfId="0" applyFont="1" applyBorder="1" applyAlignment="1">
      <alignment horizontal="center"/>
    </xf>
    <xf numFmtId="168" fontId="1" fillId="0" borderId="0" xfId="0" applyNumberFormat="1" applyFont="1" applyAlignment="1">
      <alignment horizontal="center"/>
    </xf>
    <xf numFmtId="171" fontId="1" fillId="4" borderId="3" xfId="0" applyNumberFormat="1" applyFont="1" applyFill="1" applyBorder="1"/>
    <xf numFmtId="171" fontId="1" fillId="4" borderId="0" xfId="0" applyNumberFormat="1" applyFont="1" applyFill="1" applyBorder="1"/>
    <xf numFmtId="171" fontId="1" fillId="4" borderId="1" xfId="0" applyNumberFormat="1" applyFont="1" applyFill="1" applyBorder="1"/>
    <xf numFmtId="176" fontId="1" fillId="0" borderId="0" xfId="0" quotePrefix="1" applyNumberFormat="1" applyFont="1" applyFill="1" applyBorder="1" applyAlignment="1">
      <alignment horizontal="center"/>
    </xf>
    <xf numFmtId="0" fontId="1" fillId="0" borderId="0" xfId="0" applyFont="1" applyAlignment="1">
      <alignment horizontal="center"/>
    </xf>
    <xf numFmtId="0" fontId="9" fillId="0" borderId="0" xfId="0" applyFont="1" applyFill="1" applyAlignment="1">
      <alignment horizontal="center"/>
    </xf>
    <xf numFmtId="0" fontId="1" fillId="0" borderId="13" xfId="0" applyFont="1" applyBorder="1" applyAlignment="1">
      <alignment horizontal="center"/>
    </xf>
    <xf numFmtId="176" fontId="1" fillId="0" borderId="5" xfId="0" quotePrefix="1" applyNumberFormat="1" applyFont="1" applyFill="1" applyBorder="1" applyAlignment="1">
      <alignment horizontal="center"/>
    </xf>
    <xf numFmtId="0" fontId="1" fillId="0" borderId="0" xfId="0" applyFont="1" applyAlignment="1"/>
    <xf numFmtId="0" fontId="1" fillId="0" borderId="0" xfId="0" applyFont="1" applyFill="1" applyAlignment="1">
      <alignment horizontal="center"/>
    </xf>
    <xf numFmtId="167" fontId="1" fillId="0" borderId="12" xfId="0" applyNumberFormat="1" applyFont="1" applyFill="1" applyBorder="1"/>
    <xf numFmtId="174" fontId="1" fillId="0" borderId="13" xfId="0" applyNumberFormat="1" applyFont="1" applyBorder="1" applyAlignment="1">
      <alignment horizontal="center"/>
    </xf>
    <xf numFmtId="1" fontId="1" fillId="0" borderId="10" xfId="0" applyNumberFormat="1" applyFont="1" applyBorder="1"/>
    <xf numFmtId="174" fontId="1" fillId="0" borderId="14" xfId="0" applyNumberFormat="1" applyFont="1" applyBorder="1" applyAlignment="1">
      <alignment horizontal="center"/>
    </xf>
    <xf numFmtId="174" fontId="1" fillId="0" borderId="8" xfId="0" applyNumberFormat="1" applyFont="1" applyBorder="1" applyAlignment="1">
      <alignment horizontal="center"/>
    </xf>
    <xf numFmtId="0" fontId="1" fillId="0" borderId="10" xfId="0" applyFont="1" applyFill="1" applyBorder="1"/>
    <xf numFmtId="0" fontId="1" fillId="0" borderId="3" xfId="0" applyFont="1" applyBorder="1" applyAlignment="1">
      <alignment horizontal="center"/>
    </xf>
    <xf numFmtId="171" fontId="1" fillId="4" borderId="3" xfId="0" applyNumberFormat="1" applyFont="1" applyFill="1" applyBorder="1" applyAlignment="1">
      <alignment horizontal="center"/>
    </xf>
    <xf numFmtId="168" fontId="1" fillId="0" borderId="13" xfId="0" applyNumberFormat="1" applyFont="1" applyBorder="1" applyAlignment="1">
      <alignment horizontal="center"/>
    </xf>
    <xf numFmtId="1" fontId="1" fillId="0" borderId="13" xfId="0" applyNumberFormat="1" applyFont="1" applyBorder="1" applyAlignment="1">
      <alignment horizontal="center"/>
    </xf>
    <xf numFmtId="174" fontId="1" fillId="0" borderId="4" xfId="0" applyNumberFormat="1" applyFont="1" applyBorder="1" applyAlignment="1">
      <alignment horizontal="center"/>
    </xf>
    <xf numFmtId="1" fontId="1" fillId="0" borderId="12" xfId="0" applyNumberFormat="1" applyFont="1" applyBorder="1" applyAlignment="1">
      <alignment horizontal="center" vertical="center"/>
    </xf>
    <xf numFmtId="1" fontId="1" fillId="0" borderId="9" xfId="0" applyNumberFormat="1" applyFont="1" applyBorder="1"/>
    <xf numFmtId="1" fontId="6" fillId="0" borderId="0" xfId="0" applyNumberFormat="1" applyFont="1" applyFill="1" applyBorder="1" applyAlignment="1">
      <alignment horizontal="center"/>
    </xf>
    <xf numFmtId="0" fontId="3" fillId="0" borderId="0" xfId="0" applyFont="1" applyBorder="1" applyAlignment="1">
      <alignment horizontal="center"/>
    </xf>
    <xf numFmtId="14" fontId="6" fillId="0" borderId="11" xfId="0" applyNumberFormat="1" applyFont="1" applyFill="1" applyBorder="1" applyAlignment="1">
      <alignment horizontal="center"/>
    </xf>
    <xf numFmtId="1" fontId="6" fillId="4" borderId="2" xfId="0" applyNumberFormat="1" applyFont="1" applyFill="1" applyBorder="1" applyAlignment="1">
      <alignment horizontal="center"/>
    </xf>
    <xf numFmtId="0" fontId="8" fillId="7" borderId="0" xfId="0" applyFont="1" applyFill="1" applyAlignment="1">
      <alignment horizontal="center"/>
    </xf>
    <xf numFmtId="43" fontId="1" fillId="0" borderId="0" xfId="3" applyFont="1"/>
    <xf numFmtId="167" fontId="1" fillId="0" borderId="0" xfId="0" applyNumberFormat="1" applyFont="1" applyAlignment="1">
      <alignment horizontal="center"/>
    </xf>
    <xf numFmtId="0" fontId="7" fillId="0" borderId="3" xfId="0" applyFont="1" applyBorder="1"/>
    <xf numFmtId="176" fontId="1" fillId="0" borderId="0" xfId="0" applyNumberFormat="1" applyFont="1" applyBorder="1" applyAlignment="1">
      <alignment horizontal="right" indent="8"/>
    </xf>
    <xf numFmtId="2" fontId="1" fillId="5" borderId="14" xfId="0" applyNumberFormat="1" applyFont="1" applyFill="1" applyBorder="1" applyAlignment="1">
      <alignment horizontal="right" indent="3"/>
    </xf>
    <xf numFmtId="2" fontId="1" fillId="5" borderId="8" xfId="0" applyNumberFormat="1" applyFont="1" applyFill="1" applyBorder="1" applyAlignment="1">
      <alignment horizontal="right" indent="3"/>
    </xf>
    <xf numFmtId="2" fontId="1" fillId="5" borderId="12" xfId="0" applyNumberFormat="1" applyFont="1" applyFill="1" applyBorder="1" applyAlignment="1">
      <alignment horizontal="right" indent="3"/>
    </xf>
    <xf numFmtId="2" fontId="1" fillId="5" borderId="10" xfId="0" applyNumberFormat="1" applyFont="1" applyFill="1" applyBorder="1" applyAlignment="1">
      <alignment horizontal="right" indent="3"/>
    </xf>
    <xf numFmtId="0" fontId="3" fillId="3" borderId="3" xfId="0" applyFont="1" applyFill="1" applyBorder="1" applyAlignment="1">
      <alignment horizontal="right" indent="3"/>
    </xf>
    <xf numFmtId="0" fontId="3" fillId="3" borderId="0" xfId="0" applyFont="1" applyFill="1" applyBorder="1" applyAlignment="1">
      <alignment horizontal="right" indent="3"/>
    </xf>
    <xf numFmtId="0" fontId="3" fillId="3" borderId="1" xfId="0" applyFont="1" applyFill="1" applyBorder="1" applyAlignment="1">
      <alignment horizontal="right" indent="3"/>
    </xf>
    <xf numFmtId="168" fontId="1" fillId="0" borderId="13" xfId="0" applyNumberFormat="1" applyFont="1" applyFill="1" applyBorder="1" applyAlignment="1">
      <alignment vertical="center"/>
    </xf>
    <xf numFmtId="167" fontId="11" fillId="0" borderId="0" xfId="0" applyNumberFormat="1" applyFont="1" applyFill="1" applyBorder="1" applyAlignment="1">
      <alignment vertical="center"/>
    </xf>
    <xf numFmtId="1" fontId="11" fillId="0" borderId="0" xfId="0" applyNumberFormat="1" applyFont="1" applyFill="1" applyBorder="1" applyAlignment="1">
      <alignment vertical="center"/>
    </xf>
    <xf numFmtId="177" fontId="1" fillId="5" borderId="14" xfId="0" applyNumberFormat="1" applyFont="1" applyFill="1" applyBorder="1" applyAlignment="1">
      <alignment horizontal="right" indent="3"/>
    </xf>
    <xf numFmtId="0" fontId="1" fillId="4" borderId="14" xfId="0" applyFont="1" applyFill="1" applyBorder="1"/>
    <xf numFmtId="0" fontId="1" fillId="4" borderId="8" xfId="0" applyFont="1" applyFill="1" applyBorder="1"/>
    <xf numFmtId="0" fontId="25" fillId="0" borderId="0" xfId="0" applyFont="1" applyBorder="1" applyAlignment="1">
      <alignment horizontal="right"/>
    </xf>
    <xf numFmtId="173" fontId="6" fillId="4" borderId="2" xfId="0" applyNumberFormat="1" applyFont="1" applyFill="1" applyBorder="1" applyAlignment="1" applyProtection="1">
      <alignment horizontal="center" vertical="center"/>
    </xf>
    <xf numFmtId="172" fontId="6" fillId="4" borderId="6" xfId="0" applyNumberFormat="1" applyFont="1" applyFill="1" applyBorder="1" applyAlignment="1" applyProtection="1">
      <alignment horizontal="center" vertical="center"/>
    </xf>
    <xf numFmtId="165" fontId="3" fillId="0" borderId="0" xfId="0" applyNumberFormat="1" applyFont="1" applyFill="1" applyBorder="1" applyAlignment="1" applyProtection="1">
      <alignment horizontal="center" vertical="center"/>
      <protection locked="0"/>
    </xf>
    <xf numFmtId="166" fontId="3" fillId="0" borderId="0" xfId="0" applyNumberFormat="1" applyFont="1" applyFill="1" applyBorder="1" applyAlignment="1" applyProtection="1">
      <alignment horizontal="center" vertical="center"/>
      <protection locked="0"/>
    </xf>
    <xf numFmtId="0" fontId="9" fillId="2" borderId="0" xfId="0" applyFont="1" applyFill="1" applyAlignment="1">
      <alignment horizontal="center"/>
    </xf>
    <xf numFmtId="1" fontId="6" fillId="0" borderId="2" xfId="0" applyNumberFormat="1" applyFont="1" applyFill="1" applyBorder="1" applyAlignment="1">
      <alignment horizontal="center"/>
    </xf>
    <xf numFmtId="178" fontId="3" fillId="4" borderId="0" xfId="0" applyNumberFormat="1" applyFont="1" applyFill="1" applyBorder="1" applyAlignment="1" applyProtection="1">
      <alignment horizontal="center" vertical="center"/>
    </xf>
    <xf numFmtId="176" fontId="1" fillId="0" borderId="0" xfId="0" applyNumberFormat="1" applyFont="1" applyAlignment="1">
      <alignment horizontal="center"/>
    </xf>
    <xf numFmtId="0" fontId="3" fillId="0" borderId="0" xfId="0" applyFont="1" applyAlignment="1">
      <alignment vertical="top" wrapText="1"/>
    </xf>
    <xf numFmtId="1" fontId="5" fillId="0" borderId="0" xfId="0" applyNumberFormat="1" applyFont="1" applyFill="1" applyBorder="1" applyAlignment="1" applyProtection="1">
      <alignment horizontal="center" vertical="center" wrapText="1"/>
      <protection locked="0"/>
    </xf>
    <xf numFmtId="178" fontId="3" fillId="0" borderId="0" xfId="0" applyNumberFormat="1" applyFont="1" applyFill="1" applyBorder="1" applyAlignment="1" applyProtection="1">
      <alignment horizontal="center" vertical="center"/>
    </xf>
    <xf numFmtId="175" fontId="3" fillId="0" borderId="0" xfId="0" applyNumberFormat="1" applyFont="1" applyFill="1" applyBorder="1" applyAlignment="1" applyProtection="1">
      <alignment horizontal="center" vertical="center"/>
    </xf>
    <xf numFmtId="14" fontId="3" fillId="0" borderId="0" xfId="0" applyNumberFormat="1" applyFont="1" applyFill="1" applyBorder="1" applyProtection="1">
      <protection locked="0"/>
    </xf>
    <xf numFmtId="14" fontId="3" fillId="0" borderId="9" xfId="0" applyNumberFormat="1" applyFont="1" applyFill="1" applyBorder="1" applyProtection="1">
      <protection locked="0"/>
    </xf>
    <xf numFmtId="1" fontId="5" fillId="0" borderId="1" xfId="0" applyNumberFormat="1" applyFont="1" applyFill="1" applyBorder="1" applyAlignment="1" applyProtection="1">
      <alignment horizontal="center" vertical="center" wrapText="1"/>
      <protection locked="0"/>
    </xf>
    <xf numFmtId="165" fontId="3" fillId="0" borderId="1" xfId="0" applyNumberFormat="1" applyFont="1" applyFill="1" applyBorder="1" applyAlignment="1" applyProtection="1">
      <alignment horizontal="center" vertical="center"/>
      <protection locked="0"/>
    </xf>
    <xf numFmtId="166" fontId="3" fillId="0" borderId="1" xfId="0" applyNumberFormat="1" applyFont="1" applyFill="1" applyBorder="1" applyAlignment="1" applyProtection="1">
      <alignment horizontal="center" vertical="center"/>
      <protection locked="0"/>
    </xf>
    <xf numFmtId="178" fontId="3" fillId="0" borderId="1" xfId="0" applyNumberFormat="1" applyFont="1" applyFill="1" applyBorder="1" applyAlignment="1" applyProtection="1">
      <alignment horizontal="center" vertical="center"/>
    </xf>
    <xf numFmtId="175" fontId="3" fillId="0" borderId="5" xfId="0" applyNumberFormat="1" applyFont="1" applyFill="1" applyBorder="1" applyAlignment="1" applyProtection="1">
      <alignment horizontal="center" vertical="center"/>
    </xf>
    <xf numFmtId="0" fontId="3" fillId="0" borderId="11" xfId="0" applyFont="1" applyBorder="1"/>
    <xf numFmtId="0" fontId="3" fillId="0" borderId="6" xfId="0" applyFont="1" applyBorder="1" applyAlignment="1">
      <alignment horizontal="center" vertical="center"/>
    </xf>
    <xf numFmtId="14" fontId="3" fillId="0" borderId="10" xfId="0" applyNumberFormat="1" applyFont="1" applyBorder="1"/>
    <xf numFmtId="14" fontId="3" fillId="0" borderId="9" xfId="0" applyNumberFormat="1" applyFont="1" applyBorder="1"/>
    <xf numFmtId="14" fontId="6" fillId="0" borderId="11" xfId="0" applyNumberFormat="1" applyFont="1" applyFill="1" applyBorder="1" applyProtection="1"/>
    <xf numFmtId="1" fontId="10" fillId="4" borderId="2" xfId="0" applyNumberFormat="1" applyFont="1" applyFill="1" applyBorder="1" applyAlignment="1" applyProtection="1">
      <alignment horizontal="center" vertical="center" wrapText="1"/>
    </xf>
    <xf numFmtId="14" fontId="3" fillId="0" borderId="10" xfId="0" applyNumberFormat="1" applyFont="1" applyFill="1" applyBorder="1" applyProtection="1"/>
    <xf numFmtId="165" fontId="3" fillId="4" borderId="0" xfId="0" applyNumberFormat="1" applyFont="1" applyFill="1" applyBorder="1" applyAlignment="1" applyProtection="1">
      <alignment horizontal="center" vertical="center"/>
    </xf>
    <xf numFmtId="2" fontId="3" fillId="4" borderId="0" xfId="0" applyNumberFormat="1" applyFont="1" applyFill="1" applyBorder="1" applyAlignment="1" applyProtection="1">
      <alignment horizontal="center" vertical="center"/>
    </xf>
    <xf numFmtId="1" fontId="5" fillId="4" borderId="0" xfId="0" applyNumberFormat="1" applyFont="1" applyFill="1" applyBorder="1" applyAlignment="1" applyProtection="1">
      <alignment horizontal="center" vertical="center" wrapText="1"/>
    </xf>
    <xf numFmtId="170" fontId="6" fillId="4" borderId="2" xfId="0" applyNumberFormat="1" applyFont="1" applyFill="1" applyBorder="1" applyAlignment="1" applyProtection="1">
      <alignment horizontal="center"/>
      <protection locked="0"/>
    </xf>
    <xf numFmtId="169" fontId="6" fillId="4" borderId="2" xfId="0" applyNumberFormat="1" applyFont="1" applyFill="1" applyBorder="1" applyAlignment="1" applyProtection="1">
      <alignment horizontal="center"/>
      <protection locked="0"/>
    </xf>
    <xf numFmtId="173" fontId="6" fillId="4" borderId="2" xfId="0" applyNumberFormat="1" applyFont="1" applyFill="1" applyBorder="1" applyAlignment="1" applyProtection="1">
      <alignment horizontal="center"/>
      <protection locked="0"/>
    </xf>
    <xf numFmtId="172" fontId="6" fillId="4" borderId="6" xfId="0" applyNumberFormat="1" applyFont="1" applyFill="1" applyBorder="1" applyAlignment="1" applyProtection="1">
      <alignment horizontal="center"/>
      <protection locked="0"/>
    </xf>
    <xf numFmtId="165" fontId="32" fillId="4" borderId="1" xfId="0" applyNumberFormat="1" applyFont="1" applyFill="1" applyBorder="1" applyAlignment="1" applyProtection="1">
      <alignment horizontal="center" vertical="center"/>
    </xf>
    <xf numFmtId="2" fontId="32" fillId="4" borderId="1" xfId="0" applyNumberFormat="1" applyFont="1" applyFill="1" applyBorder="1" applyAlignment="1" applyProtection="1">
      <alignment horizontal="center" vertical="center"/>
    </xf>
    <xf numFmtId="0" fontId="14" fillId="0" borderId="0" xfId="0" applyFont="1" applyBorder="1" applyAlignment="1">
      <alignment vertical="top" wrapText="1"/>
    </xf>
    <xf numFmtId="165" fontId="6" fillId="4" borderId="2" xfId="0" applyNumberFormat="1" applyFont="1" applyFill="1" applyBorder="1" applyAlignment="1" applyProtection="1">
      <alignment horizontal="center" vertical="center"/>
    </xf>
    <xf numFmtId="0" fontId="32" fillId="0" borderId="12" xfId="0" applyFont="1" applyBorder="1"/>
    <xf numFmtId="0" fontId="40" fillId="0" borderId="3" xfId="0" applyFont="1" applyBorder="1"/>
    <xf numFmtId="0" fontId="40" fillId="0" borderId="7" xfId="0" applyFont="1" applyBorder="1"/>
    <xf numFmtId="0" fontId="40" fillId="0" borderId="10" xfId="0" applyFont="1" applyFill="1" applyBorder="1"/>
    <xf numFmtId="0" fontId="40" fillId="0" borderId="0" xfId="0" applyFont="1" applyBorder="1"/>
    <xf numFmtId="0" fontId="40" fillId="0" borderId="4" xfId="0" applyFont="1" applyBorder="1"/>
    <xf numFmtId="0" fontId="40" fillId="3" borderId="10" xfId="0" applyFont="1" applyFill="1" applyBorder="1"/>
    <xf numFmtId="0" fontId="40" fillId="9" borderId="9" xfId="0" applyFont="1" applyFill="1" applyBorder="1"/>
    <xf numFmtId="0" fontId="40" fillId="0" borderId="1" xfId="0" applyFont="1" applyBorder="1"/>
    <xf numFmtId="0" fontId="40" fillId="0" borderId="5" xfId="0" applyFont="1" applyBorder="1"/>
    <xf numFmtId="0" fontId="42" fillId="9" borderId="0" xfId="0" applyFont="1" applyFill="1" applyBorder="1" applyAlignment="1">
      <alignment horizontal="right" indent="1"/>
    </xf>
    <xf numFmtId="0" fontId="3" fillId="0" borderId="9" xfId="0" applyFont="1" applyFill="1" applyBorder="1" applyAlignment="1">
      <alignment horizontal="center"/>
    </xf>
    <xf numFmtId="0" fontId="3" fillId="9" borderId="0" xfId="0" applyFont="1" applyFill="1" applyBorder="1" applyAlignment="1">
      <alignment horizontal="center"/>
    </xf>
    <xf numFmtId="0" fontId="3" fillId="9" borderId="10" xfId="0" applyFont="1" applyFill="1" applyBorder="1"/>
    <xf numFmtId="164" fontId="3" fillId="9" borderId="10" xfId="0" applyNumberFormat="1" applyFont="1" applyFill="1" applyBorder="1"/>
    <xf numFmtId="0" fontId="40" fillId="9" borderId="0" xfId="0" applyFont="1" applyFill="1" applyBorder="1" applyAlignment="1">
      <alignment horizontal="center"/>
    </xf>
    <xf numFmtId="165" fontId="3" fillId="8" borderId="0" xfId="0" applyNumberFormat="1" applyFont="1" applyFill="1" applyBorder="1" applyAlignment="1" applyProtection="1">
      <alignment horizontal="right" vertical="center"/>
      <protection locked="0"/>
    </xf>
    <xf numFmtId="0" fontId="3" fillId="9" borderId="15" xfId="0" applyFont="1" applyFill="1" applyBorder="1" applyAlignment="1">
      <alignment horizontal="center"/>
    </xf>
    <xf numFmtId="0" fontId="3" fillId="0" borderId="13" xfId="0" applyFont="1" applyBorder="1" applyAlignment="1">
      <alignment horizontal="left" vertical="center" wrapText="1" indent="1"/>
    </xf>
    <xf numFmtId="0" fontId="0" fillId="0" borderId="4" xfId="0" applyBorder="1"/>
    <xf numFmtId="0" fontId="0" fillId="0" borderId="10" xfId="0" applyBorder="1"/>
    <xf numFmtId="0" fontId="0" fillId="0" borderId="9" xfId="0" applyBorder="1"/>
    <xf numFmtId="0" fontId="0" fillId="0" borderId="1" xfId="0" applyBorder="1"/>
    <xf numFmtId="0" fontId="0" fillId="0" borderId="5" xfId="0" applyBorder="1"/>
    <xf numFmtId="0" fontId="40" fillId="10" borderId="10" xfId="0" applyFont="1" applyFill="1" applyBorder="1"/>
    <xf numFmtId="0" fontId="0" fillId="5" borderId="0" xfId="0" applyFill="1"/>
    <xf numFmtId="0" fontId="18" fillId="0" borderId="8" xfId="2" applyBorder="1" applyAlignment="1">
      <alignment horizontal="center"/>
    </xf>
    <xf numFmtId="2" fontId="3" fillId="0" borderId="0" xfId="0" applyNumberFormat="1" applyFont="1" applyBorder="1"/>
    <xf numFmtId="2" fontId="3" fillId="8" borderId="0" xfId="0" applyNumberFormat="1" applyFont="1" applyFill="1" applyBorder="1" applyAlignment="1" applyProtection="1">
      <alignment horizontal="right" vertical="center"/>
      <protection locked="0"/>
    </xf>
    <xf numFmtId="2" fontId="3" fillId="0" borderId="1" xfId="0" applyNumberFormat="1" applyFont="1" applyBorder="1"/>
    <xf numFmtId="2" fontId="3" fillId="0" borderId="0" xfId="0" applyNumberFormat="1" applyFont="1" applyFill="1" applyBorder="1" applyProtection="1">
      <protection locked="0"/>
    </xf>
    <xf numFmtId="2" fontId="3" fillId="10" borderId="0" xfId="0" applyNumberFormat="1" applyFont="1" applyFill="1" applyBorder="1" applyProtection="1">
      <protection locked="0"/>
    </xf>
    <xf numFmtId="2" fontId="3" fillId="10" borderId="1" xfId="0" applyNumberFormat="1" applyFont="1" applyFill="1" applyBorder="1" applyProtection="1">
      <protection locked="0"/>
    </xf>
    <xf numFmtId="165" fontId="3" fillId="0" borderId="4" xfId="0" applyNumberFormat="1" applyFont="1" applyBorder="1"/>
    <xf numFmtId="165" fontId="3" fillId="0" borderId="5" xfId="0" applyNumberFormat="1" applyFont="1" applyBorder="1"/>
    <xf numFmtId="165" fontId="3" fillId="0" borderId="4" xfId="0" applyNumberFormat="1" applyFont="1" applyFill="1" applyBorder="1" applyProtection="1">
      <protection locked="0"/>
    </xf>
    <xf numFmtId="165" fontId="3" fillId="10" borderId="4" xfId="0" applyNumberFormat="1" applyFont="1" applyFill="1" applyBorder="1" applyProtection="1">
      <protection locked="0"/>
    </xf>
    <xf numFmtId="165" fontId="3" fillId="10" borderId="5" xfId="0" applyNumberFormat="1" applyFont="1" applyFill="1" applyBorder="1" applyProtection="1">
      <protection locked="0"/>
    </xf>
    <xf numFmtId="165" fontId="3" fillId="0" borderId="0" xfId="0" applyNumberFormat="1" applyFont="1" applyBorder="1"/>
    <xf numFmtId="165" fontId="3" fillId="0" borderId="1" xfId="0" applyNumberFormat="1" applyFont="1" applyBorder="1"/>
    <xf numFmtId="165" fontId="3" fillId="0" borderId="0" xfId="0" applyNumberFormat="1" applyFont="1" applyFill="1" applyBorder="1" applyProtection="1">
      <protection locked="0"/>
    </xf>
    <xf numFmtId="165" fontId="3" fillId="10" borderId="0" xfId="0" applyNumberFormat="1" applyFont="1" applyFill="1" applyBorder="1" applyProtection="1">
      <protection locked="0"/>
    </xf>
    <xf numFmtId="165" fontId="3" fillId="10" borderId="1" xfId="0" applyNumberFormat="1" applyFont="1" applyFill="1" applyBorder="1" applyProtection="1">
      <protection locked="0"/>
    </xf>
    <xf numFmtId="14" fontId="3" fillId="3" borderId="1" xfId="0" applyNumberFormat="1" applyFont="1" applyFill="1" applyBorder="1" applyAlignment="1">
      <alignment horizontal="center"/>
    </xf>
    <xf numFmtId="14" fontId="3" fillId="0" borderId="12" xfId="0" applyNumberFormat="1" applyFont="1" applyFill="1" applyBorder="1" applyProtection="1"/>
    <xf numFmtId="1" fontId="10" fillId="4" borderId="3" xfId="0" applyNumberFormat="1" applyFont="1" applyFill="1" applyBorder="1" applyAlignment="1" applyProtection="1">
      <alignment horizontal="center" vertical="center" wrapText="1"/>
    </xf>
    <xf numFmtId="165" fontId="3" fillId="4" borderId="3" xfId="0" applyNumberFormat="1" applyFont="1" applyFill="1" applyBorder="1" applyAlignment="1" applyProtection="1">
      <alignment horizontal="center" vertical="center"/>
    </xf>
    <xf numFmtId="2" fontId="3" fillId="4" borderId="3" xfId="0" applyNumberFormat="1" applyFont="1" applyFill="1" applyBorder="1" applyAlignment="1" applyProtection="1">
      <alignment horizontal="center" vertical="center"/>
    </xf>
    <xf numFmtId="178" fontId="3" fillId="4" borderId="3" xfId="0" applyNumberFormat="1" applyFont="1" applyFill="1" applyBorder="1" applyAlignment="1" applyProtection="1">
      <alignment horizontal="center" vertical="center"/>
    </xf>
    <xf numFmtId="175" fontId="3" fillId="4" borderId="7" xfId="0" applyNumberFormat="1" applyFont="1" applyFill="1" applyBorder="1" applyAlignment="1" applyProtection="1">
      <alignment horizontal="center" vertical="center"/>
    </xf>
    <xf numFmtId="175" fontId="3" fillId="4" borderId="4" xfId="0" applyNumberFormat="1" applyFont="1" applyFill="1" applyBorder="1" applyAlignment="1" applyProtection="1">
      <alignment horizontal="center" vertical="center"/>
    </xf>
    <xf numFmtId="0" fontId="23" fillId="9" borderId="11" xfId="0" applyFont="1" applyFill="1" applyBorder="1" applyAlignment="1">
      <alignment horizontal="left" vertical="center" wrapText="1" indent="3"/>
    </xf>
    <xf numFmtId="0" fontId="23" fillId="9" borderId="2" xfId="0" applyFont="1" applyFill="1" applyBorder="1" applyAlignment="1">
      <alignment horizontal="left" vertical="center" indent="3"/>
    </xf>
    <xf numFmtId="0" fontId="23" fillId="9" borderId="6" xfId="0" applyFont="1" applyFill="1" applyBorder="1" applyAlignment="1">
      <alignment horizontal="left" vertical="center" indent="3"/>
    </xf>
    <xf numFmtId="0" fontId="4" fillId="0" borderId="12" xfId="0" applyFont="1" applyBorder="1" applyAlignment="1">
      <alignment horizontal="left" vertical="top" wrapText="1"/>
    </xf>
    <xf numFmtId="0" fontId="4" fillId="0" borderId="3" xfId="0" applyFont="1" applyBorder="1" applyAlignment="1">
      <alignment horizontal="left" vertical="top" wrapText="1"/>
    </xf>
    <xf numFmtId="0" fontId="4" fillId="0" borderId="7" xfId="0" applyFont="1" applyBorder="1" applyAlignment="1">
      <alignment horizontal="left" vertical="top" wrapText="1"/>
    </xf>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14" fillId="0" borderId="12" xfId="0" applyFont="1" applyBorder="1" applyAlignment="1">
      <alignment horizontal="left" vertical="top" wrapText="1"/>
    </xf>
    <xf numFmtId="0" fontId="14" fillId="0" borderId="3" xfId="0" applyFont="1" applyBorder="1" applyAlignment="1">
      <alignment horizontal="left" vertical="top" wrapText="1"/>
    </xf>
    <xf numFmtId="0" fontId="14" fillId="0" borderId="7" xfId="0" applyFont="1" applyBorder="1" applyAlignment="1">
      <alignment horizontal="left" vertical="top" wrapText="1"/>
    </xf>
    <xf numFmtId="0" fontId="14" fillId="0" borderId="10" xfId="0" applyFont="1" applyBorder="1" applyAlignment="1">
      <alignment horizontal="left" vertical="top" wrapText="1"/>
    </xf>
    <xf numFmtId="0" fontId="14" fillId="0" borderId="0" xfId="0" applyFont="1" applyBorder="1" applyAlignment="1">
      <alignment horizontal="left" vertical="top" wrapText="1"/>
    </xf>
    <xf numFmtId="0" fontId="14" fillId="0" borderId="4" xfId="0" applyFont="1" applyBorder="1" applyAlignment="1">
      <alignment horizontal="left" vertical="top" wrapText="1"/>
    </xf>
    <xf numFmtId="0" fontId="14" fillId="0" borderId="9" xfId="0" applyFont="1" applyBorder="1" applyAlignment="1">
      <alignment horizontal="left" vertical="top" wrapText="1"/>
    </xf>
    <xf numFmtId="0" fontId="14" fillId="0" borderId="1" xfId="0" applyFont="1" applyBorder="1" applyAlignment="1">
      <alignment horizontal="left" vertical="top" wrapText="1"/>
    </xf>
    <xf numFmtId="0" fontId="14" fillId="0" borderId="5" xfId="0" applyFont="1" applyBorder="1" applyAlignment="1">
      <alignment horizontal="left" vertical="top" wrapText="1"/>
    </xf>
    <xf numFmtId="0" fontId="44" fillId="8" borderId="12" xfId="0" applyFont="1" applyFill="1" applyBorder="1" applyAlignment="1">
      <alignment horizontal="center" vertical="center" wrapText="1"/>
    </xf>
    <xf numFmtId="0" fontId="44" fillId="8" borderId="3" xfId="0" applyFont="1" applyFill="1" applyBorder="1" applyAlignment="1">
      <alignment horizontal="center" vertical="center" wrapText="1"/>
    </xf>
    <xf numFmtId="0" fontId="44" fillId="8" borderId="7" xfId="0" applyFont="1" applyFill="1" applyBorder="1" applyAlignment="1">
      <alignment horizontal="center" vertical="center" wrapText="1"/>
    </xf>
    <xf numFmtId="0" fontId="44" fillId="8" borderId="10" xfId="0" applyFont="1" applyFill="1" applyBorder="1" applyAlignment="1">
      <alignment horizontal="center" vertical="center" wrapText="1"/>
    </xf>
    <xf numFmtId="0" fontId="44" fillId="8" borderId="0" xfId="0" applyFont="1" applyFill="1" applyBorder="1" applyAlignment="1">
      <alignment horizontal="center" vertical="center" wrapText="1"/>
    </xf>
    <xf numFmtId="0" fontId="44" fillId="8" borderId="4" xfId="0" applyFont="1" applyFill="1" applyBorder="1" applyAlignment="1">
      <alignment horizontal="center" vertical="center" wrapText="1"/>
    </xf>
    <xf numFmtId="0" fontId="3" fillId="0" borderId="1" xfId="0" applyFont="1" applyBorder="1" applyAlignment="1">
      <alignment horizontal="center"/>
    </xf>
    <xf numFmtId="0" fontId="3" fillId="0" borderId="3" xfId="0" applyFont="1" applyBorder="1" applyAlignment="1">
      <alignment horizontal="center" vertical="top" wrapText="1"/>
    </xf>
    <xf numFmtId="0" fontId="3" fillId="0" borderId="7" xfId="0" applyFont="1" applyBorder="1" applyAlignment="1">
      <alignment horizontal="center" vertical="top" wrapText="1"/>
    </xf>
    <xf numFmtId="0" fontId="3" fillId="0" borderId="1" xfId="0" applyFont="1" applyBorder="1" applyAlignment="1">
      <alignment horizontal="center" vertical="top" wrapText="1"/>
    </xf>
    <xf numFmtId="0" fontId="3" fillId="0" borderId="5" xfId="0" applyFont="1" applyBorder="1" applyAlignment="1">
      <alignment horizontal="center" vertical="top" wrapText="1"/>
    </xf>
    <xf numFmtId="0" fontId="41" fillId="9" borderId="3" xfId="0" applyFont="1" applyFill="1" applyBorder="1" applyAlignment="1">
      <alignment horizontal="center" vertical="center"/>
    </xf>
    <xf numFmtId="0" fontId="41" fillId="9" borderId="1" xfId="0" applyFont="1" applyFill="1" applyBorder="1" applyAlignment="1">
      <alignment horizontal="center" vertical="center"/>
    </xf>
    <xf numFmtId="0" fontId="42" fillId="9" borderId="1" xfId="0" applyFont="1" applyFill="1" applyBorder="1" applyAlignment="1">
      <alignment horizontal="center"/>
    </xf>
    <xf numFmtId="164" fontId="3" fillId="0" borderId="0" xfId="0" applyNumberFormat="1" applyFont="1" applyBorder="1" applyAlignment="1">
      <alignment horizontal="center" vertical="center" wrapText="1"/>
    </xf>
    <xf numFmtId="0" fontId="21" fillId="9" borderId="11" xfId="0" applyFont="1" applyFill="1" applyBorder="1" applyAlignment="1">
      <alignment horizontal="left" vertical="center" wrapText="1" indent="3"/>
    </xf>
    <xf numFmtId="0" fontId="21" fillId="9" borderId="2" xfId="0" applyFont="1" applyFill="1" applyBorder="1" applyAlignment="1">
      <alignment horizontal="left" vertical="center" indent="3"/>
    </xf>
    <xf numFmtId="0" fontId="21" fillId="9" borderId="6" xfId="0" applyFont="1" applyFill="1" applyBorder="1" applyAlignment="1">
      <alignment horizontal="left" vertical="center" indent="3"/>
    </xf>
    <xf numFmtId="0" fontId="3" fillId="0" borderId="3" xfId="0" applyFont="1" applyBorder="1" applyAlignment="1">
      <alignment horizontal="left" vertical="top" wrapText="1"/>
    </xf>
    <xf numFmtId="0" fontId="3" fillId="0" borderId="7" xfId="0" applyFont="1" applyBorder="1" applyAlignment="1">
      <alignment horizontal="left" vertical="top" wrapText="1"/>
    </xf>
    <xf numFmtId="0" fontId="3" fillId="0" borderId="1"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Border="1" applyAlignment="1">
      <alignment horizontal="left" vertical="top" wrapText="1" indent="1"/>
    </xf>
    <xf numFmtId="0" fontId="3" fillId="0" borderId="7" xfId="0" applyFont="1" applyBorder="1" applyAlignment="1">
      <alignment horizontal="left" vertical="center" wrapText="1" indent="1"/>
    </xf>
    <xf numFmtId="0" fontId="3" fillId="0" borderId="5" xfId="0" applyFont="1" applyBorder="1" applyAlignment="1">
      <alignment horizontal="left" vertical="center" wrapText="1" indent="1"/>
    </xf>
    <xf numFmtId="0" fontId="41" fillId="9" borderId="12" xfId="0" applyFont="1" applyFill="1" applyBorder="1" applyAlignment="1">
      <alignment horizontal="center" vertical="center" wrapText="1"/>
    </xf>
    <xf numFmtId="0" fontId="41" fillId="9" borderId="9" xfId="0" applyFont="1" applyFill="1" applyBorder="1" applyAlignment="1">
      <alignment horizontal="center" vertical="center" wrapText="1"/>
    </xf>
    <xf numFmtId="14" fontId="1" fillId="10" borderId="3" xfId="0" applyNumberFormat="1" applyFont="1" applyFill="1" applyBorder="1" applyAlignment="1" applyProtection="1">
      <alignment horizontal="center" vertical="center"/>
      <protection locked="0"/>
    </xf>
    <xf numFmtId="14" fontId="1" fillId="10" borderId="1" xfId="0" applyNumberFormat="1" applyFont="1" applyFill="1" applyBorder="1" applyAlignment="1" applyProtection="1">
      <alignment horizontal="center" vertical="center"/>
      <protection locked="0"/>
    </xf>
    <xf numFmtId="0" fontId="12" fillId="0" borderId="11" xfId="0" applyFont="1" applyFill="1" applyBorder="1" applyAlignment="1">
      <alignment horizontal="center"/>
    </xf>
    <xf numFmtId="0" fontId="12" fillId="0" borderId="2" xfId="0" applyFont="1" applyFill="1" applyBorder="1" applyAlignment="1">
      <alignment horizontal="center"/>
    </xf>
    <xf numFmtId="0" fontId="12" fillId="0" borderId="6" xfId="0" applyFont="1" applyFill="1" applyBorder="1" applyAlignment="1">
      <alignment horizontal="center"/>
    </xf>
    <xf numFmtId="0" fontId="41" fillId="9" borderId="10" xfId="0" applyFont="1" applyFill="1" applyBorder="1" applyAlignment="1">
      <alignment horizontal="center" vertical="center" wrapText="1"/>
    </xf>
    <xf numFmtId="0" fontId="3" fillId="0" borderId="3" xfId="0" applyFont="1" applyBorder="1" applyAlignment="1">
      <alignment horizontal="left" indent="7"/>
    </xf>
    <xf numFmtId="0" fontId="3" fillId="0" borderId="0" xfId="0" applyFont="1" applyBorder="1" applyAlignment="1">
      <alignment horizontal="left" indent="7"/>
    </xf>
    <xf numFmtId="0" fontId="3" fillId="0" borderId="1" xfId="0" applyFont="1" applyBorder="1" applyAlignment="1">
      <alignment horizontal="left" indent="7"/>
    </xf>
    <xf numFmtId="0" fontId="3" fillId="0" borderId="3" xfId="0" applyFont="1" applyBorder="1" applyAlignment="1">
      <alignment horizontal="left" vertical="center" wrapText="1" indent="1"/>
    </xf>
    <xf numFmtId="0" fontId="3" fillId="0" borderId="0" xfId="0" applyFont="1" applyBorder="1" applyAlignment="1">
      <alignment horizontal="left" vertical="center" wrapText="1" indent="1"/>
    </xf>
    <xf numFmtId="0" fontId="3" fillId="0" borderId="1" xfId="0" applyFont="1" applyBorder="1" applyAlignment="1">
      <alignment horizontal="left" vertical="center" wrapText="1" indent="1"/>
    </xf>
    <xf numFmtId="0" fontId="41" fillId="9" borderId="11" xfId="0" applyFont="1" applyFill="1" applyBorder="1" applyAlignment="1">
      <alignment horizontal="center" vertical="center" wrapText="1"/>
    </xf>
    <xf numFmtId="0" fontId="41" fillId="9" borderId="2" xfId="0" applyFont="1" applyFill="1" applyBorder="1" applyAlignment="1">
      <alignment horizontal="center" vertical="center" wrapText="1"/>
    </xf>
    <xf numFmtId="0" fontId="41" fillId="9" borderId="6" xfId="0" applyFont="1" applyFill="1" applyBorder="1" applyAlignment="1">
      <alignment horizontal="center" vertical="center" wrapText="1"/>
    </xf>
    <xf numFmtId="0" fontId="3" fillId="10" borderId="0" xfId="0" applyFont="1" applyFill="1" applyBorder="1" applyAlignment="1" applyProtection="1">
      <alignment horizontal="center" vertical="center"/>
      <protection locked="0"/>
    </xf>
    <xf numFmtId="0" fontId="3" fillId="10" borderId="1" xfId="0" applyFont="1" applyFill="1" applyBorder="1" applyAlignment="1" applyProtection="1">
      <alignment horizontal="center" vertical="center"/>
      <protection locked="0"/>
    </xf>
    <xf numFmtId="0" fontId="21" fillId="9" borderId="0" xfId="0" applyFont="1" applyFill="1" applyAlignment="1">
      <alignment horizontal="left" vertical="top" wrapText="1"/>
    </xf>
    <xf numFmtId="0" fontId="21" fillId="9" borderId="0" xfId="0" applyFont="1" applyFill="1" applyAlignment="1">
      <alignment horizontal="left" vertical="top"/>
    </xf>
    <xf numFmtId="0" fontId="1" fillId="0" borderId="0" xfId="0" applyFont="1" applyBorder="1" applyAlignment="1">
      <alignment horizontal="center" vertical="center" wrapText="1"/>
    </xf>
    <xf numFmtId="0" fontId="3" fillId="0" borderId="0" xfId="0" applyFont="1" applyAlignment="1">
      <alignment horizontal="left" vertical="top" wrapText="1"/>
    </xf>
    <xf numFmtId="0" fontId="12" fillId="9" borderId="13" xfId="0" applyFont="1" applyFill="1" applyBorder="1" applyAlignment="1">
      <alignment horizontal="left" vertical="top" wrapText="1" indent="3"/>
    </xf>
    <xf numFmtId="0" fontId="12" fillId="9" borderId="14" xfId="0" applyFont="1" applyFill="1" applyBorder="1" applyAlignment="1">
      <alignment horizontal="left" vertical="top" wrapText="1" indent="3"/>
    </xf>
    <xf numFmtId="0" fontId="12" fillId="9" borderId="8" xfId="0" applyFont="1" applyFill="1" applyBorder="1" applyAlignment="1">
      <alignment horizontal="left" vertical="top" wrapText="1" indent="3"/>
    </xf>
    <xf numFmtId="0" fontId="1" fillId="9" borderId="0" xfId="0" applyFont="1" applyFill="1" applyAlignment="1">
      <alignment horizontal="center" vertical="center" wrapText="1"/>
    </xf>
    <xf numFmtId="0" fontId="24" fillId="0" borderId="0" xfId="0" applyFont="1" applyFill="1" applyAlignment="1">
      <alignment horizontal="center" wrapText="1"/>
    </xf>
    <xf numFmtId="0" fontId="24" fillId="9" borderId="0" xfId="0" applyFont="1" applyFill="1" applyAlignment="1">
      <alignment horizontal="left" vertical="top" wrapText="1"/>
    </xf>
  </cellXfs>
  <cellStyles count="4">
    <cellStyle name="Comma" xfId="3" builtinId="3"/>
    <cellStyle name="Hyperlink" xfId="2" builtinId="8"/>
    <cellStyle name="Normal" xfId="0" builtinId="0"/>
    <cellStyle name="Normal 2" xfId="1"/>
  </cellStyles>
  <dxfs count="35">
    <dxf>
      <font>
        <color rgb="FF006100"/>
      </font>
      <fill>
        <patternFill>
          <bgColor rgb="FFC6EFCE"/>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CC99"/>
      <color rgb="FF99FF99"/>
      <color rgb="FF66FF66"/>
      <color rgb="FF00FF00"/>
      <color rgb="FF006666"/>
      <color rgb="FF33CCCC"/>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64995</xdr:colOff>
      <xdr:row>5</xdr:row>
      <xdr:rowOff>141568</xdr:rowOff>
    </xdr:from>
    <xdr:to>
      <xdr:col>6</xdr:col>
      <xdr:colOff>494927</xdr:colOff>
      <xdr:row>9</xdr:row>
      <xdr:rowOff>53908</xdr:rowOff>
    </xdr:to>
    <xdr:pic>
      <xdr:nvPicPr>
        <xdr:cNvPr id="4" name="Picture 3"/>
        <xdr:cNvPicPr>
          <a:picLocks noChangeAspect="1"/>
        </xdr:cNvPicPr>
      </xdr:nvPicPr>
      <xdr:blipFill>
        <a:blip xmlns:r="http://schemas.openxmlformats.org/officeDocument/2006/relationships" r:embed="rId1"/>
        <a:stretch>
          <a:fillRect/>
        </a:stretch>
      </xdr:blipFill>
      <xdr:spPr>
        <a:xfrm>
          <a:off x="1484407" y="2457450"/>
          <a:ext cx="2250888" cy="659399"/>
        </a:xfrm>
        <a:prstGeom prst="rect">
          <a:avLst/>
        </a:prstGeom>
      </xdr:spPr>
    </xdr:pic>
    <xdr:clientData/>
  </xdr:twoCellAnchor>
  <xdr:oneCellAnchor>
    <xdr:from>
      <xdr:col>2</xdr:col>
      <xdr:colOff>128462</xdr:colOff>
      <xdr:row>29</xdr:row>
      <xdr:rowOff>1316</xdr:rowOff>
    </xdr:from>
    <xdr:ext cx="3784259" cy="204671"/>
    <mc:AlternateContent xmlns:mc="http://schemas.openxmlformats.org/markup-compatibility/2006" xmlns:a14="http://schemas.microsoft.com/office/drawing/2010/main">
      <mc:Choice Requires="a14">
        <xdr:sp macro="" textlink="">
          <xdr:nvSpPr>
            <xdr:cNvPr id="5" name="TextBox 4"/>
            <xdr:cNvSpPr txBox="1"/>
          </xdr:nvSpPr>
          <xdr:spPr>
            <a:xfrm>
              <a:off x="940888" y="6799551"/>
              <a:ext cx="3784259" cy="2046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panose="02040503050406030204" pitchFamily="18" charset="0"/>
                        <a:ea typeface="Cambria Math" panose="02040503050406030204" pitchFamily="18" charset="0"/>
                      </a:rPr>
                      <m:t>𝐴𝑑𝑗𝑢𝑠𝑡𝑚𝑒𝑛𝑡</m:t>
                    </m:r>
                    <m:r>
                      <a:rPr lang="en-US" sz="1200" b="0" i="1">
                        <a:latin typeface="Cambria Math" panose="02040503050406030204" pitchFamily="18" charset="0"/>
                        <a:ea typeface="Cambria Math" panose="02040503050406030204" pitchFamily="18" charset="0"/>
                      </a:rPr>
                      <m:t>= </m:t>
                    </m:r>
                    <m:sSub>
                      <m:sSubPr>
                        <m:ctrlPr>
                          <a:rPr lang="en-US" sz="1200" b="0" i="1">
                            <a:latin typeface="Cambria Math" panose="02040503050406030204" pitchFamily="18" charset="0"/>
                            <a:ea typeface="Cambria Math" panose="02040503050406030204" pitchFamily="18" charset="0"/>
                          </a:rPr>
                        </m:ctrlPr>
                      </m:sSubPr>
                      <m:e>
                        <m:f>
                          <m:fPr>
                            <m:type m:val="lin"/>
                            <m:ctrlPr>
                              <a:rPr lang="en-US" sz="1200" b="0" i="1">
                                <a:solidFill>
                                  <a:schemeClr val="tx1"/>
                                </a:solidFill>
                                <a:effectLst/>
                                <a:latin typeface="Cambria Math" panose="02040503050406030204" pitchFamily="18" charset="0"/>
                                <a:ea typeface="Cambria Math" panose="02040503050406030204" pitchFamily="18" charset="0"/>
                                <a:cs typeface="+mn-cs"/>
                              </a:rPr>
                            </m:ctrlPr>
                          </m:fPr>
                          <m:num>
                            <m:r>
                              <a:rPr lang="en-US" sz="1200" b="0" i="1">
                                <a:solidFill>
                                  <a:schemeClr val="tx1"/>
                                </a:solidFill>
                                <a:effectLst/>
                                <a:latin typeface="Cambria Math" panose="02040503050406030204" pitchFamily="18" charset="0"/>
                                <a:ea typeface="Cambria Math" panose="02040503050406030204" pitchFamily="18" charset="0"/>
                                <a:cs typeface="+mn-cs"/>
                              </a:rPr>
                              <m:t>𝑈𝑆𝐷</m:t>
                            </m:r>
                          </m:num>
                          <m:den>
                            <m:r>
                              <a:rPr lang="en-US" sz="1200" b="0" i="1">
                                <a:solidFill>
                                  <a:schemeClr val="tx1"/>
                                </a:solidFill>
                                <a:effectLst/>
                                <a:latin typeface="Cambria Math" panose="02040503050406030204" pitchFamily="18" charset="0"/>
                                <a:ea typeface="Cambria Math" panose="02040503050406030204" pitchFamily="18" charset="0"/>
                                <a:cs typeface="+mn-cs"/>
                              </a:rPr>
                              <m:t>𝑆𝐷𝑅</m:t>
                            </m:r>
                          </m:den>
                        </m:f>
                        <m:r>
                          <m:rPr>
                            <m:nor/>
                          </m:rPr>
                          <a:rPr lang="en-US" sz="1200" b="0">
                            <a:effectLst/>
                            <a:latin typeface="Segoe UI Semibold" panose="020B0702040204020203" pitchFamily="34" charset="0"/>
                            <a:ea typeface="Cambria Math" panose="02040503050406030204" pitchFamily="18" charset="0"/>
                          </a:rPr>
                          <m:t> </m:t>
                        </m:r>
                      </m:e>
                      <m:sub>
                        <m:r>
                          <a:rPr lang="en-US" sz="1200" b="0" i="1">
                            <a:latin typeface="Cambria Math" panose="02040503050406030204" pitchFamily="18" charset="0"/>
                            <a:ea typeface="Cambria Math" panose="02040503050406030204" pitchFamily="18" charset="0"/>
                          </a:rPr>
                          <m:t>𝑎𝑐𝑡𝑢𝑎𝑙</m:t>
                        </m:r>
                      </m:sub>
                    </m:sSub>
                    <m:r>
                      <a:rPr lang="en-US" sz="1200" b="0" i="1">
                        <a:latin typeface="Cambria Math" panose="02040503050406030204" pitchFamily="18" charset="0"/>
                        <a:ea typeface="Cambria Math" panose="02040503050406030204" pitchFamily="18" charset="0"/>
                      </a:rPr>
                      <m:t>− </m:t>
                    </m:r>
                    <m:sSub>
                      <m:sSubPr>
                        <m:ctrlPr>
                          <a:rPr lang="en-US" sz="1200" b="0" i="1">
                            <a:solidFill>
                              <a:schemeClr val="tx1"/>
                            </a:solidFill>
                            <a:effectLst/>
                            <a:latin typeface="Cambria Math" panose="02040503050406030204" pitchFamily="18" charset="0"/>
                            <a:ea typeface="Cambria Math" panose="02040503050406030204" pitchFamily="18" charset="0"/>
                            <a:cs typeface="+mn-cs"/>
                          </a:rPr>
                        </m:ctrlPr>
                      </m:sSubPr>
                      <m:e>
                        <m:f>
                          <m:fPr>
                            <m:type m:val="lin"/>
                            <m:ctrlPr>
                              <a:rPr lang="en-US" sz="1200" b="0" i="1">
                                <a:solidFill>
                                  <a:schemeClr val="tx1"/>
                                </a:solidFill>
                                <a:effectLst/>
                                <a:latin typeface="Cambria Math" panose="02040503050406030204" pitchFamily="18" charset="0"/>
                                <a:ea typeface="Cambria Math" panose="02040503050406030204" pitchFamily="18" charset="0"/>
                                <a:cs typeface="+mn-cs"/>
                              </a:rPr>
                            </m:ctrlPr>
                          </m:fPr>
                          <m:num>
                            <m:r>
                              <a:rPr lang="en-US" sz="1200" b="0" i="1">
                                <a:solidFill>
                                  <a:schemeClr val="tx1"/>
                                </a:solidFill>
                                <a:effectLst/>
                                <a:latin typeface="Cambria Math" panose="02040503050406030204" pitchFamily="18" charset="0"/>
                                <a:ea typeface="Cambria Math" panose="02040503050406030204" pitchFamily="18" charset="0"/>
                                <a:cs typeface="+mn-cs"/>
                              </a:rPr>
                              <m:t>𝑈𝑆𝐷</m:t>
                            </m:r>
                          </m:num>
                          <m:den>
                            <m:r>
                              <a:rPr lang="en-US" sz="1200" b="0" i="1">
                                <a:solidFill>
                                  <a:schemeClr val="tx1"/>
                                </a:solidFill>
                                <a:effectLst/>
                                <a:latin typeface="Cambria Math" panose="02040503050406030204" pitchFamily="18" charset="0"/>
                                <a:ea typeface="Cambria Math" panose="02040503050406030204" pitchFamily="18" charset="0"/>
                                <a:cs typeface="+mn-cs"/>
                              </a:rPr>
                              <m:t>𝑆𝐷𝑅</m:t>
                            </m:r>
                          </m:den>
                        </m:f>
                        <m:r>
                          <m:rPr>
                            <m:nor/>
                          </m:rPr>
                          <a:rPr lang="en-US" sz="1200" b="0" i="1">
                            <a:solidFill>
                              <a:schemeClr val="tx1"/>
                            </a:solidFill>
                            <a:effectLst/>
                            <a:latin typeface="Segoe UI Semibold" panose="020B0702040204020203" pitchFamily="34" charset="0"/>
                            <a:ea typeface="Cambria Math" panose="02040503050406030204" pitchFamily="18" charset="0"/>
                            <a:cs typeface="+mn-cs"/>
                          </a:rPr>
                          <m:t> </m:t>
                        </m:r>
                      </m:e>
                      <m:sub>
                        <m:r>
                          <a:rPr lang="en-US" sz="1200" b="0" i="1">
                            <a:solidFill>
                              <a:schemeClr val="tx1"/>
                            </a:solidFill>
                            <a:effectLst/>
                            <a:latin typeface="Cambria Math" panose="02040503050406030204" pitchFamily="18" charset="0"/>
                            <a:ea typeface="Cambria Math" panose="02040503050406030204" pitchFamily="18" charset="0"/>
                            <a:cs typeface="+mn-cs"/>
                          </a:rPr>
                          <m:t>𝑐𝑎𝑙𝑐𝑢𝑙𝑎𝑡𝑒𝑑</m:t>
                        </m:r>
                      </m:sub>
                    </m:sSub>
                  </m:oMath>
                </m:oMathPara>
              </a14:m>
              <a:endParaRPr lang="en-US" sz="1200" b="0">
                <a:latin typeface="Segoe UI Semibold" panose="020B0702040204020203" pitchFamily="34" charset="0"/>
                <a:ea typeface="Cambria Math" panose="02040503050406030204" pitchFamily="18" charset="0"/>
              </a:endParaRPr>
            </a:p>
          </xdr:txBody>
        </xdr:sp>
      </mc:Choice>
      <mc:Fallback xmlns="">
        <xdr:sp macro="" textlink="">
          <xdr:nvSpPr>
            <xdr:cNvPr id="5" name="TextBox 4"/>
            <xdr:cNvSpPr txBox="1"/>
          </xdr:nvSpPr>
          <xdr:spPr>
            <a:xfrm>
              <a:off x="940888" y="6799551"/>
              <a:ext cx="3784259" cy="2046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panose="02040503050406030204" pitchFamily="18" charset="0"/>
                  <a:ea typeface="Cambria Math" panose="02040503050406030204" pitchFamily="18" charset="0"/>
                </a:rPr>
                <a:t>𝐴𝑑𝑗𝑢𝑠𝑡𝑚𝑒𝑛𝑡= 〖</a:t>
              </a:r>
              <a:r>
                <a:rPr lang="en-US" sz="1200" b="0" i="0">
                  <a:solidFill>
                    <a:schemeClr val="tx1"/>
                  </a:solidFill>
                  <a:effectLst/>
                  <a:latin typeface="Cambria Math" panose="02040503050406030204" pitchFamily="18" charset="0"/>
                  <a:ea typeface="Cambria Math" panose="02040503050406030204" pitchFamily="18" charset="0"/>
                  <a:cs typeface="+mn-cs"/>
                </a:rPr>
                <a:t>𝑈𝑆𝐷∕𝑆𝐷𝑅 "</a:t>
              </a:r>
              <a:r>
                <a:rPr lang="en-US" sz="1200" b="0" i="0">
                  <a:effectLst/>
                  <a:latin typeface="Segoe UI Semibold" panose="020B0702040204020203" pitchFamily="34" charset="0"/>
                  <a:ea typeface="Cambria Math" panose="02040503050406030204" pitchFamily="18" charset="0"/>
                </a:rPr>
                <a:t> </a:t>
              </a:r>
              <a:r>
                <a:rPr lang="en-US" sz="1200" b="0" i="0">
                  <a:effectLst/>
                  <a:latin typeface="Cambria Math" panose="02040503050406030204" pitchFamily="18" charset="0"/>
                  <a:ea typeface="Cambria Math" panose="02040503050406030204" pitchFamily="18" charset="0"/>
                </a:rPr>
                <a:t>" 〗_</a:t>
              </a:r>
              <a:r>
                <a:rPr lang="en-US" sz="1200" b="0" i="0">
                  <a:latin typeface="Cambria Math" panose="02040503050406030204" pitchFamily="18" charset="0"/>
                  <a:ea typeface="Cambria Math" panose="02040503050406030204" pitchFamily="18" charset="0"/>
                </a:rPr>
                <a:t>𝑎𝑐𝑡𝑢𝑎𝑙− </a:t>
              </a:r>
              <a:r>
                <a:rPr lang="en-US" sz="1200" b="0" i="0">
                  <a:solidFill>
                    <a:schemeClr val="tx1"/>
                  </a:solidFill>
                  <a:effectLst/>
                  <a:latin typeface="Cambria Math" panose="02040503050406030204" pitchFamily="18" charset="0"/>
                  <a:ea typeface="Cambria Math" panose="02040503050406030204" pitchFamily="18" charset="0"/>
                  <a:cs typeface="+mn-cs"/>
                </a:rPr>
                <a:t>〖𝑈𝑆𝐷∕𝑆𝐷𝑅 "</a:t>
              </a:r>
              <a:r>
                <a:rPr lang="en-US" sz="1200" b="0" i="0">
                  <a:solidFill>
                    <a:schemeClr val="tx1"/>
                  </a:solidFill>
                  <a:effectLst/>
                  <a:latin typeface="Segoe UI Semibold" panose="020B0702040204020203" pitchFamily="34" charset="0"/>
                  <a:ea typeface="Cambria Math" panose="02040503050406030204" pitchFamily="18" charset="0"/>
                  <a:cs typeface="+mn-cs"/>
                </a:rPr>
                <a:t> </a:t>
              </a:r>
              <a:r>
                <a:rPr lang="en-US" sz="1200" b="0" i="0">
                  <a:solidFill>
                    <a:schemeClr val="tx1"/>
                  </a:solidFill>
                  <a:effectLst/>
                  <a:latin typeface="Cambria Math" panose="02040503050406030204" pitchFamily="18" charset="0"/>
                  <a:ea typeface="Cambria Math" panose="02040503050406030204" pitchFamily="18" charset="0"/>
                  <a:cs typeface="+mn-cs"/>
                </a:rPr>
                <a:t>" 〗_𝑐𝑎𝑙𝑐𝑢𝑙𝑎𝑡𝑒𝑑</a:t>
              </a:r>
              <a:endParaRPr lang="en-US" sz="1200" b="0">
                <a:latin typeface="Segoe UI Semibold" panose="020B0702040204020203" pitchFamily="34" charset="0"/>
                <a:ea typeface="Cambria Math" panose="02040503050406030204" pitchFamily="18" charset="0"/>
              </a:endParaRPr>
            </a:p>
          </xdr:txBody>
        </xdr:sp>
      </mc:Fallback>
    </mc:AlternateContent>
    <xdr:clientData/>
  </xdr:oneCellAnchor>
  <xdr:twoCellAnchor>
    <xdr:from>
      <xdr:col>21</xdr:col>
      <xdr:colOff>513603</xdr:colOff>
      <xdr:row>4</xdr:row>
      <xdr:rowOff>102721</xdr:rowOff>
    </xdr:from>
    <xdr:to>
      <xdr:col>24</xdr:col>
      <xdr:colOff>374464</xdr:colOff>
      <xdr:row>7</xdr:row>
      <xdr:rowOff>87406</xdr:rowOff>
    </xdr:to>
    <xdr:sp macro="" textlink="">
      <xdr:nvSpPr>
        <xdr:cNvPr id="6" name="Rounded Rectangle 5"/>
        <xdr:cNvSpPr/>
      </xdr:nvSpPr>
      <xdr:spPr>
        <a:xfrm>
          <a:off x="11943603" y="2465295"/>
          <a:ext cx="1681817" cy="544979"/>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100">
              <a:latin typeface="Segoe UI Semibold" panose="020B0702040204020203" pitchFamily="34" charset="0"/>
              <a:ea typeface="Segoe UI" panose="020B0502040204020203" pitchFamily="34" charset="0"/>
              <a:cs typeface="Segoe UI" panose="020B0502040204020203" pitchFamily="34" charset="0"/>
            </a:rPr>
            <a:t>Unrounded</a:t>
          </a:r>
          <a:r>
            <a:rPr lang="en-US" sz="1100" baseline="0">
              <a:latin typeface="Segoe UI Semibold" panose="020B0702040204020203" pitchFamily="34" charset="0"/>
              <a:ea typeface="Segoe UI" panose="020B0502040204020203" pitchFamily="34" charset="0"/>
              <a:cs typeface="Segoe UI" panose="020B0502040204020203" pitchFamily="34" charset="0"/>
            </a:rPr>
            <a:t> Currency Amounts</a:t>
          </a:r>
          <a:endParaRPr lang="en-US" sz="1100">
            <a:latin typeface="Segoe UI Semibold" panose="020B0702040204020203" pitchFamily="34" charset="0"/>
            <a:ea typeface="Segoe UI" panose="020B0502040204020203" pitchFamily="34" charset="0"/>
            <a:cs typeface="Segoe UI" panose="020B0502040204020203" pitchFamily="34" charset="0"/>
          </a:endParaRPr>
        </a:p>
      </xdr:txBody>
    </xdr:sp>
    <xdr:clientData/>
  </xdr:twoCellAnchor>
  <xdr:twoCellAnchor>
    <xdr:from>
      <xdr:col>21</xdr:col>
      <xdr:colOff>513603</xdr:colOff>
      <xdr:row>8</xdr:row>
      <xdr:rowOff>158752</xdr:rowOff>
    </xdr:from>
    <xdr:to>
      <xdr:col>24</xdr:col>
      <xdr:colOff>345702</xdr:colOff>
      <xdr:row>11</xdr:row>
      <xdr:rowOff>124386</xdr:rowOff>
    </xdr:to>
    <xdr:sp macro="" textlink="">
      <xdr:nvSpPr>
        <xdr:cNvPr id="8" name="Rounded Rectangle 7"/>
        <xdr:cNvSpPr/>
      </xdr:nvSpPr>
      <xdr:spPr>
        <a:xfrm>
          <a:off x="11943603" y="3268384"/>
          <a:ext cx="1653055" cy="525928"/>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100">
              <a:solidFill>
                <a:schemeClr val="lt1"/>
              </a:solidFill>
              <a:latin typeface="Segoe UI Semibold" panose="020B0702040204020203" pitchFamily="34" charset="0"/>
              <a:ea typeface="Segoe UI" panose="020B0502040204020203" pitchFamily="34" charset="0"/>
              <a:cs typeface="Segoe UI" panose="020B0502040204020203" pitchFamily="34" charset="0"/>
            </a:rPr>
            <a:t>Round to 5 Significant Digits</a:t>
          </a:r>
        </a:p>
      </xdr:txBody>
    </xdr:sp>
    <xdr:clientData/>
  </xdr:twoCellAnchor>
  <xdr:twoCellAnchor>
    <xdr:from>
      <xdr:col>21</xdr:col>
      <xdr:colOff>582705</xdr:colOff>
      <xdr:row>12</xdr:row>
      <xdr:rowOff>28577</xdr:rowOff>
    </xdr:from>
    <xdr:to>
      <xdr:col>24</xdr:col>
      <xdr:colOff>121396</xdr:colOff>
      <xdr:row>13</xdr:row>
      <xdr:rowOff>104776</xdr:rowOff>
    </xdr:to>
    <xdr:sp macro="" textlink="">
      <xdr:nvSpPr>
        <xdr:cNvPr id="10" name="TextBox 9"/>
        <xdr:cNvSpPr txBox="1"/>
      </xdr:nvSpPr>
      <xdr:spPr>
        <a:xfrm>
          <a:off x="12012705" y="3885268"/>
          <a:ext cx="1359647" cy="262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Semibold" panose="020B0702040204020203" pitchFamily="34" charset="0"/>
            </a:rPr>
            <a:t>         Check</a:t>
          </a:r>
          <a:r>
            <a:rPr lang="en-US" sz="1100" baseline="0">
              <a:latin typeface="Segoe UI Semibold" panose="020B0702040204020203" pitchFamily="34" charset="0"/>
            </a:rPr>
            <a:t> For:</a:t>
          </a:r>
          <a:endParaRPr lang="en-US" sz="1100">
            <a:latin typeface="Segoe UI Semibold" panose="020B0702040204020203" pitchFamily="34" charset="0"/>
          </a:endParaRPr>
        </a:p>
      </xdr:txBody>
    </xdr:sp>
    <xdr:clientData/>
  </xdr:twoCellAnchor>
  <xdr:twoCellAnchor>
    <xdr:from>
      <xdr:col>21</xdr:col>
      <xdr:colOff>513603</xdr:colOff>
      <xdr:row>11</xdr:row>
      <xdr:rowOff>9713</xdr:rowOff>
    </xdr:from>
    <xdr:to>
      <xdr:col>22</xdr:col>
      <xdr:colOff>375211</xdr:colOff>
      <xdr:row>12</xdr:row>
      <xdr:rowOff>171638</xdr:rowOff>
    </xdr:to>
    <xdr:cxnSp macro="">
      <xdr:nvCxnSpPr>
        <xdr:cNvPr id="11" name="Elbow Connector 10"/>
        <xdr:cNvCxnSpPr/>
      </xdr:nvCxnSpPr>
      <xdr:spPr>
        <a:xfrm>
          <a:off x="11943603" y="3679639"/>
          <a:ext cx="468593" cy="348690"/>
        </a:xfrm>
        <a:prstGeom prst="bentConnector3">
          <a:avLst>
            <a:gd name="adj1" fmla="val 44233"/>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22</xdr:col>
      <xdr:colOff>578971</xdr:colOff>
      <xdr:row>21</xdr:row>
      <xdr:rowOff>74706</xdr:rowOff>
    </xdr:from>
    <xdr:to>
      <xdr:col>23</xdr:col>
      <xdr:colOff>200212</xdr:colOff>
      <xdr:row>22</xdr:row>
      <xdr:rowOff>177426</xdr:rowOff>
    </xdr:to>
    <xdr:cxnSp macro="">
      <xdr:nvCxnSpPr>
        <xdr:cNvPr id="13" name="Straight Arrow Connector 12"/>
        <xdr:cNvCxnSpPr/>
      </xdr:nvCxnSpPr>
      <xdr:spPr>
        <a:xfrm>
          <a:off x="14203456" y="3725956"/>
          <a:ext cx="228227" cy="289485"/>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xdr:col>
      <xdr:colOff>65308</xdr:colOff>
      <xdr:row>40</xdr:row>
      <xdr:rowOff>137593</xdr:rowOff>
    </xdr:from>
    <xdr:to>
      <xdr:col>3</xdr:col>
      <xdr:colOff>284383</xdr:colOff>
      <xdr:row>40</xdr:row>
      <xdr:rowOff>137593</xdr:rowOff>
    </xdr:to>
    <xdr:cxnSp macro="">
      <xdr:nvCxnSpPr>
        <xdr:cNvPr id="3" name="Straight Connector 2"/>
        <xdr:cNvCxnSpPr/>
      </xdr:nvCxnSpPr>
      <xdr:spPr>
        <a:xfrm>
          <a:off x="274858" y="9491143"/>
          <a:ext cx="14382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303493</xdr:colOff>
      <xdr:row>33</xdr:row>
      <xdr:rowOff>181536</xdr:rowOff>
    </xdr:from>
    <xdr:to>
      <xdr:col>28</xdr:col>
      <xdr:colOff>227293</xdr:colOff>
      <xdr:row>36</xdr:row>
      <xdr:rowOff>147171</xdr:rowOff>
    </xdr:to>
    <xdr:sp macro="" textlink="">
      <xdr:nvSpPr>
        <xdr:cNvPr id="26" name="Rounded Rectangle 25"/>
        <xdr:cNvSpPr/>
      </xdr:nvSpPr>
      <xdr:spPr>
        <a:xfrm>
          <a:off x="14457643" y="8468286"/>
          <a:ext cx="1752600" cy="537135"/>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100">
              <a:solidFill>
                <a:schemeClr val="lt1"/>
              </a:solidFill>
              <a:latin typeface="Segoe UI Semibold" panose="020B0702040204020203" pitchFamily="34" charset="0"/>
              <a:ea typeface="Segoe UI" panose="020B0502040204020203" pitchFamily="34" charset="0"/>
              <a:cs typeface="Segoe UI" panose="020B0502040204020203" pitchFamily="34" charset="0"/>
            </a:rPr>
            <a:t>Round at 6 Significant Digits</a:t>
          </a:r>
        </a:p>
      </xdr:txBody>
    </xdr:sp>
    <xdr:clientData/>
  </xdr:twoCellAnchor>
  <xdr:twoCellAnchor>
    <xdr:from>
      <xdr:col>23</xdr:col>
      <xdr:colOff>65368</xdr:colOff>
      <xdr:row>6</xdr:row>
      <xdr:rowOff>121399</xdr:rowOff>
    </xdr:from>
    <xdr:to>
      <xdr:col>23</xdr:col>
      <xdr:colOff>65368</xdr:colOff>
      <xdr:row>8</xdr:row>
      <xdr:rowOff>158752</xdr:rowOff>
    </xdr:to>
    <xdr:cxnSp macro="">
      <xdr:nvCxnSpPr>
        <xdr:cNvPr id="48" name="Straight Arrow Connector 47"/>
        <xdr:cNvCxnSpPr/>
      </xdr:nvCxnSpPr>
      <xdr:spPr>
        <a:xfrm>
          <a:off x="12709339" y="2857502"/>
          <a:ext cx="0" cy="410882"/>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22</xdr:col>
      <xdr:colOff>372596</xdr:colOff>
      <xdr:row>13</xdr:row>
      <xdr:rowOff>112060</xdr:rowOff>
    </xdr:from>
    <xdr:to>
      <xdr:col>24</xdr:col>
      <xdr:colOff>105896</xdr:colOff>
      <xdr:row>16</xdr:row>
      <xdr:rowOff>112060</xdr:rowOff>
    </xdr:to>
    <xdr:sp macro="" textlink="">
      <xdr:nvSpPr>
        <xdr:cNvPr id="27" name="Snip Diagonal Corner Rectangle 26"/>
        <xdr:cNvSpPr/>
      </xdr:nvSpPr>
      <xdr:spPr>
        <a:xfrm>
          <a:off x="12409581" y="4155516"/>
          <a:ext cx="947271" cy="560294"/>
        </a:xfrm>
        <a:prstGeom prst="snip2Diag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US" sz="1100">
              <a:latin typeface="Segoe UI Semibold" panose="020B0702040204020203" pitchFamily="34" charset="0"/>
            </a:rPr>
            <a:t>Equality Condition</a:t>
          </a:r>
        </a:p>
      </xdr:txBody>
    </xdr:sp>
    <xdr:clientData/>
  </xdr:twoCellAnchor>
  <xdr:twoCellAnchor>
    <xdr:from>
      <xdr:col>22</xdr:col>
      <xdr:colOff>474757</xdr:colOff>
      <xdr:row>16</xdr:row>
      <xdr:rowOff>91329</xdr:rowOff>
    </xdr:from>
    <xdr:to>
      <xdr:col>23</xdr:col>
      <xdr:colOff>53601</xdr:colOff>
      <xdr:row>18</xdr:row>
      <xdr:rowOff>26334</xdr:rowOff>
    </xdr:to>
    <xdr:cxnSp macro="">
      <xdr:nvCxnSpPr>
        <xdr:cNvPr id="28" name="Straight Arrow Connector 27"/>
        <xdr:cNvCxnSpPr/>
      </xdr:nvCxnSpPr>
      <xdr:spPr>
        <a:xfrm flipH="1">
          <a:off x="12511742" y="4695079"/>
          <a:ext cx="185830" cy="308534"/>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21</xdr:col>
      <xdr:colOff>560480</xdr:colOff>
      <xdr:row>18</xdr:row>
      <xdr:rowOff>83484</xdr:rowOff>
    </xdr:from>
    <xdr:to>
      <xdr:col>23</xdr:col>
      <xdr:colOff>229719</xdr:colOff>
      <xdr:row>20</xdr:row>
      <xdr:rowOff>1494</xdr:rowOff>
    </xdr:to>
    <xdr:sp macro="" textlink="">
      <xdr:nvSpPr>
        <xdr:cNvPr id="29" name="Oval 28"/>
        <xdr:cNvSpPr/>
      </xdr:nvSpPr>
      <xdr:spPr>
        <a:xfrm>
          <a:off x="11990480" y="5060763"/>
          <a:ext cx="883210" cy="291540"/>
        </a:xfrm>
        <a:prstGeom prst="ellipse">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Segoe UI Semibold" panose="020B0702040204020203" pitchFamily="34" charset="0"/>
            </a:rPr>
            <a:t>If met:</a:t>
          </a:r>
        </a:p>
      </xdr:txBody>
    </xdr:sp>
    <xdr:clientData/>
  </xdr:twoCellAnchor>
  <xdr:twoCellAnchor>
    <xdr:from>
      <xdr:col>23</xdr:col>
      <xdr:colOff>344019</xdr:colOff>
      <xdr:row>18</xdr:row>
      <xdr:rowOff>83484</xdr:rowOff>
    </xdr:from>
    <xdr:to>
      <xdr:col>25</xdr:col>
      <xdr:colOff>344021</xdr:colOff>
      <xdr:row>20</xdr:row>
      <xdr:rowOff>1494</xdr:rowOff>
    </xdr:to>
    <xdr:sp macro="" textlink="">
      <xdr:nvSpPr>
        <xdr:cNvPr id="30" name="Oval 29"/>
        <xdr:cNvSpPr/>
      </xdr:nvSpPr>
      <xdr:spPr>
        <a:xfrm>
          <a:off x="12987990" y="5060763"/>
          <a:ext cx="1213972" cy="291540"/>
        </a:xfrm>
        <a:prstGeom prst="ellipse">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Segoe UI Semibold" panose="020B0702040204020203" pitchFamily="34" charset="0"/>
            </a:rPr>
            <a:t>If not met:</a:t>
          </a:r>
        </a:p>
      </xdr:txBody>
    </xdr:sp>
    <xdr:clientData/>
  </xdr:twoCellAnchor>
  <xdr:twoCellAnchor>
    <xdr:from>
      <xdr:col>23</xdr:col>
      <xdr:colOff>353171</xdr:colOff>
      <xdr:row>20</xdr:row>
      <xdr:rowOff>92823</xdr:rowOff>
    </xdr:from>
    <xdr:to>
      <xdr:col>27</xdr:col>
      <xdr:colOff>485588</xdr:colOff>
      <xdr:row>25</xdr:row>
      <xdr:rowOff>18678</xdr:rowOff>
    </xdr:to>
    <xdr:sp macro="" textlink="">
      <xdr:nvSpPr>
        <xdr:cNvPr id="31" name="Rectangle 30"/>
        <xdr:cNvSpPr/>
      </xdr:nvSpPr>
      <xdr:spPr>
        <a:xfrm>
          <a:off x="12997142" y="5443632"/>
          <a:ext cx="2560358" cy="859678"/>
        </a:xfrm>
        <a:prstGeom prst="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latin typeface="Segoe UI Semibold" panose="020B0702040204020203" pitchFamily="34" charset="0"/>
            </a:rPr>
            <a:t>Apply</a:t>
          </a:r>
          <a:r>
            <a:rPr lang="en-US" sz="1100" baseline="0">
              <a:solidFill>
                <a:sysClr val="windowText" lastClr="000000"/>
              </a:solidFill>
              <a:latin typeface="Segoe UI Semibold" panose="020B0702040204020203" pitchFamily="34" charset="0"/>
            </a:rPr>
            <a:t> an adjustment to USD CA such that the equality condition is met:</a:t>
          </a:r>
        </a:p>
        <a:p>
          <a:pPr algn="l"/>
          <a:endParaRPr lang="en-US" sz="900" baseline="0">
            <a:solidFill>
              <a:sysClr val="windowText" lastClr="000000"/>
            </a:solidFill>
            <a:latin typeface="Segoe UI Semibold" panose="020B0702040204020203" pitchFamily="34" charset="0"/>
          </a:endParaRPr>
        </a:p>
        <a:p>
          <a:pPr algn="l"/>
          <a:endParaRPr lang="en-US" sz="1100">
            <a:solidFill>
              <a:sysClr val="windowText" lastClr="000000"/>
            </a:solidFill>
            <a:latin typeface="Segoe UI Semibold" panose="020B0702040204020203" pitchFamily="34" charset="0"/>
          </a:endParaRPr>
        </a:p>
      </xdr:txBody>
    </xdr:sp>
    <xdr:clientData/>
  </xdr:twoCellAnchor>
  <xdr:twoCellAnchor>
    <xdr:from>
      <xdr:col>21</xdr:col>
      <xdr:colOff>550956</xdr:colOff>
      <xdr:row>20</xdr:row>
      <xdr:rowOff>93008</xdr:rowOff>
    </xdr:from>
    <xdr:to>
      <xdr:col>23</xdr:col>
      <xdr:colOff>229720</xdr:colOff>
      <xdr:row>23</xdr:row>
      <xdr:rowOff>91328</xdr:rowOff>
    </xdr:to>
    <xdr:sp macro="" textlink="">
      <xdr:nvSpPr>
        <xdr:cNvPr id="32" name="Rectangle 31"/>
        <xdr:cNvSpPr/>
      </xdr:nvSpPr>
      <xdr:spPr>
        <a:xfrm>
          <a:off x="11980956" y="5443817"/>
          <a:ext cx="892735" cy="558614"/>
        </a:xfrm>
        <a:prstGeom prst="rect">
          <a:avLst/>
        </a:prstGeom>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baseline="0">
              <a:latin typeface="Segoe UI Semibold" panose="020B0702040204020203" pitchFamily="34" charset="0"/>
            </a:rPr>
            <a:t>Solution Found!</a:t>
          </a:r>
          <a:endParaRPr lang="en-US" sz="1100">
            <a:latin typeface="Segoe UI Semibold" panose="020B0702040204020203" pitchFamily="34" charset="0"/>
          </a:endParaRPr>
        </a:p>
      </xdr:txBody>
    </xdr:sp>
    <xdr:clientData/>
  </xdr:twoCellAnchor>
  <xdr:twoCellAnchor>
    <xdr:from>
      <xdr:col>23</xdr:col>
      <xdr:colOff>504264</xdr:colOff>
      <xdr:row>16</xdr:row>
      <xdr:rowOff>102722</xdr:rowOff>
    </xdr:from>
    <xdr:to>
      <xdr:col>24</xdr:col>
      <xdr:colOff>102720</xdr:colOff>
      <xdr:row>18</xdr:row>
      <xdr:rowOff>37354</xdr:rowOff>
    </xdr:to>
    <xdr:cxnSp macro="">
      <xdr:nvCxnSpPr>
        <xdr:cNvPr id="33" name="Straight Arrow Connector 32"/>
        <xdr:cNvCxnSpPr/>
      </xdr:nvCxnSpPr>
      <xdr:spPr>
        <a:xfrm>
          <a:off x="13148235" y="4706472"/>
          <a:ext cx="205441" cy="308161"/>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24</xdr:col>
      <xdr:colOff>169208</xdr:colOff>
      <xdr:row>27</xdr:row>
      <xdr:rowOff>112432</xdr:rowOff>
    </xdr:from>
    <xdr:to>
      <xdr:col>26</xdr:col>
      <xdr:colOff>28015</xdr:colOff>
      <xdr:row>30</xdr:row>
      <xdr:rowOff>123638</xdr:rowOff>
    </xdr:to>
    <xdr:sp macro="" textlink="">
      <xdr:nvSpPr>
        <xdr:cNvPr id="38" name="Snip Diagonal Corner Rectangle 37"/>
        <xdr:cNvSpPr/>
      </xdr:nvSpPr>
      <xdr:spPr>
        <a:xfrm>
          <a:off x="13420164" y="6770594"/>
          <a:ext cx="1072777" cy="571500"/>
        </a:xfrm>
        <a:prstGeom prst="snip2Diag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100">
              <a:latin typeface="Segoe UI Semibold" panose="020B0702040204020203" pitchFamily="34" charset="0"/>
            </a:rPr>
            <a:t>Uniformity of Sig.</a:t>
          </a:r>
          <a:r>
            <a:rPr lang="en-US" sz="1100" baseline="0">
              <a:latin typeface="Segoe UI Semibold" panose="020B0702040204020203" pitchFamily="34" charset="0"/>
            </a:rPr>
            <a:t> Digs.</a:t>
          </a:r>
          <a:endParaRPr lang="en-US" sz="1100">
            <a:latin typeface="Segoe UI Semibold" panose="020B0702040204020203" pitchFamily="34" charset="0"/>
          </a:endParaRPr>
        </a:p>
      </xdr:txBody>
    </xdr:sp>
    <xdr:clientData/>
  </xdr:twoCellAnchor>
  <xdr:twoCellAnchor>
    <xdr:from>
      <xdr:col>23</xdr:col>
      <xdr:colOff>469152</xdr:colOff>
      <xdr:row>26</xdr:row>
      <xdr:rowOff>31937</xdr:rowOff>
    </xdr:from>
    <xdr:to>
      <xdr:col>25</xdr:col>
      <xdr:colOff>445807</xdr:colOff>
      <xdr:row>27</xdr:row>
      <xdr:rowOff>111872</xdr:rowOff>
    </xdr:to>
    <xdr:sp macro="" textlink="">
      <xdr:nvSpPr>
        <xdr:cNvPr id="39" name="TextBox 38"/>
        <xdr:cNvSpPr txBox="1"/>
      </xdr:nvSpPr>
      <xdr:spPr>
        <a:xfrm>
          <a:off x="13113123" y="6503334"/>
          <a:ext cx="11906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Semibold" panose="020B0702040204020203" pitchFamily="34" charset="0"/>
            </a:rPr>
            <a:t>         Check</a:t>
          </a:r>
          <a:r>
            <a:rPr lang="en-US" sz="1100" baseline="0">
              <a:latin typeface="Segoe UI Semibold" panose="020B0702040204020203" pitchFamily="34" charset="0"/>
            </a:rPr>
            <a:t> For:</a:t>
          </a:r>
          <a:endParaRPr lang="en-US" sz="1100">
            <a:latin typeface="Segoe UI Semibold" panose="020B0702040204020203" pitchFamily="34" charset="0"/>
          </a:endParaRPr>
        </a:p>
      </xdr:txBody>
    </xdr:sp>
    <xdr:clientData/>
  </xdr:twoCellAnchor>
  <xdr:twoCellAnchor>
    <xdr:from>
      <xdr:col>23</xdr:col>
      <xdr:colOff>354852</xdr:colOff>
      <xdr:row>25</xdr:row>
      <xdr:rowOff>18678</xdr:rowOff>
    </xdr:from>
    <xdr:to>
      <xdr:col>24</xdr:col>
      <xdr:colOff>233642</xdr:colOff>
      <xdr:row>26</xdr:row>
      <xdr:rowOff>184338</xdr:rowOff>
    </xdr:to>
    <xdr:cxnSp macro="">
      <xdr:nvCxnSpPr>
        <xdr:cNvPr id="40" name="Elbow Connector 39"/>
        <xdr:cNvCxnSpPr/>
      </xdr:nvCxnSpPr>
      <xdr:spPr>
        <a:xfrm>
          <a:off x="12998823" y="6303310"/>
          <a:ext cx="485775" cy="352425"/>
        </a:xfrm>
        <a:prstGeom prst="bentConnector3">
          <a:avLst>
            <a:gd name="adj1" fmla="val 50000"/>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24</xdr:col>
      <xdr:colOff>333375</xdr:colOff>
      <xdr:row>30</xdr:row>
      <xdr:rowOff>161178</xdr:rowOff>
    </xdr:from>
    <xdr:to>
      <xdr:col>24</xdr:col>
      <xdr:colOff>443194</xdr:colOff>
      <xdr:row>31</xdr:row>
      <xdr:rowOff>142875</xdr:rowOff>
    </xdr:to>
    <xdr:cxnSp macro="">
      <xdr:nvCxnSpPr>
        <xdr:cNvPr id="41" name="Straight Arrow Connector 40"/>
        <xdr:cNvCxnSpPr/>
      </xdr:nvCxnSpPr>
      <xdr:spPr>
        <a:xfrm flipH="1">
          <a:off x="13877925" y="7876428"/>
          <a:ext cx="109819" cy="172197"/>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25</xdr:col>
      <xdr:colOff>358214</xdr:colOff>
      <xdr:row>30</xdr:row>
      <xdr:rowOff>160990</xdr:rowOff>
    </xdr:from>
    <xdr:to>
      <xdr:col>25</xdr:col>
      <xdr:colOff>504825</xdr:colOff>
      <xdr:row>31</xdr:row>
      <xdr:rowOff>171450</xdr:rowOff>
    </xdr:to>
    <xdr:cxnSp macro="">
      <xdr:nvCxnSpPr>
        <xdr:cNvPr id="42" name="Straight Arrow Connector 41"/>
        <xdr:cNvCxnSpPr/>
      </xdr:nvCxnSpPr>
      <xdr:spPr>
        <a:xfrm>
          <a:off x="14512364" y="7876240"/>
          <a:ext cx="146611" cy="200960"/>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23</xdr:col>
      <xdr:colOff>365870</xdr:colOff>
      <xdr:row>31</xdr:row>
      <xdr:rowOff>180976</xdr:rowOff>
    </xdr:from>
    <xdr:to>
      <xdr:col>25</xdr:col>
      <xdr:colOff>35110</xdr:colOff>
      <xdr:row>33</xdr:row>
      <xdr:rowOff>98985</xdr:rowOff>
    </xdr:to>
    <xdr:sp macro="" textlink="">
      <xdr:nvSpPr>
        <xdr:cNvPr id="43" name="Oval 42"/>
        <xdr:cNvSpPr/>
      </xdr:nvSpPr>
      <xdr:spPr>
        <a:xfrm>
          <a:off x="13300820" y="8086726"/>
          <a:ext cx="888440" cy="299009"/>
        </a:xfrm>
        <a:prstGeom prst="ellipse">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Segoe UI Semibold" panose="020B0702040204020203" pitchFamily="34" charset="0"/>
            </a:rPr>
            <a:t>If met:</a:t>
          </a:r>
        </a:p>
      </xdr:txBody>
    </xdr:sp>
    <xdr:clientData/>
  </xdr:twoCellAnchor>
  <xdr:twoCellAnchor>
    <xdr:from>
      <xdr:col>23</xdr:col>
      <xdr:colOff>356346</xdr:colOff>
      <xdr:row>33</xdr:row>
      <xdr:rowOff>190499</xdr:rowOff>
    </xdr:from>
    <xdr:to>
      <xdr:col>25</xdr:col>
      <xdr:colOff>35111</xdr:colOff>
      <xdr:row>36</xdr:row>
      <xdr:rowOff>188818</xdr:rowOff>
    </xdr:to>
    <xdr:sp macro="" textlink="">
      <xdr:nvSpPr>
        <xdr:cNvPr id="44" name="Rectangle 43"/>
        <xdr:cNvSpPr/>
      </xdr:nvSpPr>
      <xdr:spPr>
        <a:xfrm>
          <a:off x="13291296" y="8477249"/>
          <a:ext cx="897965" cy="569819"/>
        </a:xfrm>
        <a:prstGeom prst="rect">
          <a:avLst/>
        </a:prstGeom>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baseline="0">
              <a:latin typeface="Segoe UI Semibold" panose="020B0702040204020203" pitchFamily="34" charset="0"/>
            </a:rPr>
            <a:t>Solution Found!</a:t>
          </a:r>
          <a:endParaRPr lang="en-US" sz="1100">
            <a:latin typeface="Segoe UI Semibold" panose="020B0702040204020203" pitchFamily="34" charset="0"/>
          </a:endParaRPr>
        </a:p>
      </xdr:txBody>
    </xdr:sp>
    <xdr:clientData/>
  </xdr:twoCellAnchor>
  <xdr:twoCellAnchor>
    <xdr:from>
      <xdr:col>25</xdr:col>
      <xdr:colOff>530225</xdr:colOff>
      <xdr:row>37</xdr:row>
      <xdr:rowOff>11766</xdr:rowOff>
    </xdr:from>
    <xdr:to>
      <xdr:col>28</xdr:col>
      <xdr:colOff>68916</xdr:colOff>
      <xdr:row>38</xdr:row>
      <xdr:rowOff>87969</xdr:rowOff>
    </xdr:to>
    <xdr:sp macro="" textlink="">
      <xdr:nvSpPr>
        <xdr:cNvPr id="45" name="TextBox 44"/>
        <xdr:cNvSpPr txBox="1"/>
      </xdr:nvSpPr>
      <xdr:spPr>
        <a:xfrm>
          <a:off x="14684375" y="9060516"/>
          <a:ext cx="1367491" cy="2667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Segoe UI Semibold" panose="020B0702040204020203" pitchFamily="34" charset="0"/>
            </a:rPr>
            <a:t>         Check</a:t>
          </a:r>
          <a:r>
            <a:rPr lang="en-US" sz="1100" baseline="0">
              <a:latin typeface="Segoe UI Semibold" panose="020B0702040204020203" pitchFamily="34" charset="0"/>
            </a:rPr>
            <a:t> For:</a:t>
          </a:r>
          <a:endParaRPr lang="en-US" sz="1100">
            <a:latin typeface="Segoe UI Semibold" panose="020B0702040204020203" pitchFamily="34" charset="0"/>
          </a:endParaRPr>
        </a:p>
      </xdr:txBody>
    </xdr:sp>
    <xdr:clientData/>
  </xdr:twoCellAnchor>
  <xdr:twoCellAnchor>
    <xdr:from>
      <xdr:col>25</xdr:col>
      <xdr:colOff>415365</xdr:colOff>
      <xdr:row>36</xdr:row>
      <xdr:rowOff>2616</xdr:rowOff>
    </xdr:from>
    <xdr:to>
      <xdr:col>26</xdr:col>
      <xdr:colOff>294155</xdr:colOff>
      <xdr:row>37</xdr:row>
      <xdr:rowOff>168278</xdr:rowOff>
    </xdr:to>
    <xdr:cxnSp macro="">
      <xdr:nvCxnSpPr>
        <xdr:cNvPr id="46" name="Elbow Connector 45"/>
        <xdr:cNvCxnSpPr/>
      </xdr:nvCxnSpPr>
      <xdr:spPr>
        <a:xfrm>
          <a:off x="14569515" y="8860866"/>
          <a:ext cx="488390" cy="356162"/>
        </a:xfrm>
        <a:prstGeom prst="bentConnector3">
          <a:avLst>
            <a:gd name="adj1" fmla="val 44233"/>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26</xdr:col>
      <xdr:colOff>273424</xdr:colOff>
      <xdr:row>38</xdr:row>
      <xdr:rowOff>66674</xdr:rowOff>
    </xdr:from>
    <xdr:to>
      <xdr:col>28</xdr:col>
      <xdr:colOff>4109</xdr:colOff>
      <xdr:row>40</xdr:row>
      <xdr:rowOff>152961</xdr:rowOff>
    </xdr:to>
    <xdr:sp macro="" textlink="">
      <xdr:nvSpPr>
        <xdr:cNvPr id="47" name="Snip Diagonal Corner Rectangle 46"/>
        <xdr:cNvSpPr/>
      </xdr:nvSpPr>
      <xdr:spPr>
        <a:xfrm>
          <a:off x="15037174" y="9305924"/>
          <a:ext cx="949885" cy="467287"/>
        </a:xfrm>
        <a:prstGeom prst="snip2Diag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US" sz="1100">
              <a:latin typeface="Segoe UI Semibold" panose="020B0702040204020203" pitchFamily="34" charset="0"/>
            </a:rPr>
            <a:t>Equality Condition</a:t>
          </a:r>
        </a:p>
      </xdr:txBody>
    </xdr:sp>
    <xdr:clientData/>
  </xdr:twoCellAnchor>
  <xdr:twoCellAnchor>
    <xdr:from>
      <xdr:col>26</xdr:col>
      <xdr:colOff>428625</xdr:colOff>
      <xdr:row>40</xdr:row>
      <xdr:rowOff>138955</xdr:rowOff>
    </xdr:from>
    <xdr:to>
      <xdr:col>26</xdr:col>
      <xdr:colOff>549835</xdr:colOff>
      <xdr:row>41</xdr:row>
      <xdr:rowOff>180975</xdr:rowOff>
    </xdr:to>
    <xdr:cxnSp macro="">
      <xdr:nvCxnSpPr>
        <xdr:cNvPr id="49" name="Straight Arrow Connector 48"/>
        <xdr:cNvCxnSpPr/>
      </xdr:nvCxnSpPr>
      <xdr:spPr>
        <a:xfrm flipH="1">
          <a:off x="15192375" y="9759205"/>
          <a:ext cx="121210" cy="232520"/>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25</xdr:col>
      <xdr:colOff>382680</xdr:colOff>
      <xdr:row>42</xdr:row>
      <xdr:rowOff>36606</xdr:rowOff>
    </xdr:from>
    <xdr:to>
      <xdr:col>27</xdr:col>
      <xdr:colOff>51919</xdr:colOff>
      <xdr:row>43</xdr:row>
      <xdr:rowOff>141382</xdr:rowOff>
    </xdr:to>
    <xdr:sp macro="" textlink="">
      <xdr:nvSpPr>
        <xdr:cNvPr id="51" name="Oval 50"/>
        <xdr:cNvSpPr/>
      </xdr:nvSpPr>
      <xdr:spPr>
        <a:xfrm>
          <a:off x="14536830" y="10037856"/>
          <a:ext cx="888439" cy="295276"/>
        </a:xfrm>
        <a:prstGeom prst="ellipse">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Segoe UI Semibold" panose="020B0702040204020203" pitchFamily="34" charset="0"/>
            </a:rPr>
            <a:t>If met:</a:t>
          </a:r>
        </a:p>
      </xdr:txBody>
    </xdr:sp>
    <xdr:clientData/>
  </xdr:twoCellAnchor>
  <xdr:twoCellAnchor>
    <xdr:from>
      <xdr:col>27</xdr:col>
      <xdr:colOff>166219</xdr:colOff>
      <xdr:row>42</xdr:row>
      <xdr:rowOff>27081</xdr:rowOff>
    </xdr:from>
    <xdr:to>
      <xdr:col>29</xdr:col>
      <xdr:colOff>166221</xdr:colOff>
      <xdr:row>43</xdr:row>
      <xdr:rowOff>131857</xdr:rowOff>
    </xdr:to>
    <xdr:sp macro="" textlink="">
      <xdr:nvSpPr>
        <xdr:cNvPr id="52" name="Oval 51"/>
        <xdr:cNvSpPr/>
      </xdr:nvSpPr>
      <xdr:spPr>
        <a:xfrm>
          <a:off x="15539569" y="10028331"/>
          <a:ext cx="1219202" cy="295276"/>
        </a:xfrm>
        <a:prstGeom prst="ellipse">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Segoe UI Semibold" panose="020B0702040204020203" pitchFamily="34" charset="0"/>
            </a:rPr>
            <a:t>If not met:</a:t>
          </a:r>
        </a:p>
      </xdr:txBody>
    </xdr:sp>
    <xdr:clientData/>
  </xdr:twoCellAnchor>
  <xdr:twoCellAnchor>
    <xdr:from>
      <xdr:col>27</xdr:col>
      <xdr:colOff>175370</xdr:colOff>
      <xdr:row>44</xdr:row>
      <xdr:rowOff>45945</xdr:rowOff>
    </xdr:from>
    <xdr:to>
      <xdr:col>31</xdr:col>
      <xdr:colOff>363818</xdr:colOff>
      <xdr:row>48</xdr:row>
      <xdr:rowOff>139887</xdr:rowOff>
    </xdr:to>
    <xdr:sp macro="" textlink="">
      <xdr:nvSpPr>
        <xdr:cNvPr id="53" name="Rectangle 52"/>
        <xdr:cNvSpPr/>
      </xdr:nvSpPr>
      <xdr:spPr>
        <a:xfrm>
          <a:off x="15548720" y="10428195"/>
          <a:ext cx="2626848" cy="855942"/>
        </a:xfrm>
        <a:prstGeom prst="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latin typeface="Segoe UI Semibold" panose="020B0702040204020203" pitchFamily="34" charset="0"/>
            </a:rPr>
            <a:t>Apply</a:t>
          </a:r>
          <a:r>
            <a:rPr lang="en-US" sz="1100" baseline="0">
              <a:solidFill>
                <a:sysClr val="windowText" lastClr="000000"/>
              </a:solidFill>
              <a:latin typeface="Segoe UI Semibold" panose="020B0702040204020203" pitchFamily="34" charset="0"/>
            </a:rPr>
            <a:t> an adjustment to USD CA such that the equality condition is met:</a:t>
          </a:r>
        </a:p>
        <a:p>
          <a:pPr algn="l"/>
          <a:endParaRPr lang="en-US" sz="900" baseline="0">
            <a:solidFill>
              <a:sysClr val="windowText" lastClr="000000"/>
            </a:solidFill>
            <a:latin typeface="Segoe UI Semibold" panose="020B0702040204020203" pitchFamily="34" charset="0"/>
          </a:endParaRPr>
        </a:p>
        <a:p>
          <a:pPr algn="l"/>
          <a:endParaRPr lang="en-US" sz="1100">
            <a:solidFill>
              <a:sysClr val="windowText" lastClr="000000"/>
            </a:solidFill>
            <a:latin typeface="Segoe UI Semibold" panose="020B0702040204020203" pitchFamily="34" charset="0"/>
          </a:endParaRPr>
        </a:p>
      </xdr:txBody>
    </xdr:sp>
    <xdr:clientData/>
  </xdr:twoCellAnchor>
  <xdr:twoCellAnchor>
    <xdr:from>
      <xdr:col>25</xdr:col>
      <xdr:colOff>373156</xdr:colOff>
      <xdr:row>44</xdr:row>
      <xdr:rowOff>46131</xdr:rowOff>
    </xdr:from>
    <xdr:to>
      <xdr:col>27</xdr:col>
      <xdr:colOff>51920</xdr:colOff>
      <xdr:row>47</xdr:row>
      <xdr:rowOff>44451</xdr:rowOff>
    </xdr:to>
    <xdr:sp macro="" textlink="">
      <xdr:nvSpPr>
        <xdr:cNvPr id="56" name="Rectangle 55"/>
        <xdr:cNvSpPr/>
      </xdr:nvSpPr>
      <xdr:spPr>
        <a:xfrm>
          <a:off x="14527306" y="10428381"/>
          <a:ext cx="897964" cy="569820"/>
        </a:xfrm>
        <a:prstGeom prst="rect">
          <a:avLst/>
        </a:prstGeom>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baseline="0">
              <a:latin typeface="Segoe UI Semibold" panose="020B0702040204020203" pitchFamily="34" charset="0"/>
            </a:rPr>
            <a:t>Solution Found!</a:t>
          </a:r>
          <a:endParaRPr lang="en-US" sz="1100">
            <a:latin typeface="Segoe UI Semibold" panose="020B0702040204020203" pitchFamily="34" charset="0"/>
          </a:endParaRPr>
        </a:p>
      </xdr:txBody>
    </xdr:sp>
    <xdr:clientData/>
  </xdr:twoCellAnchor>
  <xdr:twoCellAnchor>
    <xdr:from>
      <xdr:col>27</xdr:col>
      <xdr:colOff>241299</xdr:colOff>
      <xdr:row>40</xdr:row>
      <xdr:rowOff>150534</xdr:rowOff>
    </xdr:from>
    <xdr:to>
      <xdr:col>27</xdr:col>
      <xdr:colOff>361950</xdr:colOff>
      <xdr:row>42</xdr:row>
      <xdr:rowOff>0</xdr:rowOff>
    </xdr:to>
    <xdr:cxnSp macro="">
      <xdr:nvCxnSpPr>
        <xdr:cNvPr id="57" name="Straight Arrow Connector 56"/>
        <xdr:cNvCxnSpPr/>
      </xdr:nvCxnSpPr>
      <xdr:spPr>
        <a:xfrm>
          <a:off x="15614649" y="9770784"/>
          <a:ext cx="120651" cy="230466"/>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25</xdr:col>
      <xdr:colOff>339722</xdr:colOff>
      <xdr:row>31</xdr:row>
      <xdr:rowOff>162485</xdr:rowOff>
    </xdr:from>
    <xdr:to>
      <xdr:col>27</xdr:col>
      <xdr:colOff>401916</xdr:colOff>
      <xdr:row>33</xdr:row>
      <xdr:rowOff>113365</xdr:rowOff>
    </xdr:to>
    <xdr:sp macro="" textlink="">
      <xdr:nvSpPr>
        <xdr:cNvPr id="54" name="Oval 53"/>
        <xdr:cNvSpPr/>
      </xdr:nvSpPr>
      <xdr:spPr>
        <a:xfrm>
          <a:off x="14493872" y="8068235"/>
          <a:ext cx="1281394" cy="331880"/>
        </a:xfrm>
        <a:prstGeom prst="ellipse">
          <a:avLst/>
        </a:prstGeom>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US" sz="1100">
              <a:latin typeface="Segoe UI Semibold" panose="020B0702040204020203" pitchFamily="34" charset="0"/>
            </a:rPr>
            <a:t>If not</a:t>
          </a:r>
          <a:r>
            <a:rPr lang="en-US" sz="1100" baseline="0">
              <a:latin typeface="Segoe UI Semibold" panose="020B0702040204020203" pitchFamily="34" charset="0"/>
            </a:rPr>
            <a:t> </a:t>
          </a:r>
          <a:r>
            <a:rPr lang="en-US" sz="1100">
              <a:latin typeface="Segoe UI Semibold" panose="020B0702040204020203" pitchFamily="34" charset="0"/>
            </a:rPr>
            <a:t>met:</a:t>
          </a:r>
        </a:p>
      </xdr:txBody>
    </xdr:sp>
    <xdr:clientData/>
  </xdr:twoCellAnchor>
  <xdr:oneCellAnchor>
    <xdr:from>
      <xdr:col>12</xdr:col>
      <xdr:colOff>306077</xdr:colOff>
      <xdr:row>35</xdr:row>
      <xdr:rowOff>90588</xdr:rowOff>
    </xdr:from>
    <xdr:ext cx="3775777" cy="332912"/>
    <mc:AlternateContent xmlns:mc="http://schemas.openxmlformats.org/markup-compatibility/2006" xmlns:a14="http://schemas.microsoft.com/office/drawing/2010/main">
      <mc:Choice Requires="a14">
        <xdr:sp macro="" textlink="">
          <xdr:nvSpPr>
            <xdr:cNvPr id="2" name="TextBox 1"/>
            <xdr:cNvSpPr txBox="1"/>
          </xdr:nvSpPr>
          <xdr:spPr>
            <a:xfrm>
              <a:off x="6917548" y="8009412"/>
              <a:ext cx="3775777" cy="332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subSup"/>
                        <m:ctrlPr>
                          <a:rPr lang="en-US" sz="1050" i="1">
                            <a:latin typeface="Cambria Math" panose="02040503050406030204" pitchFamily="18" charset="0"/>
                            <a:ea typeface="Cambria Math" panose="02040503050406030204" pitchFamily="18" charset="0"/>
                          </a:rPr>
                        </m:ctrlPr>
                      </m:naryPr>
                      <m:sub>
                        <m:r>
                          <m:rPr>
                            <m:brk m:alnAt="25"/>
                          </m:rPr>
                          <a:rPr lang="en-US" sz="1050" b="0" i="1">
                            <a:latin typeface="Cambria Math" panose="02040503050406030204" pitchFamily="18" charset="0"/>
                            <a:ea typeface="Cambria Math" panose="02040503050406030204" pitchFamily="18" charset="0"/>
                          </a:rPr>
                          <m:t>𝑖</m:t>
                        </m:r>
                        <m:r>
                          <a:rPr lang="en-US" sz="1050" b="0" i="1">
                            <a:latin typeface="Cambria Math" panose="02040503050406030204" pitchFamily="18" charset="0"/>
                            <a:ea typeface="Cambria Math" panose="02040503050406030204" pitchFamily="18" charset="0"/>
                          </a:rPr>
                          <m:t>=1</m:t>
                        </m:r>
                      </m:sub>
                      <m:sup>
                        <m:r>
                          <a:rPr lang="en-US" sz="1050" b="0" i="1">
                            <a:latin typeface="Cambria Math" panose="02040503050406030204" pitchFamily="18" charset="0"/>
                            <a:ea typeface="Cambria Math" panose="02040503050406030204" pitchFamily="18" charset="0"/>
                          </a:rPr>
                          <m:t>5</m:t>
                        </m:r>
                      </m:sup>
                      <m:e>
                        <m:sSub>
                          <m:sSubPr>
                            <m:ctrlPr>
                              <a:rPr lang="en-US" sz="1050" i="1">
                                <a:latin typeface="Cambria Math" panose="02040503050406030204" pitchFamily="18" charset="0"/>
                                <a:ea typeface="Cambria Math" panose="02040503050406030204" pitchFamily="18" charset="0"/>
                              </a:rPr>
                            </m:ctrlPr>
                          </m:sSubPr>
                          <m:e>
                            <m:r>
                              <a:rPr lang="en-US" sz="1050" b="0" i="1">
                                <a:latin typeface="Cambria Math" panose="02040503050406030204" pitchFamily="18" charset="0"/>
                                <a:ea typeface="Cambria Math" panose="02040503050406030204" pitchFamily="18" charset="0"/>
                              </a:rPr>
                              <m:t>𝑅𝐶𝐶</m:t>
                            </m:r>
                          </m:e>
                          <m:sub>
                            <m:r>
                              <a:rPr lang="en-US" sz="1050" b="0" i="1">
                                <a:latin typeface="Cambria Math" panose="02040503050406030204" pitchFamily="18" charset="0"/>
                                <a:ea typeface="Cambria Math" panose="02040503050406030204" pitchFamily="18" charset="0"/>
                              </a:rPr>
                              <m:t>𝑖</m:t>
                            </m:r>
                          </m:sub>
                        </m:sSub>
                        <m:r>
                          <a:rPr lang="en-US" sz="1050" b="0" i="1">
                            <a:latin typeface="Cambria Math" panose="02040503050406030204" pitchFamily="18" charset="0"/>
                            <a:ea typeface="Cambria Math" panose="02040503050406030204" pitchFamily="18" charset="0"/>
                          </a:rPr>
                          <m:t>∗</m:t>
                        </m:r>
                        <m:sSub>
                          <m:sSubPr>
                            <m:ctrlPr>
                              <a:rPr lang="en-US" sz="1050" b="0" i="1">
                                <a:latin typeface="Cambria Math" panose="02040503050406030204" pitchFamily="18" charset="0"/>
                                <a:ea typeface="Cambria Math" panose="02040503050406030204" pitchFamily="18" charset="0"/>
                              </a:rPr>
                            </m:ctrlPr>
                          </m:sSubPr>
                          <m:e>
                            <m:r>
                              <a:rPr lang="en-US" sz="1050" b="0" i="1">
                                <a:latin typeface="Cambria Math" panose="02040503050406030204" pitchFamily="18" charset="0"/>
                                <a:ea typeface="Cambria Math" panose="02040503050406030204" pitchFamily="18" charset="0"/>
                              </a:rPr>
                              <m:t>𝑇𝐸𝑋</m:t>
                            </m:r>
                          </m:e>
                          <m:sub>
                            <m:r>
                              <a:rPr lang="en-US" sz="1050" b="0" i="1">
                                <a:latin typeface="Cambria Math" panose="02040503050406030204" pitchFamily="18" charset="0"/>
                                <a:ea typeface="Cambria Math" panose="02040503050406030204" pitchFamily="18" charset="0"/>
                              </a:rPr>
                              <m:t>𝑖</m:t>
                            </m:r>
                          </m:sub>
                        </m:sSub>
                      </m:e>
                    </m:nary>
                    <m:r>
                      <a:rPr lang="en-US" sz="1050" b="0" i="1">
                        <a:latin typeface="Cambria Math" panose="02040503050406030204" pitchFamily="18" charset="0"/>
                        <a:ea typeface="Cambria Math" panose="02040503050406030204" pitchFamily="18" charset="0"/>
                      </a:rPr>
                      <m:t> (</m:t>
                    </m:r>
                    <m:r>
                      <a:rPr lang="en-US" sz="1050" b="0" i="1">
                        <a:latin typeface="Cambria Math" panose="02040503050406030204" pitchFamily="18" charset="0"/>
                        <a:ea typeface="Cambria Math" panose="02040503050406030204" pitchFamily="18" charset="0"/>
                      </a:rPr>
                      <m:t>𝑅𝑜𝑢𝑛𝑑𝑒𝑑</m:t>
                    </m:r>
                    <m:r>
                      <a:rPr lang="en-US" sz="1050" b="0" i="1">
                        <a:latin typeface="Cambria Math" panose="02040503050406030204" pitchFamily="18" charset="0"/>
                        <a:ea typeface="Cambria Math" panose="02040503050406030204" pitchFamily="18" charset="0"/>
                      </a:rPr>
                      <m:t> </m:t>
                    </m:r>
                    <m:r>
                      <a:rPr lang="en-US" sz="1050" b="0" i="1">
                        <a:latin typeface="Cambria Math" panose="02040503050406030204" pitchFamily="18" charset="0"/>
                        <a:ea typeface="Cambria Math" panose="02040503050406030204" pitchFamily="18" charset="0"/>
                      </a:rPr>
                      <m:t>𝑡𝑜</m:t>
                    </m:r>
                    <m:r>
                      <a:rPr lang="en-US" sz="1050" b="0" i="1">
                        <a:latin typeface="Cambria Math" panose="02040503050406030204" pitchFamily="18" charset="0"/>
                        <a:ea typeface="Cambria Math" panose="02040503050406030204" pitchFamily="18" charset="0"/>
                      </a:rPr>
                      <m:t> 6 </m:t>
                    </m:r>
                    <m:r>
                      <a:rPr lang="en-US" sz="1050" b="0" i="1">
                        <a:latin typeface="Cambria Math" panose="02040503050406030204" pitchFamily="18" charset="0"/>
                        <a:ea typeface="Cambria Math" panose="02040503050406030204" pitchFamily="18" charset="0"/>
                      </a:rPr>
                      <m:t>𝑆𝑖𝑔</m:t>
                    </m:r>
                    <m:r>
                      <a:rPr lang="en-US" sz="1050" b="0" i="1">
                        <a:latin typeface="Cambria Math" panose="02040503050406030204" pitchFamily="18" charset="0"/>
                        <a:ea typeface="Cambria Math" panose="02040503050406030204" pitchFamily="18" charset="0"/>
                      </a:rPr>
                      <m:t>. </m:t>
                    </m:r>
                    <m:r>
                      <a:rPr lang="en-US" sz="1050" b="0" i="1">
                        <a:latin typeface="Cambria Math" panose="02040503050406030204" pitchFamily="18" charset="0"/>
                        <a:ea typeface="Cambria Math" panose="02040503050406030204" pitchFamily="18" charset="0"/>
                      </a:rPr>
                      <m:t>𝐷𝑖𝑔𝑠</m:t>
                    </m:r>
                    <m:r>
                      <a:rPr lang="en-US" sz="1050" b="0" i="1">
                        <a:latin typeface="Cambria Math" panose="02040503050406030204" pitchFamily="18" charset="0"/>
                        <a:ea typeface="Cambria Math" panose="02040503050406030204" pitchFamily="18" charset="0"/>
                      </a:rPr>
                      <m:t>.)≠</m:t>
                    </m:r>
                    <m:sSub>
                      <m:sSubPr>
                        <m:ctrlPr>
                          <a:rPr lang="en-US" sz="1050" b="0" i="1">
                            <a:solidFill>
                              <a:schemeClr val="tx1"/>
                            </a:solidFill>
                            <a:effectLst/>
                            <a:latin typeface="Cambria Math" panose="02040503050406030204" pitchFamily="18" charset="0"/>
                            <a:ea typeface="Cambria Math" panose="02040503050406030204" pitchFamily="18" charset="0"/>
                            <a:cs typeface="+mn-cs"/>
                          </a:rPr>
                        </m:ctrlPr>
                      </m:sSubPr>
                      <m:e>
                        <m:f>
                          <m:fPr>
                            <m:type m:val="lin"/>
                            <m:ctrlPr>
                              <a:rPr lang="en-US" sz="1050" b="0" i="1">
                                <a:solidFill>
                                  <a:schemeClr val="tx1"/>
                                </a:solidFill>
                                <a:effectLst/>
                                <a:latin typeface="Cambria Math" panose="02040503050406030204" pitchFamily="18" charset="0"/>
                                <a:ea typeface="Cambria Math" panose="02040503050406030204" pitchFamily="18" charset="0"/>
                                <a:cs typeface="+mn-cs"/>
                              </a:rPr>
                            </m:ctrlPr>
                          </m:fPr>
                          <m:num>
                            <m:r>
                              <a:rPr lang="en-US" sz="1050" b="0" i="1">
                                <a:solidFill>
                                  <a:schemeClr val="tx1"/>
                                </a:solidFill>
                                <a:effectLst/>
                                <a:latin typeface="Cambria Math" panose="02040503050406030204" pitchFamily="18" charset="0"/>
                                <a:ea typeface="Cambria Math" panose="02040503050406030204" pitchFamily="18" charset="0"/>
                                <a:cs typeface="+mn-cs"/>
                              </a:rPr>
                              <m:t>𝑈𝑆𝐷</m:t>
                            </m:r>
                          </m:num>
                          <m:den>
                            <m:r>
                              <a:rPr lang="en-US" sz="1050" b="0" i="1">
                                <a:solidFill>
                                  <a:schemeClr val="tx1"/>
                                </a:solidFill>
                                <a:effectLst/>
                                <a:latin typeface="Cambria Math" panose="02040503050406030204" pitchFamily="18" charset="0"/>
                                <a:ea typeface="Cambria Math" panose="02040503050406030204" pitchFamily="18" charset="0"/>
                                <a:cs typeface="+mn-cs"/>
                              </a:rPr>
                              <m:t>𝑆𝐷𝑅</m:t>
                            </m:r>
                          </m:den>
                        </m:f>
                        <m:r>
                          <m:rPr>
                            <m:nor/>
                          </m:rPr>
                          <a:rPr lang="en-US" sz="1050" b="0" i="1">
                            <a:solidFill>
                              <a:schemeClr val="tx1"/>
                            </a:solidFill>
                            <a:effectLst/>
                            <a:latin typeface="Cambria Math" panose="02040503050406030204" pitchFamily="18" charset="0"/>
                            <a:ea typeface="Cambria Math" panose="02040503050406030204" pitchFamily="18" charset="0"/>
                            <a:cs typeface="+mn-cs"/>
                          </a:rPr>
                          <m:t> </m:t>
                        </m:r>
                      </m:e>
                      <m:sub>
                        <m:r>
                          <a:rPr lang="en-US" sz="1050" b="0" i="1">
                            <a:solidFill>
                              <a:schemeClr val="tx1"/>
                            </a:solidFill>
                            <a:effectLst/>
                            <a:latin typeface="Cambria Math" panose="02040503050406030204" pitchFamily="18" charset="0"/>
                            <a:ea typeface="Cambria Math" panose="02040503050406030204" pitchFamily="18" charset="0"/>
                            <a:cs typeface="+mn-cs"/>
                          </a:rPr>
                          <m:t>𝑎𝑐𝑡𝑢𝑎𝑙</m:t>
                        </m:r>
                      </m:sub>
                    </m:sSub>
                  </m:oMath>
                </m:oMathPara>
              </a14:m>
              <a:endParaRPr lang="en-US" sz="1050">
                <a:latin typeface="Cambria Math" panose="02040503050406030204" pitchFamily="18" charset="0"/>
                <a:ea typeface="Cambria Math" panose="02040503050406030204" pitchFamily="18" charset="0"/>
              </a:endParaRPr>
            </a:p>
          </xdr:txBody>
        </xdr:sp>
      </mc:Choice>
      <mc:Fallback xmlns="">
        <xdr:sp macro="" textlink="">
          <xdr:nvSpPr>
            <xdr:cNvPr id="2" name="TextBox 1"/>
            <xdr:cNvSpPr txBox="1"/>
          </xdr:nvSpPr>
          <xdr:spPr>
            <a:xfrm>
              <a:off x="6917548" y="8009412"/>
              <a:ext cx="3775777" cy="332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050" i="0">
                  <a:latin typeface="Cambria Math" panose="02040503050406030204" pitchFamily="18" charset="0"/>
                  <a:ea typeface="Cambria Math" panose="02040503050406030204" pitchFamily="18" charset="0"/>
                </a:rPr>
                <a:t>∑2</a:t>
              </a:r>
              <a:r>
                <a:rPr lang="en-US" sz="1050" b="0" i="0">
                  <a:latin typeface="Cambria Math" panose="02040503050406030204" pitchFamily="18" charset="0"/>
                  <a:ea typeface="Cambria Math" panose="02040503050406030204" pitchFamily="18" charset="0"/>
                </a:rPr>
                <a:t>_(𝑖=1)^5▒〖〖𝑅𝐶𝐶〗_𝑖∗〖𝑇𝐸𝑋〗_𝑖 〗  (𝑅𝑜𝑢𝑛𝑑𝑒𝑑 𝑡𝑜 6 𝑆𝑖𝑔. 𝐷𝑖𝑔𝑠.)≠</a:t>
              </a:r>
              <a:r>
                <a:rPr lang="en-US" sz="1050" b="0" i="0">
                  <a:solidFill>
                    <a:schemeClr val="tx1"/>
                  </a:solidFill>
                  <a:effectLst/>
                  <a:latin typeface="Cambria Math" panose="02040503050406030204" pitchFamily="18" charset="0"/>
                  <a:ea typeface="Cambria Math" panose="02040503050406030204" pitchFamily="18" charset="0"/>
                  <a:cs typeface="+mn-cs"/>
                </a:rPr>
                <a:t>〖𝑈𝑆𝐷∕𝑆𝐷𝑅 " " 〗_𝑎𝑐𝑡𝑢𝑎𝑙</a:t>
              </a:r>
              <a:endParaRPr lang="en-US" sz="1050">
                <a:latin typeface="Cambria Math" panose="02040503050406030204" pitchFamily="18" charset="0"/>
                <a:ea typeface="Cambria Math" panose="02040503050406030204" pitchFamily="18" charset="0"/>
              </a:endParaRPr>
            </a:p>
          </xdr:txBody>
        </xdr:sp>
      </mc:Fallback>
    </mc:AlternateContent>
    <xdr:clientData/>
  </xdr:oneCellAnchor>
  <xdr:oneCellAnchor>
    <xdr:from>
      <xdr:col>11</xdr:col>
      <xdr:colOff>197008</xdr:colOff>
      <xdr:row>38</xdr:row>
      <xdr:rowOff>177620</xdr:rowOff>
    </xdr:from>
    <xdr:ext cx="4948278" cy="348237"/>
    <mc:AlternateContent xmlns:mc="http://schemas.openxmlformats.org/markup-compatibility/2006" xmlns:a14="http://schemas.microsoft.com/office/drawing/2010/main">
      <mc:Choice Requires="a14">
        <xdr:sp macro="" textlink="">
          <xdr:nvSpPr>
            <xdr:cNvPr id="55" name="TextBox 54"/>
            <xdr:cNvSpPr txBox="1"/>
          </xdr:nvSpPr>
          <xdr:spPr>
            <a:xfrm>
              <a:off x="6201493" y="8656738"/>
              <a:ext cx="4948278" cy="348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050" b="0" i="1">
                            <a:solidFill>
                              <a:schemeClr val="tx1"/>
                            </a:solidFill>
                            <a:effectLst/>
                            <a:latin typeface="Cambria Math" panose="02040503050406030204" pitchFamily="18" charset="0"/>
                            <a:ea typeface="Cambria Math" panose="02040503050406030204" pitchFamily="18" charset="0"/>
                            <a:cs typeface="+mn-cs"/>
                          </a:rPr>
                        </m:ctrlPr>
                      </m:sSubPr>
                      <m:e>
                        <m:r>
                          <a:rPr lang="en-US" sz="1050" b="0" i="1">
                            <a:solidFill>
                              <a:schemeClr val="tx1"/>
                            </a:solidFill>
                            <a:effectLst/>
                            <a:latin typeface="Cambria Math" panose="02040503050406030204" pitchFamily="18" charset="0"/>
                            <a:ea typeface="Cambria Math" panose="02040503050406030204" pitchFamily="18" charset="0"/>
                            <a:cs typeface="+mn-cs"/>
                          </a:rPr>
                          <m:t>     </m:t>
                        </m:r>
                        <m:r>
                          <a:rPr lang="en-US" sz="1050" b="0" i="1">
                            <a:solidFill>
                              <a:schemeClr val="tx1"/>
                            </a:solidFill>
                            <a:effectLst/>
                            <a:latin typeface="Cambria Math" panose="02040503050406030204" pitchFamily="18" charset="0"/>
                            <a:ea typeface="Cambria Math" panose="02040503050406030204" pitchFamily="18" charset="0"/>
                            <a:cs typeface="+mn-cs"/>
                          </a:rPr>
                          <m:t>𝐴𝑑𝑗𝑢𝑠𝑡𝑚𝑒𝑛𝑡</m:t>
                        </m:r>
                        <m:r>
                          <a:rPr lang="en-US" sz="1050" b="0" i="1">
                            <a:solidFill>
                              <a:schemeClr val="tx1"/>
                            </a:solidFill>
                            <a:effectLst/>
                            <a:latin typeface="Cambria Math" panose="02040503050406030204" pitchFamily="18" charset="0"/>
                            <a:ea typeface="Cambria Math" panose="02040503050406030204" pitchFamily="18" charset="0"/>
                            <a:cs typeface="+mn-cs"/>
                          </a:rPr>
                          <m:t>= </m:t>
                        </m:r>
                        <m:f>
                          <m:fPr>
                            <m:type m:val="lin"/>
                            <m:ctrlPr>
                              <a:rPr lang="en-US" sz="1050" b="0" i="1">
                                <a:solidFill>
                                  <a:schemeClr val="tx1"/>
                                </a:solidFill>
                                <a:effectLst/>
                                <a:latin typeface="Cambria Math" panose="02040503050406030204" pitchFamily="18" charset="0"/>
                                <a:ea typeface="Cambria Math" panose="02040503050406030204" pitchFamily="18" charset="0"/>
                                <a:cs typeface="+mn-cs"/>
                              </a:rPr>
                            </m:ctrlPr>
                          </m:fPr>
                          <m:num>
                            <m:r>
                              <a:rPr lang="en-US" sz="1050" b="0" i="1">
                                <a:solidFill>
                                  <a:schemeClr val="tx1"/>
                                </a:solidFill>
                                <a:effectLst/>
                                <a:latin typeface="Cambria Math" panose="02040503050406030204" pitchFamily="18" charset="0"/>
                                <a:ea typeface="Cambria Math" panose="02040503050406030204" pitchFamily="18" charset="0"/>
                                <a:cs typeface="+mn-cs"/>
                              </a:rPr>
                              <m:t>𝑈𝑆𝐷</m:t>
                            </m:r>
                          </m:num>
                          <m:den>
                            <m:r>
                              <a:rPr lang="en-US" sz="1050" b="0" i="1">
                                <a:solidFill>
                                  <a:schemeClr val="tx1"/>
                                </a:solidFill>
                                <a:effectLst/>
                                <a:latin typeface="Cambria Math" panose="02040503050406030204" pitchFamily="18" charset="0"/>
                                <a:ea typeface="Cambria Math" panose="02040503050406030204" pitchFamily="18" charset="0"/>
                                <a:cs typeface="+mn-cs"/>
                              </a:rPr>
                              <m:t>𝑆𝐷𝑅</m:t>
                            </m:r>
                          </m:den>
                        </m:f>
                        <m:r>
                          <m:rPr>
                            <m:nor/>
                          </m:rPr>
                          <a:rPr lang="en-US" sz="1050" b="0" i="1">
                            <a:solidFill>
                              <a:schemeClr val="tx1"/>
                            </a:solidFill>
                            <a:effectLst/>
                            <a:latin typeface="Cambria Math" panose="02040503050406030204" pitchFamily="18" charset="0"/>
                            <a:ea typeface="Cambria Math" panose="02040503050406030204" pitchFamily="18" charset="0"/>
                            <a:cs typeface="+mn-cs"/>
                          </a:rPr>
                          <m:t> </m:t>
                        </m:r>
                      </m:e>
                      <m:sub>
                        <m:r>
                          <a:rPr lang="en-US" sz="1050" b="0" i="1">
                            <a:solidFill>
                              <a:schemeClr val="tx1"/>
                            </a:solidFill>
                            <a:effectLst/>
                            <a:latin typeface="Cambria Math" panose="02040503050406030204" pitchFamily="18" charset="0"/>
                            <a:ea typeface="Cambria Math" panose="02040503050406030204" pitchFamily="18" charset="0"/>
                            <a:cs typeface="+mn-cs"/>
                          </a:rPr>
                          <m:t>𝑎𝑐𝑡𝑢𝑎𝑙</m:t>
                        </m:r>
                      </m:sub>
                    </m:sSub>
                    <m:r>
                      <a:rPr lang="en-US" sz="1050" b="0" i="1">
                        <a:solidFill>
                          <a:schemeClr val="tx1"/>
                        </a:solidFill>
                        <a:effectLst/>
                        <a:latin typeface="Cambria Math" panose="02040503050406030204" pitchFamily="18" charset="0"/>
                        <a:ea typeface="Cambria Math" panose="02040503050406030204" pitchFamily="18" charset="0"/>
                        <a:cs typeface="+mn-cs"/>
                      </a:rPr>
                      <m:t>− </m:t>
                    </m:r>
                    <m:nary>
                      <m:naryPr>
                        <m:chr m:val="∑"/>
                        <m:limLoc m:val="subSup"/>
                        <m:ctrlPr>
                          <a:rPr lang="en-US" sz="1100" i="1">
                            <a:solidFill>
                              <a:schemeClr val="tx1"/>
                            </a:solidFill>
                            <a:effectLst/>
                            <a:latin typeface="Cambria Math" panose="02040503050406030204" pitchFamily="18" charset="0"/>
                            <a:ea typeface="+mn-ea"/>
                            <a:cs typeface="+mn-cs"/>
                          </a:rPr>
                        </m:ctrlPr>
                      </m:naryPr>
                      <m:sub>
                        <m:r>
                          <m:rPr>
                            <m:brk m:alnAt="25"/>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5</m:t>
                        </m:r>
                      </m:sup>
                      <m:e>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𝑅𝐶𝐶</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𝑇𝐸𝑋</m:t>
                            </m:r>
                          </m:e>
                          <m:sub>
                            <m:r>
                              <a:rPr lang="en-US" sz="1100" b="0" i="1">
                                <a:solidFill>
                                  <a:schemeClr val="tx1"/>
                                </a:solidFill>
                                <a:effectLst/>
                                <a:latin typeface="Cambria Math" panose="02040503050406030204" pitchFamily="18" charset="0"/>
                                <a:ea typeface="+mn-ea"/>
                                <a:cs typeface="+mn-cs"/>
                              </a:rPr>
                              <m:t>𝑖</m:t>
                            </m:r>
                          </m:sub>
                        </m:sSub>
                      </m:e>
                    </m:nary>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𝑅𝑜𝑢𝑛𝑑𝑒𝑑</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𝑡𝑜</m:t>
                    </m:r>
                    <m:r>
                      <a:rPr lang="en-US" sz="1100" b="0" i="1">
                        <a:solidFill>
                          <a:schemeClr val="tx1"/>
                        </a:solidFill>
                        <a:effectLst/>
                        <a:latin typeface="Cambria Math" panose="02040503050406030204" pitchFamily="18" charset="0"/>
                        <a:ea typeface="+mn-ea"/>
                        <a:cs typeface="+mn-cs"/>
                      </a:rPr>
                      <m:t> 6 </m:t>
                    </m:r>
                    <m:r>
                      <a:rPr lang="en-US" sz="1100" b="0" i="1">
                        <a:solidFill>
                          <a:schemeClr val="tx1"/>
                        </a:solidFill>
                        <a:effectLst/>
                        <a:latin typeface="Cambria Math" panose="02040503050406030204" pitchFamily="18" charset="0"/>
                        <a:ea typeface="+mn-ea"/>
                        <a:cs typeface="+mn-cs"/>
                      </a:rPr>
                      <m:t>𝑆𝑖𝑔</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𝐷𝑖𝑔𝑠</m:t>
                    </m:r>
                    <m:r>
                      <a:rPr lang="en-US" sz="1100" b="0" i="1">
                        <a:solidFill>
                          <a:schemeClr val="tx1"/>
                        </a:solidFill>
                        <a:effectLst/>
                        <a:latin typeface="Cambria Math" panose="02040503050406030204" pitchFamily="18" charset="0"/>
                        <a:ea typeface="+mn-ea"/>
                        <a:cs typeface="+mn-cs"/>
                      </a:rPr>
                      <m:t>.)</m:t>
                    </m:r>
                  </m:oMath>
                </m:oMathPara>
              </a14:m>
              <a:endParaRPr lang="en-US" sz="1050">
                <a:latin typeface="Cambria Math" panose="02040503050406030204" pitchFamily="18" charset="0"/>
                <a:ea typeface="Cambria Math" panose="02040503050406030204" pitchFamily="18" charset="0"/>
              </a:endParaRPr>
            </a:p>
          </xdr:txBody>
        </xdr:sp>
      </mc:Choice>
      <mc:Fallback xmlns="">
        <xdr:sp macro="" textlink="">
          <xdr:nvSpPr>
            <xdr:cNvPr id="55" name="TextBox 54"/>
            <xdr:cNvSpPr txBox="1"/>
          </xdr:nvSpPr>
          <xdr:spPr>
            <a:xfrm>
              <a:off x="6201493" y="8656738"/>
              <a:ext cx="4948278" cy="348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050" b="0" i="0">
                  <a:solidFill>
                    <a:schemeClr val="tx1"/>
                  </a:solidFill>
                  <a:effectLst/>
                  <a:latin typeface="Cambria Math" panose="02040503050406030204" pitchFamily="18" charset="0"/>
                  <a:ea typeface="Cambria Math" panose="02040503050406030204" pitchFamily="18" charset="0"/>
                  <a:cs typeface="+mn-cs"/>
                </a:rPr>
                <a:t>〖     𝐴𝑑𝑗𝑢𝑠𝑡𝑚𝑒𝑛𝑡= 𝑈𝑆𝐷∕𝑆𝐷𝑅 " " 〗_𝑎𝑐𝑡𝑢𝑎𝑙− </a:t>
              </a:r>
              <a:r>
                <a:rPr lang="en-US" sz="110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_(𝑖=1)^5▒〖〖𝑅𝐶𝐶〗_𝑖∗〖𝑇𝐸𝑋〗_𝑖 〗  (𝑅𝑜𝑢𝑛𝑑𝑒𝑑 𝑡𝑜 6 𝑆𝑖𝑔. 𝐷𝑖𝑔𝑠.)</a:t>
              </a:r>
              <a:endParaRPr lang="en-US" sz="1050">
                <a:latin typeface="Cambria Math" panose="02040503050406030204" pitchFamily="18" charset="0"/>
                <a:ea typeface="Cambria Math" panose="02040503050406030204" pitchFamily="18" charset="0"/>
              </a:endParaRPr>
            </a:p>
          </xdr:txBody>
        </xdr:sp>
      </mc:Fallback>
    </mc:AlternateContent>
    <xdr:clientData/>
  </xdr:oneCellAnchor>
  <xdr:oneCellAnchor>
    <xdr:from>
      <xdr:col>13</xdr:col>
      <xdr:colOff>530193</xdr:colOff>
      <xdr:row>43</xdr:row>
      <xdr:rowOff>105644</xdr:rowOff>
    </xdr:from>
    <xdr:ext cx="1415196" cy="172227"/>
    <mc:AlternateContent xmlns:mc="http://schemas.openxmlformats.org/markup-compatibility/2006" xmlns:a14="http://schemas.microsoft.com/office/drawing/2010/main">
      <mc:Choice Requires="a14">
        <xdr:sp macro="" textlink="">
          <xdr:nvSpPr>
            <xdr:cNvPr id="7" name="TextBox 6"/>
            <xdr:cNvSpPr txBox="1"/>
          </xdr:nvSpPr>
          <xdr:spPr>
            <a:xfrm>
              <a:off x="7965380" y="9730159"/>
              <a:ext cx="1415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𝑅𝐶𝐶</m:t>
                        </m:r>
                      </m:e>
                      <m:sub>
                        <m:r>
                          <a:rPr lang="en-US" sz="1100" b="0" i="1">
                            <a:latin typeface="Cambria Math" panose="02040503050406030204" pitchFamily="18" charset="0"/>
                          </a:rPr>
                          <m:t>𝑈𝑆𝐷</m:t>
                        </m:r>
                      </m:sub>
                    </m:sSub>
                    <m:r>
                      <a:rPr lang="en-US" sz="1100" b="0" i="1">
                        <a:latin typeface="Cambria Math" panose="02040503050406030204" pitchFamily="18" charset="0"/>
                      </a:rPr>
                      <m:t>+</m:t>
                    </m:r>
                    <m:r>
                      <a:rPr lang="en-US" sz="1100" b="0" i="1">
                        <a:latin typeface="Cambria Math" panose="02040503050406030204" pitchFamily="18" charset="0"/>
                      </a:rPr>
                      <m:t>𝐴𝑑𝑗𝑢𝑠𝑡𝑚𝑒𝑛𝑡</m:t>
                    </m:r>
                  </m:oMath>
                </m:oMathPara>
              </a14:m>
              <a:endParaRPr lang="en-US" sz="1100"/>
            </a:p>
          </xdr:txBody>
        </xdr:sp>
      </mc:Choice>
      <mc:Fallback xmlns="">
        <xdr:sp macro="" textlink="">
          <xdr:nvSpPr>
            <xdr:cNvPr id="7" name="TextBox 6"/>
            <xdr:cNvSpPr txBox="1"/>
          </xdr:nvSpPr>
          <xdr:spPr>
            <a:xfrm>
              <a:off x="7965380" y="9730159"/>
              <a:ext cx="1415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𝑅𝐶𝐶〗_𝑈𝑆𝐷+𝐴𝑑𝑗𝑢𝑠𝑡𝑚𝑒𝑛𝑡</a:t>
              </a:r>
              <a:endParaRPr lang="en-US" sz="1100"/>
            </a:p>
          </xdr:txBody>
        </xdr:sp>
      </mc:Fallback>
    </mc:AlternateContent>
    <xdr:clientData/>
  </xdr:oneCellAnchor>
  <xdr:oneCellAnchor>
    <xdr:from>
      <xdr:col>23</xdr:col>
      <xdr:colOff>715</xdr:colOff>
      <xdr:row>23</xdr:row>
      <xdr:rowOff>41656</xdr:rowOff>
    </xdr:from>
    <xdr:ext cx="3230314" cy="320922"/>
    <mc:AlternateContent xmlns:mc="http://schemas.openxmlformats.org/markup-compatibility/2006" xmlns:a14="http://schemas.microsoft.com/office/drawing/2010/main">
      <mc:Choice Requires="a14">
        <xdr:sp macro="" textlink="">
          <xdr:nvSpPr>
            <xdr:cNvPr id="58" name="TextBox 57"/>
            <xdr:cNvSpPr txBox="1"/>
          </xdr:nvSpPr>
          <xdr:spPr>
            <a:xfrm>
              <a:off x="12644686" y="5952759"/>
              <a:ext cx="3230314"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ea typeface="Cambria Math" panose="02040503050406030204" pitchFamily="18" charset="0"/>
                      </a:rPr>
                      <m:t>𝐴𝑑𝑗𝑢𝑠𝑡𝑚𝑒𝑛𝑡</m:t>
                    </m:r>
                    <m:r>
                      <a:rPr lang="en-US" sz="1000" b="0" i="1">
                        <a:latin typeface="Cambria Math" panose="02040503050406030204" pitchFamily="18" charset="0"/>
                        <a:ea typeface="Cambria Math" panose="02040503050406030204" pitchFamily="18" charset="0"/>
                      </a:rPr>
                      <m:t>=</m:t>
                    </m:r>
                  </m:oMath>
                </m:oMathPara>
              </a14:m>
              <a:endParaRPr lang="en-US" sz="1000" b="0" i="1">
                <a:latin typeface="Cambria Math" panose="02040503050406030204" pitchFamily="18" charset="0"/>
                <a:ea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ea typeface="Cambria Math" panose="02040503050406030204" pitchFamily="18" charset="0"/>
                      </a:rPr>
                      <m:t> </m:t>
                    </m:r>
                    <m:sSub>
                      <m:sSubPr>
                        <m:ctrlPr>
                          <a:rPr lang="en-US" sz="1000" b="0" i="1">
                            <a:latin typeface="Cambria Math" panose="02040503050406030204" pitchFamily="18" charset="0"/>
                            <a:ea typeface="Cambria Math" panose="02040503050406030204" pitchFamily="18" charset="0"/>
                          </a:rPr>
                        </m:ctrlPr>
                      </m:sSubPr>
                      <m:e>
                        <m:f>
                          <m:fPr>
                            <m:type m:val="lin"/>
                            <m:ctrlPr>
                              <a:rPr lang="en-US" sz="1000" b="0" i="1">
                                <a:solidFill>
                                  <a:schemeClr val="tx1"/>
                                </a:solidFill>
                                <a:effectLst/>
                                <a:latin typeface="Cambria Math" panose="02040503050406030204" pitchFamily="18" charset="0"/>
                                <a:ea typeface="Cambria Math" panose="02040503050406030204" pitchFamily="18" charset="0"/>
                                <a:cs typeface="+mn-cs"/>
                              </a:rPr>
                            </m:ctrlPr>
                          </m:fPr>
                          <m:num>
                            <m:r>
                              <a:rPr lang="en-US" sz="1000" b="0" i="1">
                                <a:solidFill>
                                  <a:schemeClr val="tx1"/>
                                </a:solidFill>
                                <a:effectLst/>
                                <a:latin typeface="Cambria Math" panose="02040503050406030204" pitchFamily="18" charset="0"/>
                                <a:ea typeface="Cambria Math" panose="02040503050406030204" pitchFamily="18" charset="0"/>
                                <a:cs typeface="+mn-cs"/>
                              </a:rPr>
                              <m:t>𝑈𝑆𝐷</m:t>
                            </m:r>
                          </m:num>
                          <m:den>
                            <m:r>
                              <a:rPr lang="en-US" sz="1000" b="0" i="1">
                                <a:solidFill>
                                  <a:schemeClr val="tx1"/>
                                </a:solidFill>
                                <a:effectLst/>
                                <a:latin typeface="Cambria Math" panose="02040503050406030204" pitchFamily="18" charset="0"/>
                                <a:ea typeface="Cambria Math" panose="02040503050406030204" pitchFamily="18" charset="0"/>
                                <a:cs typeface="+mn-cs"/>
                              </a:rPr>
                              <m:t>𝑆𝐷𝑅</m:t>
                            </m:r>
                          </m:den>
                        </m:f>
                        <m:r>
                          <m:rPr>
                            <m:nor/>
                          </m:rPr>
                          <a:rPr lang="en-US" sz="1000" b="0">
                            <a:effectLst/>
                            <a:latin typeface="Segoe UI Semibold" panose="020B0702040204020203" pitchFamily="34" charset="0"/>
                            <a:ea typeface="Cambria Math" panose="02040503050406030204" pitchFamily="18" charset="0"/>
                          </a:rPr>
                          <m:t> </m:t>
                        </m:r>
                      </m:e>
                      <m:sub>
                        <m:r>
                          <a:rPr lang="en-US" sz="1000" b="0" i="1">
                            <a:latin typeface="Cambria Math" panose="02040503050406030204" pitchFamily="18" charset="0"/>
                            <a:ea typeface="Cambria Math" panose="02040503050406030204" pitchFamily="18" charset="0"/>
                          </a:rPr>
                          <m:t>𝑎𝑐𝑡𝑢𝑎𝑙</m:t>
                        </m:r>
                      </m:sub>
                    </m:sSub>
                    <m:r>
                      <a:rPr lang="en-US" sz="1000" b="0" i="1">
                        <a:latin typeface="Cambria Math" panose="02040503050406030204" pitchFamily="18" charset="0"/>
                        <a:ea typeface="Cambria Math" panose="02040503050406030204" pitchFamily="18" charset="0"/>
                      </a:rPr>
                      <m:t>− </m:t>
                    </m:r>
                    <m:sSub>
                      <m:sSubPr>
                        <m:ctrlPr>
                          <a:rPr lang="en-US" sz="1000" b="0" i="1">
                            <a:solidFill>
                              <a:schemeClr val="tx1"/>
                            </a:solidFill>
                            <a:effectLst/>
                            <a:latin typeface="Cambria Math" panose="02040503050406030204" pitchFamily="18" charset="0"/>
                            <a:ea typeface="Cambria Math" panose="02040503050406030204" pitchFamily="18" charset="0"/>
                            <a:cs typeface="+mn-cs"/>
                          </a:rPr>
                        </m:ctrlPr>
                      </m:sSubPr>
                      <m:e>
                        <m:f>
                          <m:fPr>
                            <m:type m:val="lin"/>
                            <m:ctrlPr>
                              <a:rPr lang="en-US" sz="1000" b="0" i="1">
                                <a:solidFill>
                                  <a:schemeClr val="tx1"/>
                                </a:solidFill>
                                <a:effectLst/>
                                <a:latin typeface="Cambria Math" panose="02040503050406030204" pitchFamily="18" charset="0"/>
                                <a:ea typeface="Cambria Math" panose="02040503050406030204" pitchFamily="18" charset="0"/>
                                <a:cs typeface="+mn-cs"/>
                              </a:rPr>
                            </m:ctrlPr>
                          </m:fPr>
                          <m:num>
                            <m:r>
                              <a:rPr lang="en-US" sz="1000" b="0" i="1">
                                <a:solidFill>
                                  <a:schemeClr val="tx1"/>
                                </a:solidFill>
                                <a:effectLst/>
                                <a:latin typeface="Cambria Math" panose="02040503050406030204" pitchFamily="18" charset="0"/>
                                <a:ea typeface="Cambria Math" panose="02040503050406030204" pitchFamily="18" charset="0"/>
                                <a:cs typeface="+mn-cs"/>
                              </a:rPr>
                              <m:t>𝑈𝑆𝐷</m:t>
                            </m:r>
                          </m:num>
                          <m:den>
                            <m:r>
                              <a:rPr lang="en-US" sz="1000" b="0" i="1">
                                <a:solidFill>
                                  <a:schemeClr val="tx1"/>
                                </a:solidFill>
                                <a:effectLst/>
                                <a:latin typeface="Cambria Math" panose="02040503050406030204" pitchFamily="18" charset="0"/>
                                <a:ea typeface="Cambria Math" panose="02040503050406030204" pitchFamily="18" charset="0"/>
                                <a:cs typeface="+mn-cs"/>
                              </a:rPr>
                              <m:t>𝑆𝐷𝑅</m:t>
                            </m:r>
                          </m:den>
                        </m:f>
                        <m:r>
                          <m:rPr>
                            <m:nor/>
                          </m:rPr>
                          <a:rPr lang="en-US" sz="1000" b="0" i="1">
                            <a:solidFill>
                              <a:schemeClr val="tx1"/>
                            </a:solidFill>
                            <a:effectLst/>
                            <a:latin typeface="Segoe UI Semibold" panose="020B0702040204020203" pitchFamily="34" charset="0"/>
                            <a:ea typeface="Cambria Math" panose="02040503050406030204" pitchFamily="18" charset="0"/>
                            <a:cs typeface="+mn-cs"/>
                          </a:rPr>
                          <m:t> </m:t>
                        </m:r>
                      </m:e>
                      <m:sub>
                        <m:r>
                          <a:rPr lang="en-US" sz="1000" b="0" i="1">
                            <a:solidFill>
                              <a:schemeClr val="tx1"/>
                            </a:solidFill>
                            <a:effectLst/>
                            <a:latin typeface="Cambria Math" panose="02040503050406030204" pitchFamily="18" charset="0"/>
                            <a:ea typeface="Cambria Math" panose="02040503050406030204" pitchFamily="18" charset="0"/>
                            <a:cs typeface="+mn-cs"/>
                          </a:rPr>
                          <m:t>𝑐𝑎𝑙𝑐𝑢𝑙𝑎𝑡𝑒𝑑</m:t>
                        </m:r>
                      </m:sub>
                    </m:sSub>
                  </m:oMath>
                </m:oMathPara>
              </a14:m>
              <a:endParaRPr lang="en-US" sz="1000" b="0">
                <a:latin typeface="Segoe UI Semibold" panose="020B0702040204020203" pitchFamily="34" charset="0"/>
                <a:ea typeface="Cambria Math" panose="02040503050406030204" pitchFamily="18" charset="0"/>
              </a:endParaRPr>
            </a:p>
          </xdr:txBody>
        </xdr:sp>
      </mc:Choice>
      <mc:Fallback xmlns="">
        <xdr:sp macro="" textlink="">
          <xdr:nvSpPr>
            <xdr:cNvPr id="58" name="TextBox 57"/>
            <xdr:cNvSpPr txBox="1"/>
          </xdr:nvSpPr>
          <xdr:spPr>
            <a:xfrm>
              <a:off x="12644686" y="5952759"/>
              <a:ext cx="3230314"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000" b="0" i="0">
                  <a:latin typeface="Cambria Math" panose="02040503050406030204" pitchFamily="18" charset="0"/>
                  <a:ea typeface="Cambria Math" panose="02040503050406030204" pitchFamily="18" charset="0"/>
                </a:rPr>
                <a:t>𝐴𝑑𝑗𝑢𝑠𝑡𝑚𝑒𝑛𝑡=</a:t>
              </a:r>
              <a:endParaRPr lang="en-US" sz="1000" b="0" i="1">
                <a:latin typeface="Cambria Math" panose="02040503050406030204" pitchFamily="18" charset="0"/>
                <a:ea typeface="Cambria Math" panose="02040503050406030204" pitchFamily="18" charset="0"/>
              </a:endParaRPr>
            </a:p>
            <a:p>
              <a:pPr/>
              <a:r>
                <a:rPr lang="en-US" sz="1000" b="0" i="0">
                  <a:latin typeface="Cambria Math" panose="02040503050406030204" pitchFamily="18" charset="0"/>
                  <a:ea typeface="Cambria Math" panose="02040503050406030204" pitchFamily="18" charset="0"/>
                </a:rPr>
                <a:t> 〖</a:t>
              </a:r>
              <a:r>
                <a:rPr lang="en-US" sz="1000" b="0" i="0">
                  <a:solidFill>
                    <a:schemeClr val="tx1"/>
                  </a:solidFill>
                  <a:effectLst/>
                  <a:latin typeface="Cambria Math" panose="02040503050406030204" pitchFamily="18" charset="0"/>
                  <a:ea typeface="Cambria Math" panose="02040503050406030204" pitchFamily="18" charset="0"/>
                  <a:cs typeface="+mn-cs"/>
                </a:rPr>
                <a:t>𝑈𝑆𝐷∕𝑆𝐷𝑅 "</a:t>
              </a:r>
              <a:r>
                <a:rPr lang="en-US" sz="1000" b="0" i="0">
                  <a:effectLst/>
                  <a:latin typeface="Segoe UI Semibold" panose="020B0702040204020203" pitchFamily="34" charset="0"/>
                  <a:ea typeface="Cambria Math" panose="02040503050406030204" pitchFamily="18" charset="0"/>
                </a:rPr>
                <a:t> </a:t>
              </a:r>
              <a:r>
                <a:rPr lang="en-US" sz="1000" b="0" i="0">
                  <a:effectLst/>
                  <a:latin typeface="Cambria Math" panose="02040503050406030204" pitchFamily="18" charset="0"/>
                  <a:ea typeface="Cambria Math" panose="02040503050406030204" pitchFamily="18" charset="0"/>
                </a:rPr>
                <a:t>" 〗_</a:t>
              </a:r>
              <a:r>
                <a:rPr lang="en-US" sz="1000" b="0" i="0">
                  <a:latin typeface="Cambria Math" panose="02040503050406030204" pitchFamily="18" charset="0"/>
                  <a:ea typeface="Cambria Math" panose="02040503050406030204" pitchFamily="18" charset="0"/>
                </a:rPr>
                <a:t>𝑎𝑐𝑡𝑢𝑎𝑙− </a:t>
              </a:r>
              <a:r>
                <a:rPr lang="en-US" sz="1000" b="0" i="0">
                  <a:solidFill>
                    <a:schemeClr val="tx1"/>
                  </a:solidFill>
                  <a:effectLst/>
                  <a:latin typeface="Cambria Math" panose="02040503050406030204" pitchFamily="18" charset="0"/>
                  <a:ea typeface="Cambria Math" panose="02040503050406030204" pitchFamily="18" charset="0"/>
                  <a:cs typeface="+mn-cs"/>
                </a:rPr>
                <a:t>〖𝑈𝑆𝐷∕𝑆𝐷𝑅 "</a:t>
              </a:r>
              <a:r>
                <a:rPr lang="en-US" sz="1000" b="0" i="0">
                  <a:solidFill>
                    <a:schemeClr val="tx1"/>
                  </a:solidFill>
                  <a:effectLst/>
                  <a:latin typeface="Segoe UI Semibold" panose="020B0702040204020203" pitchFamily="34" charset="0"/>
                  <a:ea typeface="Cambria Math" panose="02040503050406030204" pitchFamily="18" charset="0"/>
                  <a:cs typeface="+mn-cs"/>
                </a:rPr>
                <a:t> </a:t>
              </a:r>
              <a:r>
                <a:rPr lang="en-US" sz="1000" b="0" i="0">
                  <a:solidFill>
                    <a:schemeClr val="tx1"/>
                  </a:solidFill>
                  <a:effectLst/>
                  <a:latin typeface="Cambria Math" panose="02040503050406030204" pitchFamily="18" charset="0"/>
                  <a:ea typeface="Cambria Math" panose="02040503050406030204" pitchFamily="18" charset="0"/>
                  <a:cs typeface="+mn-cs"/>
                </a:rPr>
                <a:t>" 〗_𝑐𝑎𝑙𝑐𝑢𝑙𝑎𝑡𝑒𝑑</a:t>
              </a:r>
              <a:endParaRPr lang="en-US" sz="1000" b="0">
                <a:latin typeface="Segoe UI Semibold" panose="020B0702040204020203" pitchFamily="34" charset="0"/>
                <a:ea typeface="Cambria Math" panose="02040503050406030204" pitchFamily="18" charset="0"/>
              </a:endParaRPr>
            </a:p>
          </xdr:txBody>
        </xdr:sp>
      </mc:Fallback>
    </mc:AlternateContent>
    <xdr:clientData/>
  </xdr:oneCellAnchor>
  <xdr:oneCellAnchor>
    <xdr:from>
      <xdr:col>26</xdr:col>
      <xdr:colOff>569259</xdr:colOff>
      <xdr:row>46</xdr:row>
      <xdr:rowOff>101600</xdr:rowOff>
    </xdr:from>
    <xdr:ext cx="3230314" cy="320922"/>
    <mc:AlternateContent xmlns:mc="http://schemas.openxmlformats.org/markup-compatibility/2006" xmlns:a14="http://schemas.microsoft.com/office/drawing/2010/main">
      <mc:Choice Requires="a14">
        <xdr:sp macro="" textlink="">
          <xdr:nvSpPr>
            <xdr:cNvPr id="60" name="TextBox 59"/>
            <xdr:cNvSpPr txBox="1"/>
          </xdr:nvSpPr>
          <xdr:spPr>
            <a:xfrm>
              <a:off x="15333009" y="10864850"/>
              <a:ext cx="3230314"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ea typeface="Cambria Math" panose="02040503050406030204" pitchFamily="18" charset="0"/>
                      </a:rPr>
                      <m:t>𝐴𝑑𝑗𝑢𝑠𝑡𝑚𝑒𝑛𝑡</m:t>
                    </m:r>
                    <m:r>
                      <a:rPr lang="en-US" sz="1000" b="0" i="1">
                        <a:latin typeface="Cambria Math" panose="02040503050406030204" pitchFamily="18" charset="0"/>
                        <a:ea typeface="Cambria Math" panose="02040503050406030204" pitchFamily="18" charset="0"/>
                      </a:rPr>
                      <m:t>=</m:t>
                    </m:r>
                  </m:oMath>
                </m:oMathPara>
              </a14:m>
              <a:endParaRPr lang="en-US" sz="1000" b="0" i="1">
                <a:latin typeface="Cambria Math" panose="02040503050406030204" pitchFamily="18" charset="0"/>
                <a:ea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ea typeface="Cambria Math" panose="02040503050406030204" pitchFamily="18" charset="0"/>
                      </a:rPr>
                      <m:t> </m:t>
                    </m:r>
                    <m:sSub>
                      <m:sSubPr>
                        <m:ctrlPr>
                          <a:rPr lang="en-US" sz="1000" b="0" i="1">
                            <a:latin typeface="Cambria Math" panose="02040503050406030204" pitchFamily="18" charset="0"/>
                            <a:ea typeface="Cambria Math" panose="02040503050406030204" pitchFamily="18" charset="0"/>
                          </a:rPr>
                        </m:ctrlPr>
                      </m:sSubPr>
                      <m:e>
                        <m:f>
                          <m:fPr>
                            <m:type m:val="lin"/>
                            <m:ctrlPr>
                              <a:rPr lang="en-US" sz="1000" b="0" i="1">
                                <a:solidFill>
                                  <a:schemeClr val="tx1"/>
                                </a:solidFill>
                                <a:effectLst/>
                                <a:latin typeface="Cambria Math" panose="02040503050406030204" pitchFamily="18" charset="0"/>
                                <a:ea typeface="Cambria Math" panose="02040503050406030204" pitchFamily="18" charset="0"/>
                                <a:cs typeface="+mn-cs"/>
                              </a:rPr>
                            </m:ctrlPr>
                          </m:fPr>
                          <m:num>
                            <m:r>
                              <a:rPr lang="en-US" sz="1000" b="0" i="1">
                                <a:solidFill>
                                  <a:schemeClr val="tx1"/>
                                </a:solidFill>
                                <a:effectLst/>
                                <a:latin typeface="Cambria Math" panose="02040503050406030204" pitchFamily="18" charset="0"/>
                                <a:ea typeface="Cambria Math" panose="02040503050406030204" pitchFamily="18" charset="0"/>
                                <a:cs typeface="+mn-cs"/>
                              </a:rPr>
                              <m:t>𝑈𝑆𝐷</m:t>
                            </m:r>
                          </m:num>
                          <m:den>
                            <m:r>
                              <a:rPr lang="en-US" sz="1000" b="0" i="1">
                                <a:solidFill>
                                  <a:schemeClr val="tx1"/>
                                </a:solidFill>
                                <a:effectLst/>
                                <a:latin typeface="Cambria Math" panose="02040503050406030204" pitchFamily="18" charset="0"/>
                                <a:ea typeface="Cambria Math" panose="02040503050406030204" pitchFamily="18" charset="0"/>
                                <a:cs typeface="+mn-cs"/>
                              </a:rPr>
                              <m:t>𝑆𝐷𝑅</m:t>
                            </m:r>
                          </m:den>
                        </m:f>
                        <m:r>
                          <m:rPr>
                            <m:nor/>
                          </m:rPr>
                          <a:rPr lang="en-US" sz="1000" b="0">
                            <a:effectLst/>
                            <a:latin typeface="Segoe UI Semibold" panose="020B0702040204020203" pitchFamily="34" charset="0"/>
                            <a:ea typeface="Cambria Math" panose="02040503050406030204" pitchFamily="18" charset="0"/>
                          </a:rPr>
                          <m:t> </m:t>
                        </m:r>
                      </m:e>
                      <m:sub>
                        <m:r>
                          <a:rPr lang="en-US" sz="1000" b="0" i="1">
                            <a:latin typeface="Cambria Math" panose="02040503050406030204" pitchFamily="18" charset="0"/>
                            <a:ea typeface="Cambria Math" panose="02040503050406030204" pitchFamily="18" charset="0"/>
                          </a:rPr>
                          <m:t>𝑎𝑐𝑡𝑢𝑎𝑙</m:t>
                        </m:r>
                      </m:sub>
                    </m:sSub>
                    <m:r>
                      <a:rPr lang="en-US" sz="1000" b="0" i="1">
                        <a:latin typeface="Cambria Math" panose="02040503050406030204" pitchFamily="18" charset="0"/>
                        <a:ea typeface="Cambria Math" panose="02040503050406030204" pitchFamily="18" charset="0"/>
                      </a:rPr>
                      <m:t>− </m:t>
                    </m:r>
                    <m:sSub>
                      <m:sSubPr>
                        <m:ctrlPr>
                          <a:rPr lang="en-US" sz="1000" b="0" i="1">
                            <a:solidFill>
                              <a:schemeClr val="tx1"/>
                            </a:solidFill>
                            <a:effectLst/>
                            <a:latin typeface="Cambria Math" panose="02040503050406030204" pitchFamily="18" charset="0"/>
                            <a:ea typeface="Cambria Math" panose="02040503050406030204" pitchFamily="18" charset="0"/>
                            <a:cs typeface="+mn-cs"/>
                          </a:rPr>
                        </m:ctrlPr>
                      </m:sSubPr>
                      <m:e>
                        <m:f>
                          <m:fPr>
                            <m:type m:val="lin"/>
                            <m:ctrlPr>
                              <a:rPr lang="en-US" sz="1000" b="0" i="1">
                                <a:solidFill>
                                  <a:schemeClr val="tx1"/>
                                </a:solidFill>
                                <a:effectLst/>
                                <a:latin typeface="Cambria Math" panose="02040503050406030204" pitchFamily="18" charset="0"/>
                                <a:ea typeface="Cambria Math" panose="02040503050406030204" pitchFamily="18" charset="0"/>
                                <a:cs typeface="+mn-cs"/>
                              </a:rPr>
                            </m:ctrlPr>
                          </m:fPr>
                          <m:num>
                            <m:r>
                              <a:rPr lang="en-US" sz="1000" b="0" i="1">
                                <a:solidFill>
                                  <a:schemeClr val="tx1"/>
                                </a:solidFill>
                                <a:effectLst/>
                                <a:latin typeface="Cambria Math" panose="02040503050406030204" pitchFamily="18" charset="0"/>
                                <a:ea typeface="Cambria Math" panose="02040503050406030204" pitchFamily="18" charset="0"/>
                                <a:cs typeface="+mn-cs"/>
                              </a:rPr>
                              <m:t>𝑈𝑆𝐷</m:t>
                            </m:r>
                          </m:num>
                          <m:den>
                            <m:r>
                              <a:rPr lang="en-US" sz="1000" b="0" i="1">
                                <a:solidFill>
                                  <a:schemeClr val="tx1"/>
                                </a:solidFill>
                                <a:effectLst/>
                                <a:latin typeface="Cambria Math" panose="02040503050406030204" pitchFamily="18" charset="0"/>
                                <a:ea typeface="Cambria Math" panose="02040503050406030204" pitchFamily="18" charset="0"/>
                                <a:cs typeface="+mn-cs"/>
                              </a:rPr>
                              <m:t>𝑆𝐷𝑅</m:t>
                            </m:r>
                          </m:den>
                        </m:f>
                        <m:r>
                          <m:rPr>
                            <m:nor/>
                          </m:rPr>
                          <a:rPr lang="en-US" sz="1000" b="0" i="1">
                            <a:solidFill>
                              <a:schemeClr val="tx1"/>
                            </a:solidFill>
                            <a:effectLst/>
                            <a:latin typeface="Segoe UI Semibold" panose="020B0702040204020203" pitchFamily="34" charset="0"/>
                            <a:ea typeface="Cambria Math" panose="02040503050406030204" pitchFamily="18" charset="0"/>
                            <a:cs typeface="+mn-cs"/>
                          </a:rPr>
                          <m:t> </m:t>
                        </m:r>
                      </m:e>
                      <m:sub>
                        <m:r>
                          <a:rPr lang="en-US" sz="1000" b="0" i="1">
                            <a:solidFill>
                              <a:schemeClr val="tx1"/>
                            </a:solidFill>
                            <a:effectLst/>
                            <a:latin typeface="Cambria Math" panose="02040503050406030204" pitchFamily="18" charset="0"/>
                            <a:ea typeface="Cambria Math" panose="02040503050406030204" pitchFamily="18" charset="0"/>
                            <a:cs typeface="+mn-cs"/>
                          </a:rPr>
                          <m:t>𝑐𝑎𝑙𝑐𝑢𝑙𝑎𝑡𝑒𝑑</m:t>
                        </m:r>
                      </m:sub>
                    </m:sSub>
                  </m:oMath>
                </m:oMathPara>
              </a14:m>
              <a:endParaRPr lang="en-US" sz="1000" b="0">
                <a:latin typeface="Segoe UI Semibold" panose="020B0702040204020203" pitchFamily="34" charset="0"/>
                <a:ea typeface="Cambria Math" panose="02040503050406030204" pitchFamily="18" charset="0"/>
              </a:endParaRPr>
            </a:p>
          </xdr:txBody>
        </xdr:sp>
      </mc:Choice>
      <mc:Fallback xmlns="">
        <xdr:sp macro="" textlink="">
          <xdr:nvSpPr>
            <xdr:cNvPr id="60" name="TextBox 59"/>
            <xdr:cNvSpPr txBox="1"/>
          </xdr:nvSpPr>
          <xdr:spPr>
            <a:xfrm>
              <a:off x="15333009" y="10864850"/>
              <a:ext cx="3230314" cy="3209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000" b="0" i="0">
                  <a:latin typeface="Cambria Math" panose="02040503050406030204" pitchFamily="18" charset="0"/>
                  <a:ea typeface="Cambria Math" panose="02040503050406030204" pitchFamily="18" charset="0"/>
                </a:rPr>
                <a:t>𝐴𝑑𝑗𝑢𝑠𝑡𝑚𝑒𝑛𝑡=</a:t>
              </a:r>
              <a:endParaRPr lang="en-US" sz="1000" b="0" i="1">
                <a:latin typeface="Cambria Math" panose="02040503050406030204" pitchFamily="18" charset="0"/>
                <a:ea typeface="Cambria Math" panose="02040503050406030204" pitchFamily="18" charset="0"/>
              </a:endParaRPr>
            </a:p>
            <a:p>
              <a:pPr/>
              <a:r>
                <a:rPr lang="en-US" sz="1000" b="0" i="0">
                  <a:latin typeface="Cambria Math" panose="02040503050406030204" pitchFamily="18" charset="0"/>
                  <a:ea typeface="Cambria Math" panose="02040503050406030204" pitchFamily="18" charset="0"/>
                </a:rPr>
                <a:t> 〖</a:t>
              </a:r>
              <a:r>
                <a:rPr lang="en-US" sz="1000" b="0" i="0">
                  <a:solidFill>
                    <a:schemeClr val="tx1"/>
                  </a:solidFill>
                  <a:effectLst/>
                  <a:latin typeface="Cambria Math" panose="02040503050406030204" pitchFamily="18" charset="0"/>
                  <a:ea typeface="Cambria Math" panose="02040503050406030204" pitchFamily="18" charset="0"/>
                  <a:cs typeface="+mn-cs"/>
                </a:rPr>
                <a:t>𝑈𝑆𝐷∕𝑆𝐷𝑅 "</a:t>
              </a:r>
              <a:r>
                <a:rPr lang="en-US" sz="1000" b="0" i="0">
                  <a:effectLst/>
                  <a:latin typeface="Segoe UI Semibold" panose="020B0702040204020203" pitchFamily="34" charset="0"/>
                  <a:ea typeface="Cambria Math" panose="02040503050406030204" pitchFamily="18" charset="0"/>
                </a:rPr>
                <a:t> </a:t>
              </a:r>
              <a:r>
                <a:rPr lang="en-US" sz="1000" b="0" i="0">
                  <a:effectLst/>
                  <a:latin typeface="Cambria Math" panose="02040503050406030204" pitchFamily="18" charset="0"/>
                  <a:ea typeface="Cambria Math" panose="02040503050406030204" pitchFamily="18" charset="0"/>
                </a:rPr>
                <a:t>" 〗_</a:t>
              </a:r>
              <a:r>
                <a:rPr lang="en-US" sz="1000" b="0" i="0">
                  <a:latin typeface="Cambria Math" panose="02040503050406030204" pitchFamily="18" charset="0"/>
                  <a:ea typeface="Cambria Math" panose="02040503050406030204" pitchFamily="18" charset="0"/>
                </a:rPr>
                <a:t>𝑎𝑐𝑡𝑢𝑎𝑙− </a:t>
              </a:r>
              <a:r>
                <a:rPr lang="en-US" sz="1000" b="0" i="0">
                  <a:solidFill>
                    <a:schemeClr val="tx1"/>
                  </a:solidFill>
                  <a:effectLst/>
                  <a:latin typeface="Cambria Math" panose="02040503050406030204" pitchFamily="18" charset="0"/>
                  <a:ea typeface="Cambria Math" panose="02040503050406030204" pitchFamily="18" charset="0"/>
                  <a:cs typeface="+mn-cs"/>
                </a:rPr>
                <a:t>〖𝑈𝑆𝐷∕𝑆𝐷𝑅 "</a:t>
              </a:r>
              <a:r>
                <a:rPr lang="en-US" sz="1000" b="0" i="0">
                  <a:solidFill>
                    <a:schemeClr val="tx1"/>
                  </a:solidFill>
                  <a:effectLst/>
                  <a:latin typeface="Segoe UI Semibold" panose="020B0702040204020203" pitchFamily="34" charset="0"/>
                  <a:ea typeface="Cambria Math" panose="02040503050406030204" pitchFamily="18" charset="0"/>
                  <a:cs typeface="+mn-cs"/>
                </a:rPr>
                <a:t> </a:t>
              </a:r>
              <a:r>
                <a:rPr lang="en-US" sz="1000" b="0" i="0">
                  <a:solidFill>
                    <a:schemeClr val="tx1"/>
                  </a:solidFill>
                  <a:effectLst/>
                  <a:latin typeface="Cambria Math" panose="02040503050406030204" pitchFamily="18" charset="0"/>
                  <a:ea typeface="Cambria Math" panose="02040503050406030204" pitchFamily="18" charset="0"/>
                  <a:cs typeface="+mn-cs"/>
                </a:rPr>
                <a:t>" 〗_𝑐𝑎𝑙𝑐𝑢𝑙𝑎𝑡𝑒𝑑</a:t>
              </a:r>
              <a:endParaRPr lang="en-US" sz="1000" b="0">
                <a:latin typeface="Segoe UI Semibold" panose="020B0702040204020203" pitchFamily="34" charset="0"/>
                <a:ea typeface="Cambria Math" panose="02040503050406030204" pitchFamily="18" charset="0"/>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11</xdr:col>
      <xdr:colOff>723900</xdr:colOff>
      <xdr:row>66</xdr:row>
      <xdr:rowOff>76200</xdr:rowOff>
    </xdr:from>
    <xdr:to>
      <xdr:col>11</xdr:col>
      <xdr:colOff>1047750</xdr:colOff>
      <xdr:row>133</xdr:row>
      <xdr:rowOff>114300</xdr:rowOff>
    </xdr:to>
    <xdr:sp macro="" textlink="">
      <xdr:nvSpPr>
        <xdr:cNvPr id="2" name="Down Arrow 1"/>
        <xdr:cNvSpPr/>
      </xdr:nvSpPr>
      <xdr:spPr>
        <a:xfrm>
          <a:off x="13496925" y="12734925"/>
          <a:ext cx="323850" cy="10248900"/>
        </a:xfrm>
        <a:prstGeom prst="downArrow">
          <a:avLst/>
        </a:prstGeom>
        <a:solidFill>
          <a:srgbClr val="66FF66"/>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561975</xdr:colOff>
      <xdr:row>9</xdr:row>
      <xdr:rowOff>0</xdr:rowOff>
    </xdr:from>
    <xdr:to>
      <xdr:col>10</xdr:col>
      <xdr:colOff>0</xdr:colOff>
      <xdr:row>10</xdr:row>
      <xdr:rowOff>9525</xdr:rowOff>
    </xdr:to>
    <xdr:sp macro="" textlink="">
      <xdr:nvSpPr>
        <xdr:cNvPr id="11" name="Oval 10"/>
        <xdr:cNvSpPr/>
      </xdr:nvSpPr>
      <xdr:spPr>
        <a:xfrm>
          <a:off x="8991600" y="2057400"/>
          <a:ext cx="1428750" cy="190500"/>
        </a:xfrm>
        <a:prstGeom prst="ellipse">
          <a:avLst/>
        </a:prstGeom>
        <a:noFill/>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0</xdr:colOff>
      <xdr:row>9</xdr:row>
      <xdr:rowOff>95251</xdr:rowOff>
    </xdr:from>
    <xdr:to>
      <xdr:col>10</xdr:col>
      <xdr:colOff>1349407</xdr:colOff>
      <xdr:row>11</xdr:row>
      <xdr:rowOff>53884</xdr:rowOff>
    </xdr:to>
    <xdr:cxnSp macro="">
      <xdr:nvCxnSpPr>
        <xdr:cNvPr id="13" name="Straight Arrow Connector 12"/>
        <xdr:cNvCxnSpPr>
          <a:endCxn id="12" idx="1"/>
        </xdr:cNvCxnSpPr>
      </xdr:nvCxnSpPr>
      <xdr:spPr>
        <a:xfrm>
          <a:off x="11220450" y="2819401"/>
          <a:ext cx="1349407" cy="320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466725</xdr:colOff>
      <xdr:row>2</xdr:row>
      <xdr:rowOff>313213</xdr:rowOff>
    </xdr:from>
    <xdr:ext cx="192553" cy="172227"/>
    <mc:AlternateContent xmlns:mc="http://schemas.openxmlformats.org/markup-compatibility/2006" xmlns:a14="http://schemas.microsoft.com/office/drawing/2010/main">
      <mc:Choice Requires="a14">
        <xdr:sp macro="" textlink="">
          <xdr:nvSpPr>
            <xdr:cNvPr id="6" name="TextBox 5"/>
            <xdr:cNvSpPr txBox="1"/>
          </xdr:nvSpPr>
          <xdr:spPr>
            <a:xfrm>
              <a:off x="4657725" y="1218088"/>
              <a:ext cx="1925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𝑊</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6" name="TextBox 5"/>
            <xdr:cNvSpPr txBox="1"/>
          </xdr:nvSpPr>
          <xdr:spPr>
            <a:xfrm>
              <a:off x="4657725" y="1218088"/>
              <a:ext cx="1925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𝑊_𝑖</a:t>
              </a:r>
              <a:endParaRPr lang="en-US" sz="1100"/>
            </a:p>
          </xdr:txBody>
        </xdr:sp>
      </mc:Fallback>
    </mc:AlternateContent>
    <xdr:clientData/>
  </xdr:oneCellAnchor>
  <xdr:oneCellAnchor>
    <xdr:from>
      <xdr:col>4</xdr:col>
      <xdr:colOff>352425</xdr:colOff>
      <xdr:row>2</xdr:row>
      <xdr:rowOff>294163</xdr:rowOff>
    </xdr:from>
    <xdr:ext cx="342786" cy="172227"/>
    <mc:AlternateContent xmlns:mc="http://schemas.openxmlformats.org/markup-compatibility/2006" xmlns:a14="http://schemas.microsoft.com/office/drawing/2010/main">
      <mc:Choice Requires="a14">
        <xdr:sp macro="" textlink="">
          <xdr:nvSpPr>
            <xdr:cNvPr id="7" name="TextBox 6"/>
            <xdr:cNvSpPr txBox="1"/>
          </xdr:nvSpPr>
          <xdr:spPr>
            <a:xfrm>
              <a:off x="5972175" y="656113"/>
              <a:ext cx="3427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𝐵𝐸𝑋</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7" name="TextBox 6"/>
            <xdr:cNvSpPr txBox="1"/>
          </xdr:nvSpPr>
          <xdr:spPr>
            <a:xfrm>
              <a:off x="5972175" y="656113"/>
              <a:ext cx="3427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𝐵𝐸𝑋〗_𝑖</a:t>
              </a:r>
              <a:endParaRPr lang="en-US" sz="1100"/>
            </a:p>
          </xdr:txBody>
        </xdr:sp>
      </mc:Fallback>
    </mc:AlternateContent>
    <xdr:clientData/>
  </xdr:oneCellAnchor>
  <xdr:oneCellAnchor>
    <xdr:from>
      <xdr:col>5</xdr:col>
      <xdr:colOff>590550</xdr:colOff>
      <xdr:row>2</xdr:row>
      <xdr:rowOff>303688</xdr:rowOff>
    </xdr:from>
    <xdr:ext cx="334130" cy="172227"/>
    <mc:AlternateContent xmlns:mc="http://schemas.openxmlformats.org/markup-compatibility/2006" xmlns:a14="http://schemas.microsoft.com/office/drawing/2010/main">
      <mc:Choice Requires="a14">
        <xdr:sp macro="" textlink="">
          <xdr:nvSpPr>
            <xdr:cNvPr id="8" name="TextBox 7"/>
            <xdr:cNvSpPr txBox="1"/>
          </xdr:nvSpPr>
          <xdr:spPr>
            <a:xfrm>
              <a:off x="7334250" y="665638"/>
              <a:ext cx="3341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𝑇𝐸𝑋</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8" name="TextBox 7"/>
            <xdr:cNvSpPr txBox="1"/>
          </xdr:nvSpPr>
          <xdr:spPr>
            <a:xfrm>
              <a:off x="7334250" y="665638"/>
              <a:ext cx="33413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𝑇𝐸𝑋〗_𝑖</a:t>
              </a:r>
              <a:endParaRPr lang="en-US" sz="1100"/>
            </a:p>
          </xdr:txBody>
        </xdr:sp>
      </mc:Fallback>
    </mc:AlternateContent>
    <xdr:clientData/>
  </xdr:oneCellAnchor>
  <xdr:oneCellAnchor>
    <xdr:from>
      <xdr:col>8</xdr:col>
      <xdr:colOff>266700</xdr:colOff>
      <xdr:row>2</xdr:row>
      <xdr:rowOff>113188</xdr:rowOff>
    </xdr:from>
    <xdr:ext cx="342786" cy="345479"/>
    <mc:AlternateContent xmlns:mc="http://schemas.openxmlformats.org/markup-compatibility/2006" xmlns:a14="http://schemas.microsoft.com/office/drawing/2010/main">
      <mc:Choice Requires="a14">
        <xdr:sp macro="" textlink="">
          <xdr:nvSpPr>
            <xdr:cNvPr id="9" name="TextBox 8"/>
            <xdr:cNvSpPr txBox="1"/>
          </xdr:nvSpPr>
          <xdr:spPr>
            <a:xfrm>
              <a:off x="8943975" y="475138"/>
              <a:ext cx="342786"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𝑊</m:t>
                            </m:r>
                          </m:e>
                          <m:sub>
                            <m:r>
                              <a:rPr lang="en-US" sz="1100" b="0" i="1">
                                <a:latin typeface="Cambria Math" panose="02040503050406030204" pitchFamily="18" charset="0"/>
                              </a:rPr>
                              <m:t>𝑖</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𝐵𝐸𝑋</m:t>
                            </m:r>
                          </m:e>
                          <m:sub>
                            <m:r>
                              <a:rPr lang="en-US" sz="1100" b="0" i="1">
                                <a:latin typeface="Cambria Math" panose="02040503050406030204" pitchFamily="18" charset="0"/>
                              </a:rPr>
                              <m:t>𝑖</m:t>
                            </m:r>
                          </m:sub>
                        </m:sSub>
                      </m:den>
                    </m:f>
                  </m:oMath>
                </m:oMathPara>
              </a14:m>
              <a:endParaRPr lang="en-US" sz="1100"/>
            </a:p>
          </xdr:txBody>
        </xdr:sp>
      </mc:Choice>
      <mc:Fallback xmlns="">
        <xdr:sp macro="" textlink="">
          <xdr:nvSpPr>
            <xdr:cNvPr id="9" name="TextBox 8"/>
            <xdr:cNvSpPr txBox="1"/>
          </xdr:nvSpPr>
          <xdr:spPr>
            <a:xfrm>
              <a:off x="8943975" y="475138"/>
              <a:ext cx="342786"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𝑊_𝑖/〖𝐵𝐸𝑋〗_𝑖 </a:t>
              </a:r>
              <a:endParaRPr lang="en-US" sz="1100"/>
            </a:p>
          </xdr:txBody>
        </xdr:sp>
      </mc:Fallback>
    </mc:AlternateContent>
    <xdr:clientData/>
  </xdr:oneCellAnchor>
  <xdr:oneCellAnchor>
    <xdr:from>
      <xdr:col>9</xdr:col>
      <xdr:colOff>177832</xdr:colOff>
      <xdr:row>2</xdr:row>
      <xdr:rowOff>104775</xdr:rowOff>
    </xdr:from>
    <xdr:ext cx="775853" cy="345479"/>
    <mc:AlternateContent xmlns:mc="http://schemas.openxmlformats.org/markup-compatibility/2006" xmlns:a14="http://schemas.microsoft.com/office/drawing/2010/main">
      <mc:Choice Requires="a14">
        <xdr:sp macro="" textlink="">
          <xdr:nvSpPr>
            <xdr:cNvPr id="10" name="TextBox 9"/>
            <xdr:cNvSpPr txBox="1"/>
          </xdr:nvSpPr>
          <xdr:spPr>
            <a:xfrm>
              <a:off x="9769507" y="466725"/>
              <a:ext cx="775853"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𝑊</m:t>
                            </m:r>
                          </m:e>
                          <m:sub>
                            <m:r>
                              <a:rPr lang="en-US" sz="1100" b="0" i="1">
                                <a:latin typeface="Cambria Math" panose="02040503050406030204" pitchFamily="18" charset="0"/>
                              </a:rPr>
                              <m:t>𝑖</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𝐵𝐸𝑋</m:t>
                            </m:r>
                          </m:e>
                          <m:sub>
                            <m:r>
                              <a:rPr lang="en-US" sz="1100" b="0" i="1">
                                <a:latin typeface="Cambria Math" panose="02040503050406030204" pitchFamily="18" charset="0"/>
                              </a:rPr>
                              <m:t>𝑖</m:t>
                            </m:r>
                          </m:sub>
                        </m:sSub>
                      </m:den>
                    </m:f>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𝑇𝐸𝑋</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10" name="TextBox 9"/>
            <xdr:cNvSpPr txBox="1"/>
          </xdr:nvSpPr>
          <xdr:spPr>
            <a:xfrm>
              <a:off x="9769507" y="466725"/>
              <a:ext cx="775853" cy="3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𝑊_𝑖/〖𝐵𝐸𝑋〗_𝑖 ∗〖𝑇𝐸𝑋〗_𝑖</a:t>
              </a:r>
              <a:endParaRPr lang="en-US" sz="1100"/>
            </a:p>
          </xdr:txBody>
        </xdr:sp>
      </mc:Fallback>
    </mc:AlternateContent>
    <xdr:clientData/>
  </xdr:oneCellAnchor>
  <xdr:oneCellAnchor>
    <xdr:from>
      <xdr:col>10</xdr:col>
      <xdr:colOff>1349407</xdr:colOff>
      <xdr:row>10</xdr:row>
      <xdr:rowOff>57150</xdr:rowOff>
    </xdr:from>
    <xdr:ext cx="1158972" cy="355418"/>
    <mc:AlternateContent xmlns:mc="http://schemas.openxmlformats.org/markup-compatibility/2006" xmlns:a14="http://schemas.microsoft.com/office/drawing/2010/main">
      <mc:Choice Requires="a14">
        <xdr:sp macro="" textlink="">
          <xdr:nvSpPr>
            <xdr:cNvPr id="12" name="TextBox 11"/>
            <xdr:cNvSpPr txBox="1"/>
          </xdr:nvSpPr>
          <xdr:spPr>
            <a:xfrm>
              <a:off x="12569857" y="2962275"/>
              <a:ext cx="1158972" cy="355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subSup"/>
                        <m:ctrlPr>
                          <a:rPr lang="en-US" sz="1100" b="0" i="1">
                            <a:latin typeface="Cambria Math" panose="02040503050406030204" pitchFamily="18" charset="0"/>
                          </a:rPr>
                        </m:ctrlPr>
                      </m:naryPr>
                      <m:sub>
                        <m:r>
                          <m:rPr>
                            <m:brk m:alnAt="25"/>
                          </m:rPr>
                          <a:rPr lang="en-US" sz="1100" b="0" i="1">
                            <a:latin typeface="Cambria Math" panose="02040503050406030204" pitchFamily="18" charset="0"/>
                          </a:rPr>
                          <m:t>𝑖</m:t>
                        </m:r>
                        <m:r>
                          <a:rPr lang="en-US" sz="1100" b="0" i="1">
                            <a:latin typeface="Cambria Math" panose="02040503050406030204" pitchFamily="18" charset="0"/>
                          </a:rPr>
                          <m:t>=1</m:t>
                        </m:r>
                      </m:sub>
                      <m:sup>
                        <m:r>
                          <a:rPr lang="en-US" sz="1100" b="0" i="1">
                            <a:latin typeface="Cambria Math" panose="02040503050406030204" pitchFamily="18" charset="0"/>
                          </a:rPr>
                          <m:t>5</m:t>
                        </m:r>
                      </m:sup>
                      <m:e>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𝑊</m:t>
                                </m:r>
                              </m:e>
                              <m:sub>
                                <m:r>
                                  <a:rPr lang="en-US" sz="1100" b="0" i="1">
                                    <a:solidFill>
                                      <a:schemeClr val="tx1"/>
                                    </a:solidFill>
                                    <a:effectLst/>
                                    <a:latin typeface="Cambria Math" panose="02040503050406030204" pitchFamily="18" charset="0"/>
                                    <a:ea typeface="+mn-ea"/>
                                    <a:cs typeface="+mn-cs"/>
                                  </a:rPr>
                                  <m:t>𝑖</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𝐵𝐸𝑋</m:t>
                                </m:r>
                              </m:e>
                              <m:sub>
                                <m:r>
                                  <a:rPr lang="en-US" sz="1100" b="0" i="1">
                                    <a:solidFill>
                                      <a:schemeClr val="tx1"/>
                                    </a:solidFill>
                                    <a:effectLst/>
                                    <a:latin typeface="Cambria Math" panose="02040503050406030204" pitchFamily="18" charset="0"/>
                                    <a:ea typeface="+mn-ea"/>
                                    <a:cs typeface="+mn-cs"/>
                                  </a:rPr>
                                  <m:t>𝑖</m:t>
                                </m:r>
                              </m:sub>
                            </m:sSub>
                          </m:den>
                        </m:f>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𝑇𝐸𝑋</m:t>
                            </m:r>
                          </m:e>
                          <m:sub>
                            <m:r>
                              <a:rPr lang="en-US" sz="1100" b="0" i="1">
                                <a:solidFill>
                                  <a:schemeClr val="tx1"/>
                                </a:solidFill>
                                <a:effectLst/>
                                <a:latin typeface="Cambria Math" panose="02040503050406030204" pitchFamily="18" charset="0"/>
                                <a:ea typeface="+mn-ea"/>
                                <a:cs typeface="+mn-cs"/>
                              </a:rPr>
                              <m:t>𝑖</m:t>
                            </m:r>
                          </m:sub>
                        </m:sSub>
                      </m:e>
                    </m:nary>
                  </m:oMath>
                </m:oMathPara>
              </a14:m>
              <a:endParaRPr lang="en-US" sz="1100"/>
            </a:p>
          </xdr:txBody>
        </xdr:sp>
      </mc:Choice>
      <mc:Fallback xmlns="">
        <xdr:sp macro="" textlink="">
          <xdr:nvSpPr>
            <xdr:cNvPr id="12" name="TextBox 11"/>
            <xdr:cNvSpPr txBox="1"/>
          </xdr:nvSpPr>
          <xdr:spPr>
            <a:xfrm>
              <a:off x="12569857" y="2962275"/>
              <a:ext cx="1158972" cy="3554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∑2_(𝑖=1)^5</a:t>
              </a:r>
              <a:r>
                <a:rPr lang="en-US" sz="1100" b="0" i="0">
                  <a:solidFill>
                    <a:schemeClr val="tx1"/>
                  </a:solidFill>
                  <a:effectLst/>
                  <a:latin typeface="Cambria Math" panose="02040503050406030204" pitchFamily="18" charset="0"/>
                  <a:ea typeface="+mn-ea"/>
                  <a:cs typeface="+mn-cs"/>
                </a:rPr>
                <a:t>▒〖𝑊_𝑖/〖𝐵𝐸𝑋〗_𝑖 ∗〖𝑇𝐸𝑋〗_𝑖 〗</a:t>
              </a:r>
              <a:endParaRPr lang="en-US" sz="1100"/>
            </a:p>
          </xdr:txBody>
        </xdr:sp>
      </mc:Fallback>
    </mc:AlternateContent>
    <xdr:clientData/>
  </xdr:oneCellAnchor>
  <xdr:oneCellAnchor>
    <xdr:from>
      <xdr:col>10</xdr:col>
      <xdr:colOff>1009650</xdr:colOff>
      <xdr:row>2</xdr:row>
      <xdr:rowOff>275113</xdr:rowOff>
    </xdr:from>
    <xdr:ext cx="153247" cy="172227"/>
    <mc:AlternateContent xmlns:mc="http://schemas.openxmlformats.org/markup-compatibility/2006" xmlns:a14="http://schemas.microsoft.com/office/drawing/2010/main">
      <mc:Choice Requires="a14">
        <xdr:sp macro="" textlink="">
          <xdr:nvSpPr>
            <xdr:cNvPr id="14" name="TextBox 13"/>
            <xdr:cNvSpPr txBox="1"/>
          </xdr:nvSpPr>
          <xdr:spPr>
            <a:xfrm>
              <a:off x="11677650" y="637063"/>
              <a:ext cx="153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14" name="TextBox 13"/>
            <xdr:cNvSpPr txBox="1"/>
          </xdr:nvSpPr>
          <xdr:spPr>
            <a:xfrm>
              <a:off x="11677650" y="637063"/>
              <a:ext cx="153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𝐶_𝑖</a:t>
              </a:r>
              <a:endParaRPr lang="en-US" sz="1100"/>
            </a:p>
          </xdr:txBody>
        </xdr:sp>
      </mc:Fallback>
    </mc:AlternateContent>
    <xdr:clientData/>
  </xdr:oneCellAnchor>
  <xdr:oneCellAnchor>
    <xdr:from>
      <xdr:col>3</xdr:col>
      <xdr:colOff>530257</xdr:colOff>
      <xdr:row>14</xdr:row>
      <xdr:rowOff>581025</xdr:rowOff>
    </xdr:from>
    <xdr:ext cx="153247" cy="172227"/>
    <mc:AlternateContent xmlns:mc="http://schemas.openxmlformats.org/markup-compatibility/2006" xmlns:a14="http://schemas.microsoft.com/office/drawing/2010/main">
      <mc:Choice Requires="a14">
        <xdr:sp macro="" textlink="">
          <xdr:nvSpPr>
            <xdr:cNvPr id="15" name="TextBox 14"/>
            <xdr:cNvSpPr txBox="1"/>
          </xdr:nvSpPr>
          <xdr:spPr>
            <a:xfrm>
              <a:off x="5016532" y="3543300"/>
              <a:ext cx="153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15" name="TextBox 14"/>
            <xdr:cNvSpPr txBox="1"/>
          </xdr:nvSpPr>
          <xdr:spPr>
            <a:xfrm>
              <a:off x="5016532" y="3543300"/>
              <a:ext cx="153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𝐶_𝑖</a:t>
              </a:r>
              <a:endParaRPr lang="en-US" sz="1100"/>
            </a:p>
          </xdr:txBody>
        </xdr:sp>
      </mc:Fallback>
    </mc:AlternateContent>
    <xdr:clientData/>
  </xdr:oneCellAnchor>
  <xdr:oneCellAnchor>
    <xdr:from>
      <xdr:col>4</xdr:col>
      <xdr:colOff>492157</xdr:colOff>
      <xdr:row>14</xdr:row>
      <xdr:rowOff>561975</xdr:rowOff>
    </xdr:from>
    <xdr:ext cx="327334" cy="172227"/>
    <mc:AlternateContent xmlns:mc="http://schemas.openxmlformats.org/markup-compatibility/2006" xmlns:a14="http://schemas.microsoft.com/office/drawing/2010/main">
      <mc:Choice Requires="a14">
        <xdr:sp macro="" textlink="">
          <xdr:nvSpPr>
            <xdr:cNvPr id="16" name="TextBox 15"/>
            <xdr:cNvSpPr txBox="1"/>
          </xdr:nvSpPr>
          <xdr:spPr>
            <a:xfrm>
              <a:off x="5673757" y="4067175"/>
              <a:ext cx="3273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𝑅𝐶𝐶</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16" name="TextBox 15"/>
            <xdr:cNvSpPr txBox="1"/>
          </xdr:nvSpPr>
          <xdr:spPr>
            <a:xfrm>
              <a:off x="5673757" y="4067175"/>
              <a:ext cx="3273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𝑅𝐶𝐶〗_𝑖</a:t>
              </a:r>
              <a:endParaRPr lang="en-US" sz="1100"/>
            </a:p>
          </xdr:txBody>
        </xdr:sp>
      </mc:Fallback>
    </mc:AlternateContent>
    <xdr:clientData/>
  </xdr:oneCellAnchor>
  <xdr:oneCellAnchor>
    <xdr:from>
      <xdr:col>5</xdr:col>
      <xdr:colOff>400050</xdr:colOff>
      <xdr:row>14</xdr:row>
      <xdr:rowOff>275113</xdr:rowOff>
    </xdr:from>
    <xdr:ext cx="760401" cy="172227"/>
    <mc:AlternateContent xmlns:mc="http://schemas.openxmlformats.org/markup-compatibility/2006" xmlns:a14="http://schemas.microsoft.com/office/drawing/2010/main">
      <mc:Choice Requires="a14">
        <xdr:sp macro="" textlink="">
          <xdr:nvSpPr>
            <xdr:cNvPr id="17" name="TextBox 16"/>
            <xdr:cNvSpPr txBox="1"/>
          </xdr:nvSpPr>
          <xdr:spPr>
            <a:xfrm>
              <a:off x="7143750" y="3237388"/>
              <a:ext cx="7604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𝑅𝐶𝐶</m:t>
                        </m:r>
                      </m:e>
                      <m:sub>
                        <m:r>
                          <a:rPr lang="en-US" sz="1100" b="0" i="1">
                            <a:latin typeface="Cambria Math" panose="02040503050406030204" pitchFamily="18" charset="0"/>
                          </a:rPr>
                          <m:t>𝑖</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𝑇𝐸𝑋</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17" name="TextBox 16"/>
            <xdr:cNvSpPr txBox="1"/>
          </xdr:nvSpPr>
          <xdr:spPr>
            <a:xfrm>
              <a:off x="7143750" y="3237388"/>
              <a:ext cx="7604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𝑅𝐶𝐶〗_𝑖∗〖𝑇𝐸𝑋〗_𝑖</a:t>
              </a:r>
              <a:endParaRPr lang="en-US" sz="1100"/>
            </a:p>
          </xdr:txBody>
        </xdr:sp>
      </mc:Fallback>
    </mc:AlternateContent>
    <xdr:clientData/>
  </xdr:oneCellAnchor>
  <xdr:oneCellAnchor>
    <xdr:from>
      <xdr:col>10</xdr:col>
      <xdr:colOff>301657</xdr:colOff>
      <xdr:row>14</xdr:row>
      <xdr:rowOff>257175</xdr:rowOff>
    </xdr:from>
    <xdr:ext cx="760401" cy="172227"/>
    <mc:AlternateContent xmlns:mc="http://schemas.openxmlformats.org/markup-compatibility/2006" xmlns:a14="http://schemas.microsoft.com/office/drawing/2010/main">
      <mc:Choice Requires="a14">
        <xdr:sp macro="" textlink="">
          <xdr:nvSpPr>
            <xdr:cNvPr id="19" name="TextBox 18"/>
            <xdr:cNvSpPr txBox="1"/>
          </xdr:nvSpPr>
          <xdr:spPr>
            <a:xfrm>
              <a:off x="10969657" y="3219450"/>
              <a:ext cx="7604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𝑅𝐶𝐶</m:t>
                        </m:r>
                      </m:e>
                      <m:sub>
                        <m:r>
                          <a:rPr lang="en-US" sz="1100" b="0" i="1">
                            <a:latin typeface="Cambria Math" panose="02040503050406030204" pitchFamily="18" charset="0"/>
                          </a:rPr>
                          <m:t>𝑖</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𝑇𝐸𝑋</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19" name="TextBox 18"/>
            <xdr:cNvSpPr txBox="1"/>
          </xdr:nvSpPr>
          <xdr:spPr>
            <a:xfrm>
              <a:off x="10969657" y="3219450"/>
              <a:ext cx="7604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𝑅𝐶𝐶〗_𝑖∗〖𝑇𝐸𝑋〗_𝑖</a:t>
              </a:r>
              <a:endParaRPr lang="en-US" sz="1100"/>
            </a:p>
          </xdr:txBody>
        </xdr:sp>
      </mc:Fallback>
    </mc:AlternateContent>
    <xdr:clientData/>
  </xdr:oneCellAnchor>
  <xdr:oneCellAnchor>
    <xdr:from>
      <xdr:col>8</xdr:col>
      <xdr:colOff>139732</xdr:colOff>
      <xdr:row>14</xdr:row>
      <xdr:rowOff>171450</xdr:rowOff>
    </xdr:from>
    <xdr:ext cx="403534" cy="172227"/>
    <mc:AlternateContent xmlns:mc="http://schemas.openxmlformats.org/markup-compatibility/2006" xmlns:a14="http://schemas.microsoft.com/office/drawing/2010/main">
      <mc:Choice Requires="a14">
        <xdr:sp macro="" textlink="">
          <xdr:nvSpPr>
            <xdr:cNvPr id="20" name="TextBox 19"/>
            <xdr:cNvSpPr txBox="1"/>
          </xdr:nvSpPr>
          <xdr:spPr>
            <a:xfrm>
              <a:off x="9178957" y="3676650"/>
              <a:ext cx="403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𝑅𝐶𝐶</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20" name="TextBox 19"/>
            <xdr:cNvSpPr txBox="1"/>
          </xdr:nvSpPr>
          <xdr:spPr>
            <a:xfrm>
              <a:off x="9178957" y="3676650"/>
              <a:ext cx="403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𝑅𝐶𝐶〗_𝑖</a:t>
              </a:r>
              <a:endParaRPr lang="en-US" sz="1100"/>
            </a:p>
          </xdr:txBody>
        </xdr:sp>
      </mc:Fallback>
    </mc:AlternateContent>
    <xdr:clientData/>
  </xdr:oneCellAnchor>
  <xdr:oneCellAnchor>
    <xdr:from>
      <xdr:col>3</xdr:col>
      <xdr:colOff>530257</xdr:colOff>
      <xdr:row>26</xdr:row>
      <xdr:rowOff>590550</xdr:rowOff>
    </xdr:from>
    <xdr:ext cx="153247" cy="172227"/>
    <mc:AlternateContent xmlns:mc="http://schemas.openxmlformats.org/markup-compatibility/2006" xmlns:a14="http://schemas.microsoft.com/office/drawing/2010/main">
      <mc:Choice Requires="a14">
        <xdr:sp macro="" textlink="">
          <xdr:nvSpPr>
            <xdr:cNvPr id="22" name="TextBox 21"/>
            <xdr:cNvSpPr txBox="1"/>
          </xdr:nvSpPr>
          <xdr:spPr>
            <a:xfrm>
              <a:off x="5016532" y="6343650"/>
              <a:ext cx="153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22" name="TextBox 21"/>
            <xdr:cNvSpPr txBox="1"/>
          </xdr:nvSpPr>
          <xdr:spPr>
            <a:xfrm>
              <a:off x="5016532" y="6343650"/>
              <a:ext cx="153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𝐶_𝑖</a:t>
              </a:r>
              <a:endParaRPr lang="en-US" sz="1100"/>
            </a:p>
          </xdr:txBody>
        </xdr:sp>
      </mc:Fallback>
    </mc:AlternateContent>
    <xdr:clientData/>
  </xdr:oneCellAnchor>
  <xdr:oneCellAnchor>
    <xdr:from>
      <xdr:col>4</xdr:col>
      <xdr:colOff>492157</xdr:colOff>
      <xdr:row>26</xdr:row>
      <xdr:rowOff>552450</xdr:rowOff>
    </xdr:from>
    <xdr:ext cx="327334" cy="172227"/>
    <mc:AlternateContent xmlns:mc="http://schemas.openxmlformats.org/markup-compatibility/2006" xmlns:a14="http://schemas.microsoft.com/office/drawing/2010/main">
      <mc:Choice Requires="a14">
        <xdr:sp macro="" textlink="">
          <xdr:nvSpPr>
            <xdr:cNvPr id="23" name="TextBox 22"/>
            <xdr:cNvSpPr txBox="1"/>
          </xdr:nvSpPr>
          <xdr:spPr>
            <a:xfrm>
              <a:off x="5673757" y="6848475"/>
              <a:ext cx="3273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𝑅𝐶𝐶</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23" name="TextBox 22"/>
            <xdr:cNvSpPr txBox="1"/>
          </xdr:nvSpPr>
          <xdr:spPr>
            <a:xfrm>
              <a:off x="5673757" y="6848475"/>
              <a:ext cx="3273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𝑅𝐶𝐶〗_𝑖</a:t>
              </a:r>
              <a:endParaRPr lang="en-US" sz="1100"/>
            </a:p>
          </xdr:txBody>
        </xdr:sp>
      </mc:Fallback>
    </mc:AlternateContent>
    <xdr:clientData/>
  </xdr:oneCellAnchor>
  <xdr:oneCellAnchor>
    <xdr:from>
      <xdr:col>5</xdr:col>
      <xdr:colOff>428625</xdr:colOff>
      <xdr:row>26</xdr:row>
      <xdr:rowOff>275113</xdr:rowOff>
    </xdr:from>
    <xdr:ext cx="760401" cy="172227"/>
    <mc:AlternateContent xmlns:mc="http://schemas.openxmlformats.org/markup-compatibility/2006" xmlns:a14="http://schemas.microsoft.com/office/drawing/2010/main">
      <mc:Choice Requires="a14">
        <xdr:sp macro="" textlink="">
          <xdr:nvSpPr>
            <xdr:cNvPr id="24" name="TextBox 23"/>
            <xdr:cNvSpPr txBox="1"/>
          </xdr:nvSpPr>
          <xdr:spPr>
            <a:xfrm>
              <a:off x="7172325" y="6028213"/>
              <a:ext cx="7604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𝑅𝐶𝐶</m:t>
                        </m:r>
                      </m:e>
                      <m:sub>
                        <m:r>
                          <a:rPr lang="en-US" sz="1100" b="0" i="1">
                            <a:latin typeface="Cambria Math" panose="02040503050406030204" pitchFamily="18" charset="0"/>
                          </a:rPr>
                          <m:t>𝑖</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𝑇𝐸𝑋</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24" name="TextBox 23"/>
            <xdr:cNvSpPr txBox="1"/>
          </xdr:nvSpPr>
          <xdr:spPr>
            <a:xfrm>
              <a:off x="7172325" y="6028213"/>
              <a:ext cx="7604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𝑅𝐶𝐶〗_𝑖∗〖𝑇𝐸𝑋〗_𝑖</a:t>
              </a:r>
              <a:endParaRPr lang="en-US" sz="1100"/>
            </a:p>
          </xdr:txBody>
        </xdr:sp>
      </mc:Fallback>
    </mc:AlternateContent>
    <xdr:clientData/>
  </xdr:oneCellAnchor>
  <xdr:oneCellAnchor>
    <xdr:from>
      <xdr:col>10</xdr:col>
      <xdr:colOff>301657</xdr:colOff>
      <xdr:row>26</xdr:row>
      <xdr:rowOff>266700</xdr:rowOff>
    </xdr:from>
    <xdr:ext cx="760401" cy="172227"/>
    <mc:AlternateContent xmlns:mc="http://schemas.openxmlformats.org/markup-compatibility/2006" xmlns:a14="http://schemas.microsoft.com/office/drawing/2010/main">
      <mc:Choice Requires="a14">
        <xdr:sp macro="" textlink="">
          <xdr:nvSpPr>
            <xdr:cNvPr id="25" name="TextBox 24"/>
            <xdr:cNvSpPr txBox="1"/>
          </xdr:nvSpPr>
          <xdr:spPr>
            <a:xfrm>
              <a:off x="10969657" y="6019800"/>
              <a:ext cx="7604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𝑅𝐶𝐶</m:t>
                        </m:r>
                      </m:e>
                      <m:sub>
                        <m:r>
                          <a:rPr lang="en-US" sz="1100" b="0" i="1">
                            <a:latin typeface="Cambria Math" panose="02040503050406030204" pitchFamily="18" charset="0"/>
                          </a:rPr>
                          <m:t>𝑖</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𝑇𝐸𝑋</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25" name="TextBox 24"/>
            <xdr:cNvSpPr txBox="1"/>
          </xdr:nvSpPr>
          <xdr:spPr>
            <a:xfrm>
              <a:off x="10969657" y="6019800"/>
              <a:ext cx="7604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𝑅𝐶𝐶〗_𝑖∗〖𝑇𝐸𝑋〗_𝑖</a:t>
              </a:r>
              <a:endParaRPr lang="en-US" sz="1100"/>
            </a:p>
          </xdr:txBody>
        </xdr:sp>
      </mc:Fallback>
    </mc:AlternateContent>
    <xdr:clientData/>
  </xdr:oneCellAnchor>
  <xdr:oneCellAnchor>
    <xdr:from>
      <xdr:col>8</xdr:col>
      <xdr:colOff>149257</xdr:colOff>
      <xdr:row>26</xdr:row>
      <xdr:rowOff>171450</xdr:rowOff>
    </xdr:from>
    <xdr:ext cx="403534" cy="172227"/>
    <mc:AlternateContent xmlns:mc="http://schemas.openxmlformats.org/markup-compatibility/2006" xmlns:a14="http://schemas.microsoft.com/office/drawing/2010/main">
      <mc:Choice Requires="a14">
        <xdr:sp macro="" textlink="">
          <xdr:nvSpPr>
            <xdr:cNvPr id="26" name="TextBox 25"/>
            <xdr:cNvSpPr txBox="1"/>
          </xdr:nvSpPr>
          <xdr:spPr>
            <a:xfrm>
              <a:off x="9188482" y="6467475"/>
              <a:ext cx="403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𝑅𝐶𝐶</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26" name="TextBox 25"/>
            <xdr:cNvSpPr txBox="1"/>
          </xdr:nvSpPr>
          <xdr:spPr>
            <a:xfrm>
              <a:off x="9188482" y="6467475"/>
              <a:ext cx="4035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𝑅𝐶𝐶〗_𝑖</a:t>
              </a:r>
              <a:endParaRPr lang="en-US" sz="1100"/>
            </a:p>
          </xdr:txBody>
        </xdr:sp>
      </mc:Fallback>
    </mc:AlternateContent>
    <xdr:clientData/>
  </xdr:oneCellAnchor>
  <xdr:twoCellAnchor editAs="oneCell">
    <xdr:from>
      <xdr:col>3</xdr:col>
      <xdr:colOff>466725</xdr:colOff>
      <xdr:row>2</xdr:row>
      <xdr:rowOff>295275</xdr:rowOff>
    </xdr:from>
    <xdr:to>
      <xdr:col>5</xdr:col>
      <xdr:colOff>1085469</xdr:colOff>
      <xdr:row>2</xdr:row>
      <xdr:rowOff>533370</xdr:rowOff>
    </xdr:to>
    <xdr:pic>
      <xdr:nvPicPr>
        <xdr:cNvPr id="2" name="Picture 1"/>
        <xdr:cNvPicPr>
          <a:picLocks noChangeAspect="1"/>
        </xdr:cNvPicPr>
      </xdr:nvPicPr>
      <xdr:blipFill>
        <a:blip xmlns:r="http://schemas.openxmlformats.org/officeDocument/2006/relationships" r:embed="rId1"/>
        <a:stretch>
          <a:fillRect/>
        </a:stretch>
      </xdr:blipFill>
      <xdr:spPr>
        <a:xfrm>
          <a:off x="4657725" y="1200150"/>
          <a:ext cx="3047619" cy="238095"/>
        </a:xfrm>
        <a:prstGeom prst="rect">
          <a:avLst/>
        </a:prstGeom>
      </xdr:spPr>
    </xdr:pic>
    <xdr:clientData/>
  </xdr:twoCellAnchor>
  <xdr:twoCellAnchor editAs="oneCell">
    <xdr:from>
      <xdr:col>8</xdr:col>
      <xdr:colOff>161925</xdr:colOff>
      <xdr:row>2</xdr:row>
      <xdr:rowOff>57150</xdr:rowOff>
    </xdr:from>
    <xdr:to>
      <xdr:col>10</xdr:col>
      <xdr:colOff>1380718</xdr:colOff>
      <xdr:row>2</xdr:row>
      <xdr:rowOff>485721</xdr:rowOff>
    </xdr:to>
    <xdr:pic>
      <xdr:nvPicPr>
        <xdr:cNvPr id="4" name="Picture 3"/>
        <xdr:cNvPicPr>
          <a:picLocks noChangeAspect="1"/>
        </xdr:cNvPicPr>
      </xdr:nvPicPr>
      <xdr:blipFill>
        <a:blip xmlns:r="http://schemas.openxmlformats.org/officeDocument/2006/relationships" r:embed="rId2"/>
        <a:stretch>
          <a:fillRect/>
        </a:stretch>
      </xdr:blipFill>
      <xdr:spPr>
        <a:xfrm>
          <a:off x="9344025" y="962025"/>
          <a:ext cx="3257143" cy="428571"/>
        </a:xfrm>
        <a:prstGeom prst="rect">
          <a:avLst/>
        </a:prstGeom>
      </xdr:spPr>
    </xdr:pic>
    <xdr:clientData/>
  </xdr:twoCellAnchor>
  <xdr:twoCellAnchor editAs="oneCell">
    <xdr:from>
      <xdr:col>3</xdr:col>
      <xdr:colOff>19050</xdr:colOff>
      <xdr:row>14</xdr:row>
      <xdr:rowOff>57150</xdr:rowOff>
    </xdr:from>
    <xdr:to>
      <xdr:col>10</xdr:col>
      <xdr:colOff>1399124</xdr:colOff>
      <xdr:row>15</xdr:row>
      <xdr:rowOff>85636</xdr:rowOff>
    </xdr:to>
    <xdr:pic>
      <xdr:nvPicPr>
        <xdr:cNvPr id="5" name="Picture 4"/>
        <xdr:cNvPicPr>
          <a:picLocks noChangeAspect="1"/>
        </xdr:cNvPicPr>
      </xdr:nvPicPr>
      <xdr:blipFill>
        <a:blip xmlns:r="http://schemas.openxmlformats.org/officeDocument/2006/relationships" r:embed="rId3"/>
        <a:stretch>
          <a:fillRect/>
        </a:stretch>
      </xdr:blipFill>
      <xdr:spPr>
        <a:xfrm>
          <a:off x="4210050" y="3562350"/>
          <a:ext cx="8409524" cy="714286"/>
        </a:xfrm>
        <a:prstGeom prst="rect">
          <a:avLst/>
        </a:prstGeom>
      </xdr:spPr>
    </xdr:pic>
    <xdr:clientData/>
  </xdr:twoCellAnchor>
  <xdr:twoCellAnchor editAs="oneCell">
    <xdr:from>
      <xdr:col>3</xdr:col>
      <xdr:colOff>38100</xdr:colOff>
      <xdr:row>26</xdr:row>
      <xdr:rowOff>57150</xdr:rowOff>
    </xdr:from>
    <xdr:to>
      <xdr:col>10</xdr:col>
      <xdr:colOff>1437221</xdr:colOff>
      <xdr:row>27</xdr:row>
      <xdr:rowOff>76112</xdr:rowOff>
    </xdr:to>
    <xdr:pic>
      <xdr:nvPicPr>
        <xdr:cNvPr id="18" name="Picture 17"/>
        <xdr:cNvPicPr>
          <a:picLocks noChangeAspect="1"/>
        </xdr:cNvPicPr>
      </xdr:nvPicPr>
      <xdr:blipFill>
        <a:blip xmlns:r="http://schemas.openxmlformats.org/officeDocument/2006/relationships" r:embed="rId4"/>
        <a:stretch>
          <a:fillRect/>
        </a:stretch>
      </xdr:blipFill>
      <xdr:spPr>
        <a:xfrm>
          <a:off x="4229100" y="6353175"/>
          <a:ext cx="8428571" cy="704762"/>
        </a:xfrm>
        <a:prstGeom prst="rect">
          <a:avLst/>
        </a:prstGeom>
      </xdr:spPr>
    </xdr:pic>
    <xdr:clientData/>
  </xdr:twoCellAnchor>
  <xdr:oneCellAnchor>
    <xdr:from>
      <xdr:col>1</xdr:col>
      <xdr:colOff>381000</xdr:colOff>
      <xdr:row>3</xdr:row>
      <xdr:rowOff>179863</xdr:rowOff>
    </xdr:from>
    <xdr:ext cx="2286000" cy="626582"/>
    <mc:AlternateContent xmlns:mc="http://schemas.openxmlformats.org/markup-compatibility/2006" xmlns:a14="http://schemas.microsoft.com/office/drawing/2010/main">
      <mc:Choice Requires="a14">
        <xdr:sp macro="" textlink="">
          <xdr:nvSpPr>
            <xdr:cNvPr id="29" name="TextBox 28"/>
            <xdr:cNvSpPr txBox="1"/>
          </xdr:nvSpPr>
          <xdr:spPr>
            <a:xfrm>
              <a:off x="552450" y="1770538"/>
              <a:ext cx="2286000" cy="626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b="0" i="1">
                            <a:latin typeface="Cambria Math" panose="02040503050406030204" pitchFamily="18" charset="0"/>
                          </a:rPr>
                          <m:t>𝐶</m:t>
                        </m:r>
                      </m:e>
                      <m:sub>
                        <m:r>
                          <a:rPr lang="en-US" sz="1400" b="0" i="1">
                            <a:latin typeface="Cambria Math" panose="02040503050406030204" pitchFamily="18" charset="0"/>
                          </a:rPr>
                          <m:t>𝑖</m:t>
                        </m:r>
                      </m:sub>
                    </m:sSub>
                    <m:r>
                      <a:rPr lang="en-US" sz="1400" i="1">
                        <a:latin typeface="Cambria Math" panose="02040503050406030204" pitchFamily="18" charset="0"/>
                      </a:rPr>
                      <m:t>=</m:t>
                    </m:r>
                    <m:r>
                      <a:rPr lang="en-US" sz="1400" b="0" i="1">
                        <a:latin typeface="Cambria Math" panose="02040503050406030204" pitchFamily="18" charset="0"/>
                      </a:rPr>
                      <m:t> </m:t>
                    </m:r>
                    <m:f>
                      <m:fPr>
                        <m:ctrlPr>
                          <a:rPr lang="en-US" sz="1400" b="0" i="1">
                            <a:latin typeface="Cambria Math" panose="02040503050406030204" pitchFamily="18" charset="0"/>
                          </a:rPr>
                        </m:ctrlPr>
                      </m:fPr>
                      <m:num>
                        <m:sSub>
                          <m:sSubPr>
                            <m:ctrlPr>
                              <a:rPr lang="en-US" sz="1400" b="0" i="1">
                                <a:latin typeface="Cambria Math" panose="02040503050406030204" pitchFamily="18" charset="0"/>
                              </a:rPr>
                            </m:ctrlPr>
                          </m:sSubPr>
                          <m:e>
                            <m:r>
                              <a:rPr lang="en-US" sz="1400" b="0" i="1">
                                <a:latin typeface="Cambria Math" panose="02040503050406030204" pitchFamily="18" charset="0"/>
                              </a:rPr>
                              <m:t>𝑊</m:t>
                            </m:r>
                          </m:e>
                          <m:sub>
                            <m:r>
                              <a:rPr lang="en-US" sz="1400" b="0" i="1">
                                <a:latin typeface="Cambria Math" panose="02040503050406030204" pitchFamily="18" charset="0"/>
                              </a:rPr>
                              <m:t>𝑖</m:t>
                            </m:r>
                          </m:sub>
                        </m:sSub>
                      </m:num>
                      <m:den>
                        <m:sSub>
                          <m:sSubPr>
                            <m:ctrlPr>
                              <a:rPr lang="en-US" sz="1400" b="0" i="1">
                                <a:latin typeface="Cambria Math" panose="02040503050406030204" pitchFamily="18" charset="0"/>
                              </a:rPr>
                            </m:ctrlPr>
                          </m:sSubPr>
                          <m:e>
                            <m:r>
                              <a:rPr lang="en-US" sz="1400" b="0" i="1">
                                <a:latin typeface="Cambria Math" panose="02040503050406030204" pitchFamily="18" charset="0"/>
                              </a:rPr>
                              <m:t>𝐵𝐸𝑋</m:t>
                            </m:r>
                          </m:e>
                          <m:sub>
                            <m:r>
                              <a:rPr lang="en-US" sz="1400" b="0" i="1">
                                <a:latin typeface="Cambria Math" panose="02040503050406030204" pitchFamily="18" charset="0"/>
                              </a:rPr>
                              <m:t>𝑖</m:t>
                            </m:r>
                          </m:sub>
                        </m:sSub>
                      </m:den>
                    </m:f>
                    <m:r>
                      <a:rPr lang="en-US" sz="1400" b="0" i="1">
                        <a:latin typeface="Cambria Math" panose="02040503050406030204" pitchFamily="18" charset="0"/>
                      </a:rPr>
                      <m:t>∗</m:t>
                    </m:r>
                    <m:f>
                      <m:fPr>
                        <m:ctrlPr>
                          <a:rPr lang="en-US" sz="1400" b="0" i="1">
                            <a:latin typeface="Cambria Math" panose="02040503050406030204" pitchFamily="18" charset="0"/>
                          </a:rPr>
                        </m:ctrlPr>
                      </m:fPr>
                      <m:num>
                        <m:f>
                          <m:fPr>
                            <m:type m:val="lin"/>
                            <m:ctrlPr>
                              <a:rPr lang="en-US" sz="1400" b="0" i="1">
                                <a:latin typeface="Cambria Math" panose="02040503050406030204" pitchFamily="18" charset="0"/>
                              </a:rPr>
                            </m:ctrlPr>
                          </m:fPr>
                          <m:num>
                            <m:r>
                              <a:rPr lang="en-US" sz="1400" b="0" i="1">
                                <a:latin typeface="Cambria Math" panose="02040503050406030204" pitchFamily="18" charset="0"/>
                              </a:rPr>
                              <m:t>𝑈𝑆𝐷</m:t>
                            </m:r>
                          </m:num>
                          <m:den>
                            <m:r>
                              <a:rPr lang="en-US" sz="1400" b="0" i="1">
                                <a:latin typeface="Cambria Math" panose="02040503050406030204" pitchFamily="18" charset="0"/>
                              </a:rPr>
                              <m:t>𝑆𝐷𝑅</m:t>
                            </m:r>
                          </m:den>
                        </m:f>
                      </m:num>
                      <m:den>
                        <m:nary>
                          <m:naryPr>
                            <m:chr m:val="∑"/>
                            <m:limLoc m:val="subSup"/>
                            <m:ctrlPr>
                              <a:rPr lang="en-US" sz="1400" b="0" i="1">
                                <a:latin typeface="Cambria Math" panose="02040503050406030204" pitchFamily="18" charset="0"/>
                              </a:rPr>
                            </m:ctrlPr>
                          </m:naryPr>
                          <m:sub>
                            <m:r>
                              <m:rPr>
                                <m:brk m:alnAt="25"/>
                              </m:rPr>
                              <a:rPr lang="en-US" sz="1400" b="0" i="1">
                                <a:latin typeface="Cambria Math" panose="02040503050406030204" pitchFamily="18" charset="0"/>
                              </a:rPr>
                              <m:t>𝑖</m:t>
                            </m:r>
                            <m:r>
                              <a:rPr lang="en-US" sz="1400" b="0" i="1">
                                <a:latin typeface="Cambria Math" panose="02040503050406030204" pitchFamily="18" charset="0"/>
                              </a:rPr>
                              <m:t>=1</m:t>
                            </m:r>
                          </m:sub>
                          <m:sup>
                            <m:r>
                              <a:rPr lang="en-US" sz="1400" b="0" i="1">
                                <a:latin typeface="Cambria Math" panose="02040503050406030204" pitchFamily="18" charset="0"/>
                              </a:rPr>
                              <m:t>5</m:t>
                            </m:r>
                          </m:sup>
                          <m:e>
                            <m:f>
                              <m:fPr>
                                <m:ctrlPr>
                                  <a:rPr lang="en-US" sz="1400" b="0" i="1">
                                    <a:latin typeface="Cambria Math" panose="02040503050406030204" pitchFamily="18" charset="0"/>
                                  </a:rPr>
                                </m:ctrlPr>
                              </m:fPr>
                              <m:num>
                                <m:sSub>
                                  <m:sSubPr>
                                    <m:ctrlPr>
                                      <a:rPr lang="en-US" sz="1400" b="0" i="1">
                                        <a:latin typeface="Cambria Math" panose="02040503050406030204" pitchFamily="18" charset="0"/>
                                      </a:rPr>
                                    </m:ctrlPr>
                                  </m:sSubPr>
                                  <m:e>
                                    <m:r>
                                      <a:rPr lang="en-US" sz="1400" b="0" i="1">
                                        <a:latin typeface="Cambria Math" panose="02040503050406030204" pitchFamily="18" charset="0"/>
                                      </a:rPr>
                                      <m:t>𝑊</m:t>
                                    </m:r>
                                  </m:e>
                                  <m:sub>
                                    <m:r>
                                      <a:rPr lang="en-US" sz="1400" b="0" i="1">
                                        <a:latin typeface="Cambria Math" panose="02040503050406030204" pitchFamily="18" charset="0"/>
                                      </a:rPr>
                                      <m:t>𝑖</m:t>
                                    </m:r>
                                  </m:sub>
                                </m:sSub>
                                <m:r>
                                  <a:rPr lang="en-US" sz="1400" b="0" i="1">
                                    <a:latin typeface="Cambria Math" panose="02040503050406030204" pitchFamily="18" charset="0"/>
                                  </a:rPr>
                                  <m:t>∗</m:t>
                                </m:r>
                                <m:sSub>
                                  <m:sSubPr>
                                    <m:ctrlPr>
                                      <a:rPr lang="en-US" sz="1400" b="0" i="1">
                                        <a:latin typeface="Cambria Math" panose="02040503050406030204" pitchFamily="18" charset="0"/>
                                      </a:rPr>
                                    </m:ctrlPr>
                                  </m:sSubPr>
                                  <m:e>
                                    <m:r>
                                      <a:rPr lang="en-US" sz="1400" b="0" i="1">
                                        <a:latin typeface="Cambria Math" panose="02040503050406030204" pitchFamily="18" charset="0"/>
                                      </a:rPr>
                                      <m:t>𝑇𝐸𝑋</m:t>
                                    </m:r>
                                  </m:e>
                                  <m:sub>
                                    <m:r>
                                      <a:rPr lang="en-US" sz="1400" b="0" i="1">
                                        <a:latin typeface="Cambria Math" panose="02040503050406030204" pitchFamily="18" charset="0"/>
                                      </a:rPr>
                                      <m:t>𝑖</m:t>
                                    </m:r>
                                  </m:sub>
                                </m:sSub>
                              </m:num>
                              <m:den>
                                <m:sSub>
                                  <m:sSubPr>
                                    <m:ctrlPr>
                                      <a:rPr lang="en-US" sz="1400" b="0" i="1">
                                        <a:latin typeface="Cambria Math" panose="02040503050406030204" pitchFamily="18" charset="0"/>
                                      </a:rPr>
                                    </m:ctrlPr>
                                  </m:sSubPr>
                                  <m:e>
                                    <m:r>
                                      <a:rPr lang="en-US" sz="1400" b="0" i="1">
                                        <a:latin typeface="Cambria Math" panose="02040503050406030204" pitchFamily="18" charset="0"/>
                                      </a:rPr>
                                      <m:t>𝐵𝐸𝑋</m:t>
                                    </m:r>
                                  </m:e>
                                  <m:sub>
                                    <m:r>
                                      <a:rPr lang="en-US" sz="1400" b="0" i="1">
                                        <a:latin typeface="Cambria Math" panose="02040503050406030204" pitchFamily="18" charset="0"/>
                                      </a:rPr>
                                      <m:t>𝑖</m:t>
                                    </m:r>
                                  </m:sub>
                                </m:sSub>
                              </m:den>
                            </m:f>
                          </m:e>
                        </m:nary>
                      </m:den>
                    </m:f>
                  </m:oMath>
                </m:oMathPara>
              </a14:m>
              <a:endParaRPr lang="en-US" sz="1400"/>
            </a:p>
          </xdr:txBody>
        </xdr:sp>
      </mc:Choice>
      <mc:Fallback xmlns="">
        <xdr:sp macro="" textlink="">
          <xdr:nvSpPr>
            <xdr:cNvPr id="29" name="TextBox 28"/>
            <xdr:cNvSpPr txBox="1"/>
          </xdr:nvSpPr>
          <xdr:spPr>
            <a:xfrm>
              <a:off x="552450" y="1770538"/>
              <a:ext cx="2286000" cy="626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a:latin typeface="Cambria Math" panose="02040503050406030204" pitchFamily="18" charset="0"/>
                </a:rPr>
                <a:t>𝐶_𝑖</a:t>
              </a:r>
              <a:r>
                <a:rPr lang="en-US" sz="1400" i="0">
                  <a:latin typeface="Cambria Math" panose="02040503050406030204" pitchFamily="18" charset="0"/>
                </a:rPr>
                <a:t>=</a:t>
              </a:r>
              <a:r>
                <a:rPr lang="en-US" sz="1400" b="0" i="0">
                  <a:latin typeface="Cambria Math" panose="02040503050406030204" pitchFamily="18" charset="0"/>
                </a:rPr>
                <a:t>  𝑊_𝑖/〖𝐵𝐸𝑋〗_𝑖 ∗(𝑈𝑆𝐷∕𝑆𝐷𝑅)/(∑26_(𝑖=1)^5▒(𝑊_𝑖∗〖𝑇𝐸𝑋〗_𝑖)/〖𝐵𝐸𝑋〗_𝑖 )</a:t>
              </a:r>
              <a:endParaRPr lang="en-US" sz="14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4</xdr:col>
      <xdr:colOff>523875</xdr:colOff>
      <xdr:row>1</xdr:row>
      <xdr:rowOff>9525</xdr:rowOff>
    </xdr:from>
    <xdr:to>
      <xdr:col>4</xdr:col>
      <xdr:colOff>1695450</xdr:colOff>
      <xdr:row>2</xdr:row>
      <xdr:rowOff>38100</xdr:rowOff>
    </xdr:to>
    <xdr:sp macro="" textlink="">
      <xdr:nvSpPr>
        <xdr:cNvPr id="2" name="Oval 1"/>
        <xdr:cNvSpPr/>
      </xdr:nvSpPr>
      <xdr:spPr>
        <a:xfrm>
          <a:off x="2638425" y="609600"/>
          <a:ext cx="1171575" cy="266700"/>
        </a:xfrm>
        <a:prstGeom prst="ellipse">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US" sz="1100"/>
        </a:p>
      </xdr:txBody>
    </xdr:sp>
    <xdr:clientData/>
  </xdr:twoCellAnchor>
  <xdr:twoCellAnchor>
    <xdr:from>
      <xdr:col>4</xdr:col>
      <xdr:colOff>1695450</xdr:colOff>
      <xdr:row>1</xdr:row>
      <xdr:rowOff>142875</xdr:rowOff>
    </xdr:from>
    <xdr:to>
      <xdr:col>7</xdr:col>
      <xdr:colOff>28575</xdr:colOff>
      <xdr:row>3</xdr:row>
      <xdr:rowOff>142875</xdr:rowOff>
    </xdr:to>
    <xdr:cxnSp macro="">
      <xdr:nvCxnSpPr>
        <xdr:cNvPr id="4" name="Elbow Connector 3"/>
        <xdr:cNvCxnSpPr>
          <a:stCxn id="2" idx="6"/>
        </xdr:cNvCxnSpPr>
      </xdr:nvCxnSpPr>
      <xdr:spPr>
        <a:xfrm>
          <a:off x="3810000" y="742950"/>
          <a:ext cx="1171575" cy="419100"/>
        </a:xfrm>
        <a:prstGeom prst="bentConnector3">
          <a:avLst>
            <a:gd name="adj1" fmla="val 8008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imf.org/external/np/fin/data/rms_sdrv.asp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G53"/>
  <sheetViews>
    <sheetView showGridLines="0" zoomScaleNormal="100" workbookViewId="0">
      <selection activeCell="A2" sqref="A2"/>
    </sheetView>
  </sheetViews>
  <sheetFormatPr defaultRowHeight="15" x14ac:dyDescent="0.25"/>
  <cols>
    <col min="1" max="1" width="3.140625" customWidth="1"/>
    <col min="7" max="7" width="11.85546875" customWidth="1"/>
    <col min="9" max="9" width="7.140625" customWidth="1"/>
    <col min="10" max="10" width="11.85546875" customWidth="1"/>
    <col min="11" max="11" width="2" customWidth="1"/>
    <col min="21" max="21" width="2.5703125" customWidth="1"/>
  </cols>
  <sheetData>
    <row r="1" spans="1:32" ht="179.25" customHeight="1" x14ac:dyDescent="0.25">
      <c r="A1" s="226" t="s">
        <v>58</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8"/>
    </row>
    <row r="2" spans="1:32" ht="8.25" customHeight="1" x14ac:dyDescent="0.25"/>
    <row r="3" spans="1:32" ht="15" customHeight="1" x14ac:dyDescent="0.25">
      <c r="B3" s="229" t="s">
        <v>59</v>
      </c>
      <c r="C3" s="230"/>
      <c r="D3" s="230"/>
      <c r="E3" s="230"/>
      <c r="F3" s="230"/>
      <c r="G3" s="230"/>
      <c r="H3" s="230"/>
      <c r="I3" s="230"/>
      <c r="J3" s="231"/>
      <c r="L3" s="238" t="s">
        <v>60</v>
      </c>
      <c r="M3" s="239"/>
      <c r="N3" s="239"/>
      <c r="O3" s="239"/>
      <c r="P3" s="239"/>
      <c r="Q3" s="239"/>
      <c r="R3" s="239"/>
      <c r="S3" s="239"/>
      <c r="T3" s="240"/>
      <c r="V3" s="247" t="s">
        <v>43</v>
      </c>
      <c r="W3" s="248"/>
      <c r="X3" s="248"/>
      <c r="Y3" s="248"/>
      <c r="Z3" s="248"/>
      <c r="AA3" s="248"/>
      <c r="AB3" s="248"/>
      <c r="AC3" s="248"/>
      <c r="AD3" s="248"/>
      <c r="AE3" s="248"/>
      <c r="AF3" s="249"/>
    </row>
    <row r="4" spans="1:32" ht="15" customHeight="1" x14ac:dyDescent="0.25">
      <c r="B4" s="232"/>
      <c r="C4" s="233"/>
      <c r="D4" s="233"/>
      <c r="E4" s="233"/>
      <c r="F4" s="233"/>
      <c r="G4" s="233"/>
      <c r="H4" s="233"/>
      <c r="I4" s="233"/>
      <c r="J4" s="234"/>
      <c r="L4" s="241"/>
      <c r="M4" s="242"/>
      <c r="N4" s="242"/>
      <c r="O4" s="242"/>
      <c r="P4" s="242"/>
      <c r="Q4" s="242"/>
      <c r="R4" s="242"/>
      <c r="S4" s="242"/>
      <c r="T4" s="243"/>
      <c r="V4" s="250"/>
      <c r="W4" s="251"/>
      <c r="X4" s="251"/>
      <c r="Y4" s="251"/>
      <c r="Z4" s="251"/>
      <c r="AA4" s="251"/>
      <c r="AB4" s="251"/>
      <c r="AC4" s="251"/>
      <c r="AD4" s="251"/>
      <c r="AE4" s="251"/>
      <c r="AF4" s="252"/>
    </row>
    <row r="5" spans="1:32" ht="15" customHeight="1" x14ac:dyDescent="0.25">
      <c r="B5" s="232"/>
      <c r="C5" s="233"/>
      <c r="D5" s="233"/>
      <c r="E5" s="233"/>
      <c r="F5" s="233"/>
      <c r="G5" s="233"/>
      <c r="H5" s="233"/>
      <c r="I5" s="233"/>
      <c r="J5" s="234"/>
      <c r="L5" s="241"/>
      <c r="M5" s="242"/>
      <c r="N5" s="242"/>
      <c r="O5" s="242"/>
      <c r="P5" s="242"/>
      <c r="Q5" s="242"/>
      <c r="R5" s="242"/>
      <c r="S5" s="242"/>
      <c r="T5" s="243"/>
      <c r="V5" s="195"/>
      <c r="W5" s="84"/>
      <c r="X5" s="84"/>
      <c r="Y5" s="84"/>
      <c r="Z5" s="84"/>
      <c r="AA5" s="84"/>
      <c r="AB5" s="84"/>
      <c r="AC5" s="84"/>
      <c r="AD5" s="84"/>
      <c r="AE5" s="84"/>
      <c r="AF5" s="194"/>
    </row>
    <row r="6" spans="1:32" ht="15" customHeight="1" x14ac:dyDescent="0.25">
      <c r="B6" s="232"/>
      <c r="C6" s="233"/>
      <c r="D6" s="233"/>
      <c r="E6" s="233"/>
      <c r="F6" s="233"/>
      <c r="G6" s="233"/>
      <c r="H6" s="233"/>
      <c r="I6" s="233"/>
      <c r="J6" s="234"/>
      <c r="L6" s="241"/>
      <c r="M6" s="242"/>
      <c r="N6" s="242"/>
      <c r="O6" s="242"/>
      <c r="P6" s="242"/>
      <c r="Q6" s="242"/>
      <c r="R6" s="242"/>
      <c r="S6" s="242"/>
      <c r="T6" s="243"/>
      <c r="V6" s="195"/>
      <c r="W6" s="84"/>
      <c r="X6" s="84"/>
      <c r="Y6" s="84"/>
      <c r="Z6" s="84"/>
      <c r="AA6" s="84"/>
      <c r="AB6" s="84"/>
      <c r="AC6" s="84"/>
      <c r="AD6" s="84"/>
      <c r="AE6" s="84"/>
      <c r="AF6" s="194"/>
    </row>
    <row r="7" spans="1:32" ht="15" customHeight="1" x14ac:dyDescent="0.25">
      <c r="B7" s="232"/>
      <c r="C7" s="233"/>
      <c r="D7" s="233"/>
      <c r="E7" s="233"/>
      <c r="F7" s="233"/>
      <c r="G7" s="233"/>
      <c r="H7" s="233"/>
      <c r="I7" s="233"/>
      <c r="J7" s="234"/>
      <c r="L7" s="241"/>
      <c r="M7" s="242"/>
      <c r="N7" s="242"/>
      <c r="O7" s="242"/>
      <c r="P7" s="242"/>
      <c r="Q7" s="242"/>
      <c r="R7" s="242"/>
      <c r="S7" s="242"/>
      <c r="T7" s="243"/>
      <c r="V7" s="195"/>
      <c r="W7" s="84"/>
      <c r="X7" s="84"/>
      <c r="Y7" s="84"/>
      <c r="Z7" s="84"/>
      <c r="AA7" s="84"/>
      <c r="AB7" s="84"/>
      <c r="AC7" s="84"/>
      <c r="AD7" s="84"/>
      <c r="AE7" s="84"/>
      <c r="AF7" s="194"/>
    </row>
    <row r="8" spans="1:32" ht="15" customHeight="1" x14ac:dyDescent="0.25">
      <c r="B8" s="232"/>
      <c r="C8" s="233"/>
      <c r="D8" s="233"/>
      <c r="E8" s="233"/>
      <c r="F8" s="233"/>
      <c r="G8" s="233"/>
      <c r="H8" s="233"/>
      <c r="I8" s="233"/>
      <c r="J8" s="234"/>
      <c r="L8" s="241"/>
      <c r="M8" s="242"/>
      <c r="N8" s="242"/>
      <c r="O8" s="242"/>
      <c r="P8" s="242"/>
      <c r="Q8" s="242"/>
      <c r="R8" s="242"/>
      <c r="S8" s="242"/>
      <c r="T8" s="243"/>
      <c r="V8" s="195"/>
      <c r="W8" s="84"/>
      <c r="X8" s="84"/>
      <c r="Y8" s="84"/>
      <c r="Z8" s="84"/>
      <c r="AA8" s="84"/>
      <c r="AB8" s="84"/>
      <c r="AC8" s="84"/>
      <c r="AD8" s="84"/>
      <c r="AE8" s="84"/>
      <c r="AF8" s="194"/>
    </row>
    <row r="9" spans="1:32" ht="15" customHeight="1" x14ac:dyDescent="0.25">
      <c r="B9" s="232"/>
      <c r="C9" s="233"/>
      <c r="D9" s="233"/>
      <c r="E9" s="233"/>
      <c r="F9" s="233"/>
      <c r="G9" s="233"/>
      <c r="H9" s="233"/>
      <c r="I9" s="233"/>
      <c r="J9" s="234"/>
      <c r="L9" s="241"/>
      <c r="M9" s="242"/>
      <c r="N9" s="242"/>
      <c r="O9" s="242"/>
      <c r="P9" s="242"/>
      <c r="Q9" s="242"/>
      <c r="R9" s="242"/>
      <c r="S9" s="242"/>
      <c r="T9" s="243"/>
      <c r="V9" s="195"/>
      <c r="W9" s="84"/>
      <c r="X9" s="84"/>
      <c r="Y9" s="84"/>
      <c r="Z9" s="84"/>
      <c r="AA9" s="84"/>
      <c r="AB9" s="84"/>
      <c r="AC9" s="84"/>
      <c r="AD9" s="84"/>
      <c r="AE9" s="84"/>
      <c r="AF9" s="194"/>
    </row>
    <row r="10" spans="1:32" ht="15" customHeight="1" x14ac:dyDescent="0.25">
      <c r="B10" s="232"/>
      <c r="C10" s="233"/>
      <c r="D10" s="233"/>
      <c r="E10" s="233"/>
      <c r="F10" s="233"/>
      <c r="G10" s="233"/>
      <c r="H10" s="233"/>
      <c r="I10" s="233"/>
      <c r="J10" s="234"/>
      <c r="L10" s="241"/>
      <c r="M10" s="242"/>
      <c r="N10" s="242"/>
      <c r="O10" s="242"/>
      <c r="P10" s="242"/>
      <c r="Q10" s="242"/>
      <c r="R10" s="242"/>
      <c r="S10" s="242"/>
      <c r="T10" s="243"/>
      <c r="V10" s="195"/>
      <c r="W10" s="84"/>
      <c r="X10" s="84"/>
      <c r="Y10" s="84"/>
      <c r="Z10" s="84"/>
      <c r="AA10" s="84"/>
      <c r="AB10" s="84"/>
      <c r="AC10" s="84"/>
      <c r="AD10" s="84"/>
      <c r="AE10" s="84"/>
      <c r="AF10" s="194"/>
    </row>
    <row r="11" spans="1:32" ht="15" customHeight="1" x14ac:dyDescent="0.25">
      <c r="B11" s="232"/>
      <c r="C11" s="233"/>
      <c r="D11" s="233"/>
      <c r="E11" s="233"/>
      <c r="F11" s="233"/>
      <c r="G11" s="233"/>
      <c r="H11" s="233"/>
      <c r="I11" s="233"/>
      <c r="J11" s="234"/>
      <c r="L11" s="241"/>
      <c r="M11" s="242"/>
      <c r="N11" s="242"/>
      <c r="O11" s="242"/>
      <c r="P11" s="242"/>
      <c r="Q11" s="242"/>
      <c r="R11" s="242"/>
      <c r="S11" s="242"/>
      <c r="T11" s="243"/>
      <c r="V11" s="195"/>
      <c r="W11" s="84"/>
      <c r="X11" s="84"/>
      <c r="Y11" s="84"/>
      <c r="Z11" s="84"/>
      <c r="AA11" s="84"/>
      <c r="AB11" s="84"/>
      <c r="AC11" s="84"/>
      <c r="AD11" s="84"/>
      <c r="AE11" s="84"/>
      <c r="AF11" s="194"/>
    </row>
    <row r="12" spans="1:32" ht="15" customHeight="1" x14ac:dyDescent="0.25">
      <c r="B12" s="232"/>
      <c r="C12" s="233"/>
      <c r="D12" s="233"/>
      <c r="E12" s="233"/>
      <c r="F12" s="233"/>
      <c r="G12" s="233"/>
      <c r="H12" s="233"/>
      <c r="I12" s="233"/>
      <c r="J12" s="234"/>
      <c r="L12" s="241"/>
      <c r="M12" s="242"/>
      <c r="N12" s="242"/>
      <c r="O12" s="242"/>
      <c r="P12" s="242"/>
      <c r="Q12" s="242"/>
      <c r="R12" s="242"/>
      <c r="S12" s="242"/>
      <c r="T12" s="243"/>
      <c r="V12" s="195"/>
      <c r="W12" s="84"/>
      <c r="X12" s="84"/>
      <c r="Y12" s="84"/>
      <c r="Z12" s="84"/>
      <c r="AA12" s="84"/>
      <c r="AB12" s="84"/>
      <c r="AC12" s="84"/>
      <c r="AD12" s="84"/>
      <c r="AE12" s="84"/>
      <c r="AF12" s="194"/>
    </row>
    <row r="13" spans="1:32" ht="15" customHeight="1" x14ac:dyDescent="0.25">
      <c r="B13" s="232"/>
      <c r="C13" s="233"/>
      <c r="D13" s="233"/>
      <c r="E13" s="233"/>
      <c r="F13" s="233"/>
      <c r="G13" s="233"/>
      <c r="H13" s="233"/>
      <c r="I13" s="233"/>
      <c r="J13" s="234"/>
      <c r="L13" s="241"/>
      <c r="M13" s="242"/>
      <c r="N13" s="242"/>
      <c r="O13" s="242"/>
      <c r="P13" s="242"/>
      <c r="Q13" s="242"/>
      <c r="R13" s="242"/>
      <c r="S13" s="242"/>
      <c r="T13" s="243"/>
      <c r="V13" s="195"/>
      <c r="W13" s="84"/>
      <c r="X13" s="84"/>
      <c r="Y13" s="84"/>
      <c r="Z13" s="84"/>
      <c r="AA13" s="84"/>
      <c r="AB13" s="84"/>
      <c r="AC13" s="84"/>
      <c r="AD13" s="84"/>
      <c r="AE13" s="84"/>
      <c r="AF13" s="194"/>
    </row>
    <row r="14" spans="1:32" ht="15" customHeight="1" x14ac:dyDescent="0.25">
      <c r="B14" s="232"/>
      <c r="C14" s="233"/>
      <c r="D14" s="233"/>
      <c r="E14" s="233"/>
      <c r="F14" s="233"/>
      <c r="G14" s="233"/>
      <c r="H14" s="233"/>
      <c r="I14" s="233"/>
      <c r="J14" s="234"/>
      <c r="L14" s="241"/>
      <c r="M14" s="242"/>
      <c r="N14" s="242"/>
      <c r="O14" s="242"/>
      <c r="P14" s="242"/>
      <c r="Q14" s="242"/>
      <c r="R14" s="242"/>
      <c r="S14" s="242"/>
      <c r="T14" s="243"/>
      <c r="V14" s="195"/>
      <c r="W14" s="84"/>
      <c r="X14" s="84"/>
      <c r="Y14" s="84"/>
      <c r="Z14" s="84"/>
      <c r="AA14" s="84"/>
      <c r="AB14" s="84"/>
      <c r="AC14" s="84"/>
      <c r="AD14" s="84"/>
      <c r="AE14" s="84"/>
      <c r="AF14" s="194"/>
    </row>
    <row r="15" spans="1:32" ht="15" customHeight="1" x14ac:dyDescent="0.25">
      <c r="B15" s="232"/>
      <c r="C15" s="233"/>
      <c r="D15" s="233"/>
      <c r="E15" s="233"/>
      <c r="F15" s="233"/>
      <c r="G15" s="233"/>
      <c r="H15" s="233"/>
      <c r="I15" s="233"/>
      <c r="J15" s="234"/>
      <c r="L15" s="241"/>
      <c r="M15" s="242"/>
      <c r="N15" s="242"/>
      <c r="O15" s="242"/>
      <c r="P15" s="242"/>
      <c r="Q15" s="242"/>
      <c r="R15" s="242"/>
      <c r="S15" s="242"/>
      <c r="T15" s="243"/>
      <c r="V15" s="195"/>
      <c r="W15" s="84"/>
      <c r="X15" s="84"/>
      <c r="Y15" s="84"/>
      <c r="Z15" s="84"/>
      <c r="AA15" s="84"/>
      <c r="AB15" s="84"/>
      <c r="AC15" s="84"/>
      <c r="AD15" s="84"/>
      <c r="AE15" s="84"/>
      <c r="AF15" s="194"/>
    </row>
    <row r="16" spans="1:32" ht="15" customHeight="1" x14ac:dyDescent="0.25">
      <c r="B16" s="232"/>
      <c r="C16" s="233"/>
      <c r="D16" s="233"/>
      <c r="E16" s="233"/>
      <c r="F16" s="233"/>
      <c r="G16" s="233"/>
      <c r="H16" s="233"/>
      <c r="I16" s="233"/>
      <c r="J16" s="234"/>
      <c r="L16" s="241"/>
      <c r="M16" s="242"/>
      <c r="N16" s="242"/>
      <c r="O16" s="242"/>
      <c r="P16" s="242"/>
      <c r="Q16" s="242"/>
      <c r="R16" s="242"/>
      <c r="S16" s="242"/>
      <c r="T16" s="243"/>
      <c r="V16" s="195"/>
      <c r="W16" s="84"/>
      <c r="X16" s="84"/>
      <c r="Y16" s="84"/>
      <c r="Z16" s="84"/>
      <c r="AA16" s="84"/>
      <c r="AB16" s="84"/>
      <c r="AC16" s="84"/>
      <c r="AD16" s="84"/>
      <c r="AE16" s="84"/>
      <c r="AF16" s="194"/>
    </row>
    <row r="17" spans="2:32" ht="15" customHeight="1" x14ac:dyDescent="0.25">
      <c r="B17" s="232"/>
      <c r="C17" s="233"/>
      <c r="D17" s="233"/>
      <c r="E17" s="233"/>
      <c r="F17" s="233"/>
      <c r="G17" s="233"/>
      <c r="H17" s="233"/>
      <c r="I17" s="233"/>
      <c r="J17" s="234"/>
      <c r="L17" s="241"/>
      <c r="M17" s="242"/>
      <c r="N17" s="242"/>
      <c r="O17" s="242"/>
      <c r="P17" s="242"/>
      <c r="Q17" s="242"/>
      <c r="R17" s="242"/>
      <c r="S17" s="242"/>
      <c r="T17" s="243"/>
      <c r="V17" s="195"/>
      <c r="W17" s="84"/>
      <c r="X17" s="84"/>
      <c r="Y17" s="84"/>
      <c r="Z17" s="84"/>
      <c r="AA17" s="84"/>
      <c r="AB17" s="84"/>
      <c r="AC17" s="84"/>
      <c r="AD17" s="84"/>
      <c r="AE17" s="84"/>
      <c r="AF17" s="194"/>
    </row>
    <row r="18" spans="2:32" ht="15" customHeight="1" x14ac:dyDescent="0.25">
      <c r="B18" s="232"/>
      <c r="C18" s="233"/>
      <c r="D18" s="233"/>
      <c r="E18" s="233"/>
      <c r="F18" s="233"/>
      <c r="G18" s="233"/>
      <c r="H18" s="233"/>
      <c r="I18" s="233"/>
      <c r="J18" s="234"/>
      <c r="L18" s="241"/>
      <c r="M18" s="242"/>
      <c r="N18" s="242"/>
      <c r="O18" s="242"/>
      <c r="P18" s="242"/>
      <c r="Q18" s="242"/>
      <c r="R18" s="242"/>
      <c r="S18" s="242"/>
      <c r="T18" s="243"/>
      <c r="V18" s="195"/>
      <c r="W18" s="84"/>
      <c r="X18" s="84"/>
      <c r="Y18" s="84"/>
      <c r="Z18" s="84"/>
      <c r="AA18" s="84"/>
      <c r="AB18" s="84"/>
      <c r="AC18" s="84"/>
      <c r="AD18" s="84"/>
      <c r="AE18" s="84"/>
      <c r="AF18" s="194"/>
    </row>
    <row r="19" spans="2:32" ht="15" customHeight="1" x14ac:dyDescent="0.25">
      <c r="B19" s="232"/>
      <c r="C19" s="233"/>
      <c r="D19" s="233"/>
      <c r="E19" s="233"/>
      <c r="F19" s="233"/>
      <c r="G19" s="233"/>
      <c r="H19" s="233"/>
      <c r="I19" s="233"/>
      <c r="J19" s="234"/>
      <c r="L19" s="241"/>
      <c r="M19" s="242"/>
      <c r="N19" s="242"/>
      <c r="O19" s="242"/>
      <c r="P19" s="242"/>
      <c r="Q19" s="242"/>
      <c r="R19" s="242"/>
      <c r="S19" s="242"/>
      <c r="T19" s="243"/>
      <c r="V19" s="195"/>
      <c r="W19" s="84"/>
      <c r="X19" s="84"/>
      <c r="Y19" s="84"/>
      <c r="Z19" s="84"/>
      <c r="AA19" s="84"/>
      <c r="AB19" s="84"/>
      <c r="AC19" s="84"/>
      <c r="AD19" s="84"/>
      <c r="AE19" s="84"/>
      <c r="AF19" s="194"/>
    </row>
    <row r="20" spans="2:32" ht="15" customHeight="1" x14ac:dyDescent="0.25">
      <c r="B20" s="232"/>
      <c r="C20" s="233"/>
      <c r="D20" s="233"/>
      <c r="E20" s="233"/>
      <c r="F20" s="233"/>
      <c r="G20" s="233"/>
      <c r="H20" s="233"/>
      <c r="I20" s="233"/>
      <c r="J20" s="234"/>
      <c r="L20" s="241"/>
      <c r="M20" s="242"/>
      <c r="N20" s="242"/>
      <c r="O20" s="242"/>
      <c r="P20" s="242"/>
      <c r="Q20" s="242"/>
      <c r="R20" s="242"/>
      <c r="S20" s="242"/>
      <c r="T20" s="243"/>
      <c r="V20" s="195"/>
      <c r="W20" s="84"/>
      <c r="X20" s="84"/>
      <c r="Y20" s="84"/>
      <c r="Z20" s="84"/>
      <c r="AA20" s="84"/>
      <c r="AB20" s="84"/>
      <c r="AC20" s="84"/>
      <c r="AD20" s="84"/>
      <c r="AE20" s="84"/>
      <c r="AF20" s="194"/>
    </row>
    <row r="21" spans="2:32" ht="15" customHeight="1" x14ac:dyDescent="0.25">
      <c r="B21" s="232"/>
      <c r="C21" s="233"/>
      <c r="D21" s="233"/>
      <c r="E21" s="233"/>
      <c r="F21" s="233"/>
      <c r="G21" s="233"/>
      <c r="H21" s="233"/>
      <c r="I21" s="233"/>
      <c r="J21" s="234"/>
      <c r="L21" s="241"/>
      <c r="M21" s="242"/>
      <c r="N21" s="242"/>
      <c r="O21" s="242"/>
      <c r="P21" s="242"/>
      <c r="Q21" s="242"/>
      <c r="R21" s="242"/>
      <c r="S21" s="242"/>
      <c r="T21" s="243"/>
      <c r="V21" s="195"/>
      <c r="W21" s="84"/>
      <c r="X21" s="84"/>
      <c r="Y21" s="84"/>
      <c r="Z21" s="84"/>
      <c r="AA21" s="84"/>
      <c r="AB21" s="84"/>
      <c r="AC21" s="84"/>
      <c r="AD21" s="84"/>
      <c r="AE21" s="84"/>
      <c r="AF21" s="194"/>
    </row>
    <row r="22" spans="2:32" ht="15" customHeight="1" x14ac:dyDescent="0.25">
      <c r="B22" s="232"/>
      <c r="C22" s="233"/>
      <c r="D22" s="233"/>
      <c r="E22" s="233"/>
      <c r="F22" s="233"/>
      <c r="G22" s="233"/>
      <c r="H22" s="233"/>
      <c r="I22" s="233"/>
      <c r="J22" s="234"/>
      <c r="L22" s="241"/>
      <c r="M22" s="242"/>
      <c r="N22" s="242"/>
      <c r="O22" s="242"/>
      <c r="P22" s="242"/>
      <c r="Q22" s="242"/>
      <c r="R22" s="242"/>
      <c r="S22" s="242"/>
      <c r="T22" s="243"/>
      <c r="V22" s="195"/>
      <c r="W22" s="84"/>
      <c r="X22" s="84"/>
      <c r="Y22" s="84"/>
      <c r="Z22" s="84"/>
      <c r="AA22" s="84"/>
      <c r="AB22" s="84"/>
      <c r="AC22" s="84"/>
      <c r="AD22" s="84"/>
      <c r="AE22" s="84"/>
      <c r="AF22" s="194"/>
    </row>
    <row r="23" spans="2:32" ht="15" customHeight="1" x14ac:dyDescent="0.25">
      <c r="B23" s="232"/>
      <c r="C23" s="233"/>
      <c r="D23" s="233"/>
      <c r="E23" s="233"/>
      <c r="F23" s="233"/>
      <c r="G23" s="233"/>
      <c r="H23" s="233"/>
      <c r="I23" s="233"/>
      <c r="J23" s="234"/>
      <c r="L23" s="241"/>
      <c r="M23" s="242"/>
      <c r="N23" s="242"/>
      <c r="O23" s="242"/>
      <c r="P23" s="242"/>
      <c r="Q23" s="242"/>
      <c r="R23" s="242"/>
      <c r="S23" s="242"/>
      <c r="T23" s="243"/>
      <c r="V23" s="195"/>
      <c r="W23" s="84"/>
      <c r="X23" s="84"/>
      <c r="Y23" s="84"/>
      <c r="Z23" s="84"/>
      <c r="AA23" s="84"/>
      <c r="AB23" s="84"/>
      <c r="AC23" s="84"/>
      <c r="AD23" s="84"/>
      <c r="AE23" s="84"/>
      <c r="AF23" s="194"/>
    </row>
    <row r="24" spans="2:32" ht="15" customHeight="1" x14ac:dyDescent="0.25">
      <c r="B24" s="232"/>
      <c r="C24" s="233"/>
      <c r="D24" s="233"/>
      <c r="E24" s="233"/>
      <c r="F24" s="233"/>
      <c r="G24" s="233"/>
      <c r="H24" s="233"/>
      <c r="I24" s="233"/>
      <c r="J24" s="234"/>
      <c r="L24" s="241"/>
      <c r="M24" s="242"/>
      <c r="N24" s="242"/>
      <c r="O24" s="242"/>
      <c r="P24" s="242"/>
      <c r="Q24" s="242"/>
      <c r="R24" s="242"/>
      <c r="S24" s="242"/>
      <c r="T24" s="243"/>
      <c r="V24" s="195"/>
      <c r="W24" s="84"/>
      <c r="X24" s="84"/>
      <c r="Y24" s="84"/>
      <c r="Z24" s="84"/>
      <c r="AA24" s="84"/>
      <c r="AB24" s="84"/>
      <c r="AC24" s="84"/>
      <c r="AD24" s="84"/>
      <c r="AE24" s="84"/>
      <c r="AF24" s="194"/>
    </row>
    <row r="25" spans="2:32" ht="15" customHeight="1" x14ac:dyDescent="0.25">
      <c r="B25" s="232"/>
      <c r="C25" s="233"/>
      <c r="D25" s="233"/>
      <c r="E25" s="233"/>
      <c r="F25" s="233"/>
      <c r="G25" s="233"/>
      <c r="H25" s="233"/>
      <c r="I25" s="233"/>
      <c r="J25" s="234"/>
      <c r="L25" s="241"/>
      <c r="M25" s="242"/>
      <c r="N25" s="242"/>
      <c r="O25" s="242"/>
      <c r="P25" s="242"/>
      <c r="Q25" s="242"/>
      <c r="R25" s="242"/>
      <c r="S25" s="242"/>
      <c r="T25" s="243"/>
      <c r="V25" s="195"/>
      <c r="W25" s="84"/>
      <c r="X25" s="84"/>
      <c r="Y25" s="84"/>
      <c r="Z25" s="84"/>
      <c r="AA25" s="84"/>
      <c r="AB25" s="84"/>
      <c r="AC25" s="84"/>
      <c r="AD25" s="84"/>
      <c r="AE25" s="84"/>
      <c r="AF25" s="194"/>
    </row>
    <row r="26" spans="2:32" ht="15" customHeight="1" x14ac:dyDescent="0.25">
      <c r="B26" s="232"/>
      <c r="C26" s="233"/>
      <c r="D26" s="233"/>
      <c r="E26" s="233"/>
      <c r="F26" s="233"/>
      <c r="G26" s="233"/>
      <c r="H26" s="233"/>
      <c r="I26" s="233"/>
      <c r="J26" s="234"/>
      <c r="L26" s="241"/>
      <c r="M26" s="242"/>
      <c r="N26" s="242"/>
      <c r="O26" s="242"/>
      <c r="P26" s="242"/>
      <c r="Q26" s="242"/>
      <c r="R26" s="242"/>
      <c r="S26" s="242"/>
      <c r="T26" s="243"/>
      <c r="V26" s="195"/>
      <c r="W26" s="84"/>
      <c r="X26" s="84"/>
      <c r="Y26" s="84"/>
      <c r="Z26" s="84"/>
      <c r="AA26" s="84"/>
      <c r="AB26" s="84"/>
      <c r="AC26" s="84"/>
      <c r="AD26" s="84"/>
      <c r="AE26" s="84"/>
      <c r="AF26" s="194"/>
    </row>
    <row r="27" spans="2:32" ht="15" customHeight="1" x14ac:dyDescent="0.25">
      <c r="B27" s="232"/>
      <c r="C27" s="233"/>
      <c r="D27" s="233"/>
      <c r="E27" s="233"/>
      <c r="F27" s="233"/>
      <c r="G27" s="233"/>
      <c r="H27" s="233"/>
      <c r="I27" s="233"/>
      <c r="J27" s="234"/>
      <c r="L27" s="241"/>
      <c r="M27" s="242"/>
      <c r="N27" s="242"/>
      <c r="O27" s="242"/>
      <c r="P27" s="242"/>
      <c r="Q27" s="242"/>
      <c r="R27" s="242"/>
      <c r="S27" s="242"/>
      <c r="T27" s="243"/>
      <c r="V27" s="195"/>
      <c r="W27" s="84"/>
      <c r="X27" s="84"/>
      <c r="Y27" s="84"/>
      <c r="Z27" s="84"/>
      <c r="AA27" s="84"/>
      <c r="AB27" s="84"/>
      <c r="AC27" s="84"/>
      <c r="AD27" s="84"/>
      <c r="AE27" s="84"/>
      <c r="AF27" s="194"/>
    </row>
    <row r="28" spans="2:32" ht="15" customHeight="1" x14ac:dyDescent="0.25">
      <c r="B28" s="232"/>
      <c r="C28" s="233"/>
      <c r="D28" s="233"/>
      <c r="E28" s="233"/>
      <c r="F28" s="233"/>
      <c r="G28" s="233"/>
      <c r="H28" s="233"/>
      <c r="I28" s="233"/>
      <c r="J28" s="234"/>
      <c r="L28" s="244"/>
      <c r="M28" s="245"/>
      <c r="N28" s="245"/>
      <c r="O28" s="245"/>
      <c r="P28" s="245"/>
      <c r="Q28" s="245"/>
      <c r="R28" s="245"/>
      <c r="S28" s="245"/>
      <c r="T28" s="246"/>
      <c r="V28" s="195"/>
      <c r="W28" s="84"/>
      <c r="X28" s="84"/>
      <c r="Y28" s="84"/>
      <c r="Z28" s="84"/>
      <c r="AA28" s="84"/>
      <c r="AB28" s="84"/>
      <c r="AC28" s="84"/>
      <c r="AD28" s="84"/>
      <c r="AE28" s="84"/>
      <c r="AF28" s="194"/>
    </row>
    <row r="29" spans="2:32" ht="15" customHeight="1" x14ac:dyDescent="0.25">
      <c r="B29" s="232"/>
      <c r="C29" s="233"/>
      <c r="D29" s="233"/>
      <c r="E29" s="233"/>
      <c r="F29" s="233"/>
      <c r="G29" s="233"/>
      <c r="H29" s="233"/>
      <c r="I29" s="233"/>
      <c r="J29" s="234"/>
      <c r="L29" s="173"/>
      <c r="M29" s="173"/>
      <c r="N29" s="173"/>
      <c r="O29" s="173"/>
      <c r="P29" s="173"/>
      <c r="Q29" s="173"/>
      <c r="R29" s="173"/>
      <c r="S29" s="173"/>
      <c r="T29" s="173"/>
      <c r="V29" s="195"/>
      <c r="W29" s="84"/>
      <c r="X29" s="84"/>
      <c r="Y29" s="84"/>
      <c r="Z29" s="84"/>
      <c r="AA29" s="84"/>
      <c r="AB29" s="84"/>
      <c r="AC29" s="84"/>
      <c r="AD29" s="84"/>
      <c r="AE29" s="84"/>
      <c r="AF29" s="194"/>
    </row>
    <row r="30" spans="2:32" ht="15" customHeight="1" x14ac:dyDescent="0.25">
      <c r="B30" s="232"/>
      <c r="C30" s="233"/>
      <c r="D30" s="233"/>
      <c r="E30" s="233"/>
      <c r="F30" s="233"/>
      <c r="G30" s="233"/>
      <c r="H30" s="233"/>
      <c r="I30" s="233"/>
      <c r="J30" s="234"/>
      <c r="L30" s="238" t="s">
        <v>61</v>
      </c>
      <c r="M30" s="239"/>
      <c r="N30" s="239"/>
      <c r="O30" s="239"/>
      <c r="P30" s="239"/>
      <c r="Q30" s="239"/>
      <c r="R30" s="239"/>
      <c r="S30" s="239"/>
      <c r="T30" s="240"/>
      <c r="U30" s="84"/>
      <c r="V30" s="195"/>
      <c r="W30" s="84"/>
      <c r="X30" s="84"/>
      <c r="Y30" s="84"/>
      <c r="Z30" s="84"/>
      <c r="AA30" s="84"/>
      <c r="AB30" s="84"/>
      <c r="AC30" s="84"/>
      <c r="AD30" s="84"/>
      <c r="AE30" s="84"/>
      <c r="AF30" s="194"/>
    </row>
    <row r="31" spans="2:32" ht="15" customHeight="1" x14ac:dyDescent="0.25">
      <c r="B31" s="232"/>
      <c r="C31" s="233"/>
      <c r="D31" s="233"/>
      <c r="E31" s="233"/>
      <c r="F31" s="233"/>
      <c r="G31" s="233"/>
      <c r="H31" s="233"/>
      <c r="I31" s="233"/>
      <c r="J31" s="234"/>
      <c r="L31" s="241"/>
      <c r="M31" s="242"/>
      <c r="N31" s="242"/>
      <c r="O31" s="242"/>
      <c r="P31" s="242"/>
      <c r="Q31" s="242"/>
      <c r="R31" s="242"/>
      <c r="S31" s="242"/>
      <c r="T31" s="243"/>
      <c r="V31" s="195"/>
      <c r="W31" s="84"/>
      <c r="X31" s="84"/>
      <c r="Y31" s="84"/>
      <c r="Z31" s="84"/>
      <c r="AA31" s="84"/>
      <c r="AB31" s="84"/>
      <c r="AC31" s="84"/>
      <c r="AD31" s="84"/>
      <c r="AE31" s="84"/>
      <c r="AF31" s="194"/>
    </row>
    <row r="32" spans="2:32" ht="15" customHeight="1" x14ac:dyDescent="0.25">
      <c r="B32" s="232"/>
      <c r="C32" s="233"/>
      <c r="D32" s="233"/>
      <c r="E32" s="233"/>
      <c r="F32" s="233"/>
      <c r="G32" s="233"/>
      <c r="H32" s="233"/>
      <c r="I32" s="233"/>
      <c r="J32" s="234"/>
      <c r="L32" s="241"/>
      <c r="M32" s="242"/>
      <c r="N32" s="242"/>
      <c r="O32" s="242"/>
      <c r="P32" s="242"/>
      <c r="Q32" s="242"/>
      <c r="R32" s="242"/>
      <c r="S32" s="242"/>
      <c r="T32" s="243"/>
      <c r="V32" s="195"/>
      <c r="W32" s="84"/>
      <c r="X32" s="84"/>
      <c r="Y32" s="84"/>
      <c r="Z32" s="84"/>
      <c r="AA32" s="84"/>
      <c r="AB32" s="84"/>
      <c r="AC32" s="84"/>
      <c r="AD32" s="84"/>
      <c r="AE32" s="84"/>
      <c r="AF32" s="194"/>
    </row>
    <row r="33" spans="2:32" ht="15" customHeight="1" x14ac:dyDescent="0.25">
      <c r="B33" s="232"/>
      <c r="C33" s="233"/>
      <c r="D33" s="233"/>
      <c r="E33" s="233"/>
      <c r="F33" s="233"/>
      <c r="G33" s="233"/>
      <c r="H33" s="233"/>
      <c r="I33" s="233"/>
      <c r="J33" s="234"/>
      <c r="L33" s="241"/>
      <c r="M33" s="242"/>
      <c r="N33" s="242"/>
      <c r="O33" s="242"/>
      <c r="P33" s="242"/>
      <c r="Q33" s="242"/>
      <c r="R33" s="242"/>
      <c r="S33" s="242"/>
      <c r="T33" s="243"/>
      <c r="V33" s="195"/>
      <c r="W33" s="84"/>
      <c r="X33" s="84"/>
      <c r="Y33" s="84"/>
      <c r="Z33" s="84"/>
      <c r="AA33" s="84"/>
      <c r="AB33" s="84"/>
      <c r="AC33" s="84"/>
      <c r="AD33" s="84"/>
      <c r="AE33" s="84"/>
      <c r="AF33" s="194"/>
    </row>
    <row r="34" spans="2:32" ht="15" customHeight="1" x14ac:dyDescent="0.25">
      <c r="B34" s="232"/>
      <c r="C34" s="233"/>
      <c r="D34" s="233"/>
      <c r="E34" s="233"/>
      <c r="F34" s="233"/>
      <c r="G34" s="233"/>
      <c r="H34" s="233"/>
      <c r="I34" s="233"/>
      <c r="J34" s="234"/>
      <c r="L34" s="241"/>
      <c r="M34" s="242"/>
      <c r="N34" s="242"/>
      <c r="O34" s="242"/>
      <c r="P34" s="242"/>
      <c r="Q34" s="242"/>
      <c r="R34" s="242"/>
      <c r="S34" s="242"/>
      <c r="T34" s="243"/>
      <c r="V34" s="195"/>
      <c r="W34" s="84"/>
      <c r="X34" s="84"/>
      <c r="Y34" s="84"/>
      <c r="Z34" s="84"/>
      <c r="AA34" s="84"/>
      <c r="AB34" s="84"/>
      <c r="AC34" s="84"/>
      <c r="AD34" s="84"/>
      <c r="AE34" s="84"/>
      <c r="AF34" s="194"/>
    </row>
    <row r="35" spans="2:32" ht="15" customHeight="1" x14ac:dyDescent="0.25">
      <c r="B35" s="232"/>
      <c r="C35" s="233"/>
      <c r="D35" s="233"/>
      <c r="E35" s="233"/>
      <c r="F35" s="233"/>
      <c r="G35" s="233"/>
      <c r="H35" s="233"/>
      <c r="I35" s="233"/>
      <c r="J35" s="234"/>
      <c r="L35" s="241"/>
      <c r="M35" s="242"/>
      <c r="N35" s="242"/>
      <c r="O35" s="242"/>
      <c r="P35" s="242"/>
      <c r="Q35" s="242"/>
      <c r="R35" s="242"/>
      <c r="S35" s="242"/>
      <c r="T35" s="243"/>
      <c r="V35" s="195"/>
      <c r="W35" s="84"/>
      <c r="X35" s="84"/>
      <c r="Y35" s="84"/>
      <c r="Z35" s="84"/>
      <c r="AA35" s="84"/>
      <c r="AB35" s="84"/>
      <c r="AC35" s="84"/>
      <c r="AD35" s="84"/>
      <c r="AE35" s="84"/>
      <c r="AF35" s="194"/>
    </row>
    <row r="36" spans="2:32" ht="15" customHeight="1" x14ac:dyDescent="0.25">
      <c r="B36" s="232"/>
      <c r="C36" s="233"/>
      <c r="D36" s="233"/>
      <c r="E36" s="233"/>
      <c r="F36" s="233"/>
      <c r="G36" s="233"/>
      <c r="H36" s="233"/>
      <c r="I36" s="233"/>
      <c r="J36" s="234"/>
      <c r="L36" s="241"/>
      <c r="M36" s="242"/>
      <c r="N36" s="242"/>
      <c r="O36" s="242"/>
      <c r="P36" s="242"/>
      <c r="Q36" s="242"/>
      <c r="R36" s="242"/>
      <c r="S36" s="242"/>
      <c r="T36" s="243"/>
      <c r="V36" s="195"/>
      <c r="W36" s="84"/>
      <c r="X36" s="84"/>
      <c r="Y36" s="84"/>
      <c r="Z36" s="84"/>
      <c r="AA36" s="84"/>
      <c r="AB36" s="84"/>
      <c r="AC36" s="84"/>
      <c r="AD36" s="84"/>
      <c r="AE36" s="84"/>
      <c r="AF36" s="194"/>
    </row>
    <row r="37" spans="2:32" ht="15" customHeight="1" x14ac:dyDescent="0.25">
      <c r="B37" s="232"/>
      <c r="C37" s="233"/>
      <c r="D37" s="233"/>
      <c r="E37" s="233"/>
      <c r="F37" s="233"/>
      <c r="G37" s="233"/>
      <c r="H37" s="233"/>
      <c r="I37" s="233"/>
      <c r="J37" s="234"/>
      <c r="L37" s="241"/>
      <c r="M37" s="242"/>
      <c r="N37" s="242"/>
      <c r="O37" s="242"/>
      <c r="P37" s="242"/>
      <c r="Q37" s="242"/>
      <c r="R37" s="242"/>
      <c r="S37" s="242"/>
      <c r="T37" s="243"/>
      <c r="V37" s="195"/>
      <c r="W37" s="84"/>
      <c r="X37" s="84"/>
      <c r="Y37" s="84"/>
      <c r="Z37" s="84"/>
      <c r="AA37" s="84"/>
      <c r="AB37" s="84"/>
      <c r="AC37" s="84"/>
      <c r="AD37" s="84"/>
      <c r="AE37" s="84"/>
      <c r="AF37" s="194"/>
    </row>
    <row r="38" spans="2:32" ht="15" customHeight="1" x14ac:dyDescent="0.25">
      <c r="B38" s="232"/>
      <c r="C38" s="233"/>
      <c r="D38" s="233"/>
      <c r="E38" s="233"/>
      <c r="F38" s="233"/>
      <c r="G38" s="233"/>
      <c r="H38" s="233"/>
      <c r="I38" s="233"/>
      <c r="J38" s="234"/>
      <c r="L38" s="241"/>
      <c r="M38" s="242"/>
      <c r="N38" s="242"/>
      <c r="O38" s="242"/>
      <c r="P38" s="242"/>
      <c r="Q38" s="242"/>
      <c r="R38" s="242"/>
      <c r="S38" s="242"/>
      <c r="T38" s="243"/>
      <c r="V38" s="195"/>
      <c r="W38" s="84"/>
      <c r="X38" s="84"/>
      <c r="Y38" s="84"/>
      <c r="Z38" s="84"/>
      <c r="AA38" s="84"/>
      <c r="AB38" s="84"/>
      <c r="AC38" s="84"/>
      <c r="AD38" s="84"/>
      <c r="AE38" s="84"/>
      <c r="AF38" s="194"/>
    </row>
    <row r="39" spans="2:32" ht="15" customHeight="1" x14ac:dyDescent="0.25">
      <c r="B39" s="232"/>
      <c r="C39" s="233"/>
      <c r="D39" s="233"/>
      <c r="E39" s="233"/>
      <c r="F39" s="233"/>
      <c r="G39" s="233"/>
      <c r="H39" s="233"/>
      <c r="I39" s="233"/>
      <c r="J39" s="234"/>
      <c r="L39" s="241"/>
      <c r="M39" s="242"/>
      <c r="N39" s="242"/>
      <c r="O39" s="242"/>
      <c r="P39" s="242"/>
      <c r="Q39" s="242"/>
      <c r="R39" s="242"/>
      <c r="S39" s="242"/>
      <c r="T39" s="243"/>
      <c r="V39" s="195"/>
      <c r="W39" s="84"/>
      <c r="X39" s="84"/>
      <c r="Y39" s="84"/>
      <c r="Z39" s="84"/>
      <c r="AA39" s="84"/>
      <c r="AB39" s="84"/>
      <c r="AC39" s="84"/>
      <c r="AD39" s="84"/>
      <c r="AE39" s="84"/>
      <c r="AF39" s="194"/>
    </row>
    <row r="40" spans="2:32" ht="15" customHeight="1" x14ac:dyDescent="0.25">
      <c r="B40" s="232"/>
      <c r="C40" s="233"/>
      <c r="D40" s="233"/>
      <c r="E40" s="233"/>
      <c r="F40" s="233"/>
      <c r="G40" s="233"/>
      <c r="H40" s="233"/>
      <c r="I40" s="233"/>
      <c r="J40" s="234"/>
      <c r="L40" s="241"/>
      <c r="M40" s="242"/>
      <c r="N40" s="242"/>
      <c r="O40" s="242"/>
      <c r="P40" s="242"/>
      <c r="Q40" s="242"/>
      <c r="R40" s="242"/>
      <c r="S40" s="242"/>
      <c r="T40" s="243"/>
      <c r="V40" s="195"/>
      <c r="W40" s="84"/>
      <c r="X40" s="84"/>
      <c r="Y40" s="84"/>
      <c r="Z40" s="84"/>
      <c r="AA40" s="84"/>
      <c r="AB40" s="84"/>
      <c r="AC40" s="84"/>
      <c r="AD40" s="84"/>
      <c r="AE40" s="84"/>
      <c r="AF40" s="194"/>
    </row>
    <row r="41" spans="2:32" ht="15" customHeight="1" x14ac:dyDescent="0.25">
      <c r="B41" s="232"/>
      <c r="C41" s="233"/>
      <c r="D41" s="233"/>
      <c r="E41" s="233"/>
      <c r="F41" s="233"/>
      <c r="G41" s="233"/>
      <c r="H41" s="233"/>
      <c r="I41" s="233"/>
      <c r="J41" s="234"/>
      <c r="K41" s="84"/>
      <c r="L41" s="241"/>
      <c r="M41" s="242"/>
      <c r="N41" s="242"/>
      <c r="O41" s="242"/>
      <c r="P41" s="242"/>
      <c r="Q41" s="242"/>
      <c r="R41" s="242"/>
      <c r="S41" s="242"/>
      <c r="T41" s="243"/>
      <c r="V41" s="195"/>
      <c r="W41" s="84"/>
      <c r="X41" s="84"/>
      <c r="Y41" s="84"/>
      <c r="Z41" s="84"/>
      <c r="AA41" s="84"/>
      <c r="AB41" s="84"/>
      <c r="AC41" s="84"/>
      <c r="AD41" s="84"/>
      <c r="AE41" s="84"/>
      <c r="AF41" s="194"/>
    </row>
    <row r="42" spans="2:32" ht="15" customHeight="1" x14ac:dyDescent="0.25">
      <c r="B42" s="232"/>
      <c r="C42" s="233"/>
      <c r="D42" s="233"/>
      <c r="E42" s="233"/>
      <c r="F42" s="233"/>
      <c r="G42" s="233"/>
      <c r="H42" s="233"/>
      <c r="I42" s="233"/>
      <c r="J42" s="234"/>
      <c r="K42" s="84"/>
      <c r="L42" s="241"/>
      <c r="M42" s="242"/>
      <c r="N42" s="242"/>
      <c r="O42" s="242"/>
      <c r="P42" s="242"/>
      <c r="Q42" s="242"/>
      <c r="R42" s="242"/>
      <c r="S42" s="242"/>
      <c r="T42" s="243"/>
      <c r="V42" s="195"/>
      <c r="W42" s="84"/>
      <c r="X42" s="84"/>
      <c r="Y42" s="84"/>
      <c r="Z42" s="84"/>
      <c r="AA42" s="84"/>
      <c r="AB42" s="84"/>
      <c r="AC42" s="84"/>
      <c r="AD42" s="84"/>
      <c r="AE42" s="84"/>
      <c r="AF42" s="194"/>
    </row>
    <row r="43" spans="2:32" ht="15" customHeight="1" x14ac:dyDescent="0.25">
      <c r="B43" s="232"/>
      <c r="C43" s="233"/>
      <c r="D43" s="233"/>
      <c r="E43" s="233"/>
      <c r="F43" s="233"/>
      <c r="G43" s="233"/>
      <c r="H43" s="233"/>
      <c r="I43" s="233"/>
      <c r="J43" s="234"/>
      <c r="K43" s="84"/>
      <c r="L43" s="241"/>
      <c r="M43" s="242"/>
      <c r="N43" s="242"/>
      <c r="O43" s="242"/>
      <c r="P43" s="242"/>
      <c r="Q43" s="242"/>
      <c r="R43" s="242"/>
      <c r="S43" s="242"/>
      <c r="T43" s="243"/>
      <c r="V43" s="195"/>
      <c r="W43" s="84"/>
      <c r="X43" s="84"/>
      <c r="Y43" s="84"/>
      <c r="Z43" s="84"/>
      <c r="AA43" s="84"/>
      <c r="AB43" s="84"/>
      <c r="AC43" s="84"/>
      <c r="AD43" s="84"/>
      <c r="AE43" s="84"/>
      <c r="AF43" s="194"/>
    </row>
    <row r="44" spans="2:32" ht="15" customHeight="1" x14ac:dyDescent="0.25">
      <c r="B44" s="232"/>
      <c r="C44" s="233"/>
      <c r="D44" s="233"/>
      <c r="E44" s="233"/>
      <c r="F44" s="233"/>
      <c r="G44" s="233"/>
      <c r="H44" s="233"/>
      <c r="I44" s="233"/>
      <c r="J44" s="234"/>
      <c r="K44" s="84"/>
      <c r="L44" s="241"/>
      <c r="M44" s="242"/>
      <c r="N44" s="242"/>
      <c r="O44" s="242"/>
      <c r="P44" s="242"/>
      <c r="Q44" s="242"/>
      <c r="R44" s="242"/>
      <c r="S44" s="242"/>
      <c r="T44" s="243"/>
      <c r="V44" s="195"/>
      <c r="W44" s="84"/>
      <c r="X44" s="84"/>
      <c r="Y44" s="84"/>
      <c r="Z44" s="84"/>
      <c r="AA44" s="84"/>
      <c r="AB44" s="84"/>
      <c r="AC44" s="84"/>
      <c r="AD44" s="84"/>
      <c r="AE44" s="84"/>
      <c r="AF44" s="194"/>
    </row>
    <row r="45" spans="2:32" ht="15" customHeight="1" x14ac:dyDescent="0.25">
      <c r="B45" s="232"/>
      <c r="C45" s="233"/>
      <c r="D45" s="233"/>
      <c r="E45" s="233"/>
      <c r="F45" s="233"/>
      <c r="G45" s="233"/>
      <c r="H45" s="233"/>
      <c r="I45" s="233"/>
      <c r="J45" s="234"/>
      <c r="K45" s="84"/>
      <c r="L45" s="241"/>
      <c r="M45" s="242"/>
      <c r="N45" s="242"/>
      <c r="O45" s="242"/>
      <c r="P45" s="242"/>
      <c r="Q45" s="242"/>
      <c r="R45" s="242"/>
      <c r="S45" s="242"/>
      <c r="T45" s="243"/>
      <c r="V45" s="195"/>
      <c r="W45" s="84"/>
      <c r="X45" s="84"/>
      <c r="Y45" s="84"/>
      <c r="Z45" s="84"/>
      <c r="AA45" s="84"/>
      <c r="AB45" s="84"/>
      <c r="AC45" s="84"/>
      <c r="AD45" s="84"/>
      <c r="AE45" s="84"/>
      <c r="AF45" s="194"/>
    </row>
    <row r="46" spans="2:32" ht="15" customHeight="1" x14ac:dyDescent="0.25">
      <c r="B46" s="232"/>
      <c r="C46" s="233"/>
      <c r="D46" s="233"/>
      <c r="E46" s="233"/>
      <c r="F46" s="233"/>
      <c r="G46" s="233"/>
      <c r="H46" s="233"/>
      <c r="I46" s="233"/>
      <c r="J46" s="234"/>
      <c r="L46" s="241"/>
      <c r="M46" s="242"/>
      <c r="N46" s="242"/>
      <c r="O46" s="242"/>
      <c r="P46" s="242"/>
      <c r="Q46" s="242"/>
      <c r="R46" s="242"/>
      <c r="S46" s="242"/>
      <c r="T46" s="243"/>
      <c r="V46" s="195"/>
      <c r="W46" s="84"/>
      <c r="X46" s="84"/>
      <c r="Y46" s="84"/>
      <c r="Z46" s="84"/>
      <c r="AA46" s="84"/>
      <c r="AB46" s="84"/>
      <c r="AC46" s="84"/>
      <c r="AD46" s="84"/>
      <c r="AE46" s="84"/>
      <c r="AF46" s="194"/>
    </row>
    <row r="47" spans="2:32" ht="15" customHeight="1" x14ac:dyDescent="0.25">
      <c r="B47" s="232"/>
      <c r="C47" s="233"/>
      <c r="D47" s="233"/>
      <c r="E47" s="233"/>
      <c r="F47" s="233"/>
      <c r="G47" s="233"/>
      <c r="H47" s="233"/>
      <c r="I47" s="233"/>
      <c r="J47" s="234"/>
      <c r="L47" s="241"/>
      <c r="M47" s="242"/>
      <c r="N47" s="242"/>
      <c r="O47" s="242"/>
      <c r="P47" s="242"/>
      <c r="Q47" s="242"/>
      <c r="R47" s="242"/>
      <c r="S47" s="242"/>
      <c r="T47" s="243"/>
      <c r="V47" s="195"/>
      <c r="W47" s="84"/>
      <c r="X47" s="84"/>
      <c r="Y47" s="84"/>
      <c r="Z47" s="84"/>
      <c r="AA47" s="84"/>
      <c r="AB47" s="84"/>
      <c r="AC47" s="84"/>
      <c r="AD47" s="84"/>
      <c r="AE47" s="84"/>
      <c r="AF47" s="194"/>
    </row>
    <row r="48" spans="2:32" ht="15" customHeight="1" x14ac:dyDescent="0.25">
      <c r="B48" s="232"/>
      <c r="C48" s="233"/>
      <c r="D48" s="233"/>
      <c r="E48" s="233"/>
      <c r="F48" s="233"/>
      <c r="G48" s="233"/>
      <c r="H48" s="233"/>
      <c r="I48" s="233"/>
      <c r="J48" s="234"/>
      <c r="L48" s="241"/>
      <c r="M48" s="242"/>
      <c r="N48" s="242"/>
      <c r="O48" s="242"/>
      <c r="P48" s="242"/>
      <c r="Q48" s="242"/>
      <c r="R48" s="242"/>
      <c r="S48" s="242"/>
      <c r="T48" s="243"/>
      <c r="V48" s="195"/>
      <c r="W48" s="84"/>
      <c r="X48" s="84"/>
      <c r="Y48" s="84"/>
      <c r="Z48" s="84"/>
      <c r="AA48" s="84"/>
      <c r="AB48" s="84"/>
      <c r="AC48" s="84"/>
      <c r="AD48" s="84"/>
      <c r="AE48" s="84"/>
      <c r="AF48" s="194"/>
    </row>
    <row r="49" spans="2:33" ht="15" customHeight="1" x14ac:dyDescent="0.25">
      <c r="B49" s="232"/>
      <c r="C49" s="233"/>
      <c r="D49" s="233"/>
      <c r="E49" s="233"/>
      <c r="F49" s="233"/>
      <c r="G49" s="233"/>
      <c r="H49" s="233"/>
      <c r="I49" s="233"/>
      <c r="J49" s="234"/>
      <c r="L49" s="241"/>
      <c r="M49" s="242"/>
      <c r="N49" s="242"/>
      <c r="O49" s="242"/>
      <c r="P49" s="242"/>
      <c r="Q49" s="242"/>
      <c r="R49" s="242"/>
      <c r="S49" s="242"/>
      <c r="T49" s="243"/>
      <c r="V49" s="195"/>
      <c r="W49" s="84"/>
      <c r="X49" s="84"/>
      <c r="Y49" s="84"/>
      <c r="Z49" s="84"/>
      <c r="AA49" s="84"/>
      <c r="AB49" s="84"/>
      <c r="AC49" s="84"/>
      <c r="AD49" s="84"/>
      <c r="AE49" s="84"/>
      <c r="AF49" s="194"/>
    </row>
    <row r="50" spans="2:33" x14ac:dyDescent="0.25">
      <c r="B50" s="235"/>
      <c r="C50" s="236"/>
      <c r="D50" s="236"/>
      <c r="E50" s="236"/>
      <c r="F50" s="236"/>
      <c r="G50" s="236"/>
      <c r="H50" s="236"/>
      <c r="I50" s="236"/>
      <c r="J50" s="237"/>
      <c r="L50" s="244"/>
      <c r="M50" s="245"/>
      <c r="N50" s="245"/>
      <c r="O50" s="245"/>
      <c r="P50" s="245"/>
      <c r="Q50" s="245"/>
      <c r="R50" s="245"/>
      <c r="S50" s="245"/>
      <c r="T50" s="246"/>
      <c r="V50" s="196"/>
      <c r="W50" s="197"/>
      <c r="X50" s="197"/>
      <c r="Y50" s="197"/>
      <c r="Z50" s="197"/>
      <c r="AA50" s="197"/>
      <c r="AB50" s="197"/>
      <c r="AC50" s="197"/>
      <c r="AD50" s="197"/>
      <c r="AE50" s="197"/>
      <c r="AF50" s="198"/>
    </row>
    <row r="51" spans="2:33" x14ac:dyDescent="0.25">
      <c r="V51" s="84"/>
      <c r="W51" s="84"/>
      <c r="X51" s="84"/>
      <c r="Y51" s="84"/>
      <c r="Z51" s="84"/>
      <c r="AA51" s="84"/>
      <c r="AB51" s="84"/>
      <c r="AC51" s="84"/>
      <c r="AD51" s="84"/>
      <c r="AE51" s="84"/>
      <c r="AF51" s="84"/>
      <c r="AG51" s="84"/>
    </row>
    <row r="52" spans="2:33" x14ac:dyDescent="0.25">
      <c r="V52" s="84"/>
      <c r="W52" s="84"/>
      <c r="X52" s="84"/>
      <c r="Y52" s="84"/>
      <c r="Z52" s="84"/>
      <c r="AA52" s="84"/>
      <c r="AB52" s="84"/>
      <c r="AC52" s="84"/>
      <c r="AD52" s="84"/>
      <c r="AE52" s="84"/>
      <c r="AF52" s="84"/>
      <c r="AG52" s="84"/>
    </row>
    <row r="53" spans="2:33" x14ac:dyDescent="0.25">
      <c r="V53" s="84"/>
      <c r="W53" s="84"/>
      <c r="X53" s="84"/>
      <c r="Y53" s="84"/>
      <c r="Z53" s="84"/>
      <c r="AA53" s="84"/>
      <c r="AB53" s="84"/>
      <c r="AC53" s="84"/>
      <c r="AD53" s="84"/>
      <c r="AE53" s="84"/>
      <c r="AF53" s="84"/>
      <c r="AG53" s="84"/>
    </row>
  </sheetData>
  <sheetProtection algorithmName="SHA-512" hashValue="FOUfgmOX4pr1EZt1zx1nE4Nc9Yo0CSv65ekSkMNJjHP5LHLSZyRaPECQkic3PT3RamGaOdXYINsCiR9boBRKDw==" saltValue="vVuNHTxywmZDezWVDPVVlg==" spinCount="100000" sheet="1" objects="1" scenarios="1"/>
  <mergeCells count="5">
    <mergeCell ref="A1:AA1"/>
    <mergeCell ref="B3:J50"/>
    <mergeCell ref="L30:T50"/>
    <mergeCell ref="L3:T28"/>
    <mergeCell ref="V3:AF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BR134"/>
  <sheetViews>
    <sheetView showGridLines="0" tabSelected="1" topLeftCell="B58" zoomScaleNormal="100" workbookViewId="0">
      <selection activeCell="N86" sqref="N86"/>
    </sheetView>
  </sheetViews>
  <sheetFormatPr defaultRowHeight="12" x14ac:dyDescent="0.2"/>
  <cols>
    <col min="1" max="1" width="51.140625" style="2" customWidth="1"/>
    <col min="2" max="2" width="13.85546875" style="13" customWidth="1"/>
    <col min="3" max="3" width="13.140625" style="2" customWidth="1"/>
    <col min="4" max="4" width="13.5703125" style="2" customWidth="1"/>
    <col min="5" max="5" width="13" style="2" customWidth="1"/>
    <col min="6" max="6" width="12.28515625" style="2" customWidth="1"/>
    <col min="7" max="7" width="22.42578125" style="2" bestFit="1" customWidth="1"/>
    <col min="8" max="8" width="10.28515625" style="2" customWidth="1"/>
    <col min="9" max="9" width="20" style="2" bestFit="1" customWidth="1"/>
    <col min="10" max="10" width="13.5703125" style="2" customWidth="1"/>
    <col min="11" max="11" width="9.140625" style="2"/>
    <col min="12" max="12" width="22.85546875" style="2" bestFit="1" customWidth="1"/>
    <col min="13" max="14" width="9.140625" style="2"/>
    <col min="15" max="15" width="12.140625" style="2" bestFit="1" customWidth="1"/>
    <col min="16" max="16" width="11" style="2" bestFit="1" customWidth="1"/>
    <col min="17" max="16384" width="9.140625" style="2"/>
  </cols>
  <sheetData>
    <row r="1" spans="1:17" ht="219.75" customHeight="1" x14ac:dyDescent="0.2">
      <c r="A1" s="262" t="s">
        <v>64</v>
      </c>
      <c r="B1" s="263"/>
      <c r="C1" s="263"/>
      <c r="D1" s="263"/>
      <c r="E1" s="263"/>
      <c r="F1" s="263"/>
      <c r="G1" s="263"/>
      <c r="H1" s="263"/>
      <c r="I1" s="263"/>
      <c r="J1" s="264"/>
    </row>
    <row r="2" spans="1:17" x14ac:dyDescent="0.2">
      <c r="A2" s="88"/>
      <c r="M2" s="260" t="s">
        <v>51</v>
      </c>
      <c r="N2" s="260"/>
      <c r="O2" s="260"/>
      <c r="P2" s="260"/>
      <c r="Q2" s="260"/>
    </row>
    <row r="3" spans="1:17" x14ac:dyDescent="0.2">
      <c r="B3" s="175" t="s">
        <v>15</v>
      </c>
      <c r="C3" s="176"/>
      <c r="D3" s="176"/>
      <c r="E3" s="177"/>
      <c r="M3" s="157" t="s">
        <v>9</v>
      </c>
      <c r="N3" s="20" t="s">
        <v>1</v>
      </c>
      <c r="O3" s="20" t="s">
        <v>2</v>
      </c>
      <c r="P3" s="20" t="s">
        <v>6</v>
      </c>
      <c r="Q3" s="158" t="s">
        <v>3</v>
      </c>
    </row>
    <row r="4" spans="1:17" x14ac:dyDescent="0.2">
      <c r="B4" s="178"/>
      <c r="C4" s="179"/>
      <c r="D4" s="179"/>
      <c r="E4" s="180"/>
      <c r="H4" s="190" t="s">
        <v>49</v>
      </c>
      <c r="I4" s="187" t="str">
        <f>IF(OR(J26=FALSE,J27=FALSE,J92=FALSE,J91=FALSE),"Not OK","OK")</f>
        <v>OK</v>
      </c>
      <c r="M4" s="159">
        <v>42461</v>
      </c>
      <c r="N4" s="213">
        <v>1.1411</v>
      </c>
      <c r="O4" s="213">
        <v>1.4286000000000001</v>
      </c>
      <c r="P4" s="202">
        <v>112.17</v>
      </c>
      <c r="Q4" s="208">
        <v>6.4740000000000002</v>
      </c>
    </row>
    <row r="5" spans="1:17" x14ac:dyDescent="0.2">
      <c r="B5" s="199"/>
      <c r="C5" s="179" t="s">
        <v>52</v>
      </c>
      <c r="D5" s="179"/>
      <c r="E5" s="180"/>
      <c r="M5" s="159">
        <v>42464</v>
      </c>
      <c r="N5" s="213">
        <v>1.1364000000000001</v>
      </c>
      <c r="O5" s="213">
        <v>1.423</v>
      </c>
      <c r="P5" s="202">
        <v>111.68</v>
      </c>
      <c r="Q5" s="208">
        <v>6.4809000000000001</v>
      </c>
    </row>
    <row r="6" spans="1:17" x14ac:dyDescent="0.2">
      <c r="B6" s="181"/>
      <c r="C6" s="179" t="s">
        <v>55</v>
      </c>
      <c r="D6" s="179"/>
      <c r="E6" s="180"/>
      <c r="M6" s="159">
        <v>42465</v>
      </c>
      <c r="N6" s="213">
        <v>1.1358999999999999</v>
      </c>
      <c r="O6" s="213">
        <v>1.4205000000000001</v>
      </c>
      <c r="P6" s="202">
        <v>110.32</v>
      </c>
      <c r="Q6" s="208">
        <v>6.4813999999999998</v>
      </c>
    </row>
    <row r="7" spans="1:17" x14ac:dyDescent="0.2">
      <c r="B7" s="182"/>
      <c r="C7" s="183" t="s">
        <v>53</v>
      </c>
      <c r="D7" s="183"/>
      <c r="E7" s="184"/>
      <c r="M7" s="159">
        <v>42466</v>
      </c>
      <c r="N7" s="213">
        <v>1.1349</v>
      </c>
      <c r="O7" s="213">
        <v>1.4071</v>
      </c>
      <c r="P7" s="202">
        <v>110.31</v>
      </c>
      <c r="Q7" s="208">
        <v>6.4916999999999998</v>
      </c>
    </row>
    <row r="8" spans="1:17" x14ac:dyDescent="0.2">
      <c r="A8" s="17"/>
      <c r="B8" s="16"/>
      <c r="C8" s="17"/>
      <c r="D8" s="17"/>
      <c r="E8" s="17"/>
      <c r="F8" s="17"/>
      <c r="G8" s="17"/>
      <c r="H8" s="17"/>
      <c r="I8" s="17"/>
      <c r="M8" s="159">
        <v>42467</v>
      </c>
      <c r="N8" s="213">
        <v>1.1373</v>
      </c>
      <c r="O8" s="213">
        <v>1.4077</v>
      </c>
      <c r="P8" s="202">
        <v>108.34</v>
      </c>
      <c r="Q8" s="208">
        <v>6.4831000000000003</v>
      </c>
    </row>
    <row r="9" spans="1:17" ht="15.75" x14ac:dyDescent="0.3">
      <c r="A9" s="71" t="s">
        <v>14</v>
      </c>
      <c r="B9" s="276" t="s">
        <v>5</v>
      </c>
      <c r="C9" s="277"/>
      <c r="D9" s="277"/>
      <c r="E9" s="277"/>
      <c r="F9" s="277"/>
      <c r="G9" s="277"/>
      <c r="H9" s="277"/>
      <c r="I9" s="278"/>
      <c r="J9" s="27"/>
      <c r="M9" s="159">
        <v>42468</v>
      </c>
      <c r="N9" s="213">
        <v>1.1367</v>
      </c>
      <c r="O9" s="213">
        <v>1.4069</v>
      </c>
      <c r="P9" s="202">
        <v>108.67</v>
      </c>
      <c r="Q9" s="208">
        <v>6.4866000000000001</v>
      </c>
    </row>
    <row r="10" spans="1:17" ht="20.25" customHeight="1" x14ac:dyDescent="0.25">
      <c r="A10" s="270" t="s">
        <v>24</v>
      </c>
      <c r="B10" s="272" t="s">
        <v>26</v>
      </c>
      <c r="C10" s="18"/>
      <c r="D10" s="72"/>
      <c r="E10" s="274">
        <v>42576</v>
      </c>
      <c r="F10" s="254" t="s">
        <v>37</v>
      </c>
      <c r="G10" s="254"/>
      <c r="H10" s="254"/>
      <c r="I10" s="255"/>
      <c r="J10" s="27"/>
      <c r="M10" s="159">
        <v>42471</v>
      </c>
      <c r="N10" s="213">
        <v>1.1391</v>
      </c>
      <c r="O10" s="213">
        <v>1.4235</v>
      </c>
      <c r="P10" s="202">
        <v>108.21</v>
      </c>
      <c r="Q10" s="208">
        <v>6.4813999999999998</v>
      </c>
    </row>
    <row r="11" spans="1:17" ht="10.5" customHeight="1" x14ac:dyDescent="0.25">
      <c r="A11" s="271"/>
      <c r="B11" s="273"/>
      <c r="C11" s="17"/>
      <c r="D11" s="70"/>
      <c r="E11" s="275"/>
      <c r="F11" s="256"/>
      <c r="G11" s="256"/>
      <c r="H11" s="256"/>
      <c r="I11" s="257"/>
      <c r="J11" s="27"/>
      <c r="M11" s="159">
        <v>42472</v>
      </c>
      <c r="N11" s="213">
        <v>1.141</v>
      </c>
      <c r="O11" s="213">
        <v>1.4317</v>
      </c>
      <c r="P11" s="202">
        <v>108.31</v>
      </c>
      <c r="Q11" s="208">
        <v>6.4706000000000001</v>
      </c>
    </row>
    <row r="12" spans="1:17" x14ac:dyDescent="0.2">
      <c r="A12" s="87"/>
      <c r="B12" s="23"/>
      <c r="C12" s="12"/>
      <c r="D12" s="12"/>
      <c r="E12" s="12"/>
      <c r="F12" s="12"/>
      <c r="G12" s="12"/>
      <c r="H12" s="12"/>
      <c r="I12" s="87"/>
      <c r="J12" s="27"/>
      <c r="M12" s="159">
        <v>42473</v>
      </c>
      <c r="N12" s="213">
        <v>1.1303000000000001</v>
      </c>
      <c r="O12" s="213">
        <v>1.4248000000000001</v>
      </c>
      <c r="P12" s="202">
        <v>109.24</v>
      </c>
      <c r="Q12" s="208">
        <v>6.4848999999999997</v>
      </c>
    </row>
    <row r="13" spans="1:17" ht="32.25" customHeight="1" x14ac:dyDescent="0.2">
      <c r="A13" s="193" t="s">
        <v>57</v>
      </c>
      <c r="B13" s="258" t="s">
        <v>0</v>
      </c>
      <c r="E13" s="289">
        <v>1.38443</v>
      </c>
      <c r="F13" s="265"/>
      <c r="G13" s="265"/>
      <c r="H13" s="265"/>
      <c r="I13" s="266"/>
      <c r="J13" s="27"/>
      <c r="M13" s="159">
        <v>42474</v>
      </c>
      <c r="N13" s="213">
        <v>1.1259999999999999</v>
      </c>
      <c r="O13" s="213">
        <v>1.4139999999999999</v>
      </c>
      <c r="P13" s="202">
        <v>109.24</v>
      </c>
      <c r="Q13" s="208">
        <v>6.4935999999999998</v>
      </c>
    </row>
    <row r="14" spans="1:17" ht="15" x14ac:dyDescent="0.25">
      <c r="A14" s="201" t="s">
        <v>22</v>
      </c>
      <c r="B14" s="259"/>
      <c r="C14" s="17"/>
      <c r="D14" s="17"/>
      <c r="E14" s="290"/>
      <c r="F14" s="267"/>
      <c r="G14" s="267"/>
      <c r="H14" s="267"/>
      <c r="I14" s="268"/>
      <c r="J14" s="27"/>
      <c r="M14" s="159">
        <v>42475</v>
      </c>
      <c r="N14" s="213">
        <v>1.1277999999999999</v>
      </c>
      <c r="O14" s="213">
        <v>1.4188000000000001</v>
      </c>
      <c r="P14" s="202">
        <v>108.97</v>
      </c>
      <c r="Q14" s="208">
        <v>6.4863999999999997</v>
      </c>
    </row>
    <row r="15" spans="1:17" x14ac:dyDescent="0.2">
      <c r="A15" s="11"/>
      <c r="B15" s="23"/>
      <c r="D15" s="10"/>
      <c r="E15" s="11"/>
      <c r="I15" s="19"/>
      <c r="J15" s="27"/>
      <c r="M15" s="159">
        <v>42478</v>
      </c>
      <c r="N15" s="213">
        <v>1.1305000000000001</v>
      </c>
      <c r="O15" s="213">
        <v>1.4194</v>
      </c>
      <c r="P15" s="202">
        <v>108.33</v>
      </c>
      <c r="Q15" s="208">
        <v>6.4890999999999996</v>
      </c>
    </row>
    <row r="16" spans="1:17" ht="15" customHeight="1" x14ac:dyDescent="0.2">
      <c r="A16" s="283" t="s">
        <v>21</v>
      </c>
      <c r="B16" s="272" t="s">
        <v>8</v>
      </c>
      <c r="C16" s="280" t="s">
        <v>7</v>
      </c>
      <c r="D16" s="280"/>
      <c r="E16" s="128">
        <v>41.73</v>
      </c>
      <c r="F16" s="18"/>
      <c r="G16" s="18"/>
      <c r="H16" s="18"/>
      <c r="J16" s="27"/>
      <c r="M16" s="159">
        <v>42479</v>
      </c>
      <c r="N16" s="213">
        <v>1.1335</v>
      </c>
      <c r="O16" s="213">
        <v>1.4370000000000001</v>
      </c>
      <c r="P16" s="202">
        <v>109.38</v>
      </c>
      <c r="Q16" s="208">
        <v>6.4739000000000004</v>
      </c>
    </row>
    <row r="17" spans="1:70" ht="15" customHeight="1" x14ac:dyDescent="0.2">
      <c r="A17" s="284"/>
      <c r="B17" s="279"/>
      <c r="C17" s="281" t="s">
        <v>1</v>
      </c>
      <c r="D17" s="281"/>
      <c r="E17" s="129">
        <v>30.930000000000003</v>
      </c>
      <c r="J17" s="27"/>
      <c r="M17" s="159">
        <v>42480</v>
      </c>
      <c r="N17" s="213">
        <v>1.1368</v>
      </c>
      <c r="O17" s="213">
        <v>1.4376</v>
      </c>
      <c r="P17" s="202">
        <v>109.22</v>
      </c>
      <c r="Q17" s="208">
        <v>6.4729999999999999</v>
      </c>
    </row>
    <row r="18" spans="1:70" ht="15" customHeight="1" x14ac:dyDescent="0.2">
      <c r="A18" s="284"/>
      <c r="B18" s="279"/>
      <c r="C18" s="281" t="s">
        <v>2</v>
      </c>
      <c r="D18" s="281"/>
      <c r="E18" s="129">
        <v>8.09</v>
      </c>
      <c r="J18" s="27"/>
      <c r="M18" s="159">
        <v>42481</v>
      </c>
      <c r="N18" s="213">
        <v>1.1312</v>
      </c>
      <c r="O18" s="213">
        <v>1.4376</v>
      </c>
      <c r="P18" s="202">
        <v>109.75</v>
      </c>
      <c r="Q18" s="208">
        <v>6.4825999999999997</v>
      </c>
    </row>
    <row r="19" spans="1:70" ht="15" customHeight="1" x14ac:dyDescent="0.2">
      <c r="A19" s="284"/>
      <c r="B19" s="279"/>
      <c r="C19" s="281" t="s">
        <v>6</v>
      </c>
      <c r="D19" s="281"/>
      <c r="E19" s="129">
        <v>8.33</v>
      </c>
      <c r="J19" s="27"/>
      <c r="M19" s="159">
        <v>42482</v>
      </c>
      <c r="N19" s="213">
        <v>1.1269</v>
      </c>
      <c r="O19" s="213">
        <v>1.4377</v>
      </c>
      <c r="P19" s="202">
        <v>110.64</v>
      </c>
      <c r="Q19" s="208">
        <v>6.4965999999999999</v>
      </c>
    </row>
    <row r="20" spans="1:70" ht="15" customHeight="1" x14ac:dyDescent="0.2">
      <c r="A20" s="285"/>
      <c r="B20" s="273"/>
      <c r="C20" s="282" t="s">
        <v>3</v>
      </c>
      <c r="D20" s="282"/>
      <c r="E20" s="130">
        <v>10.92</v>
      </c>
      <c r="F20" s="17"/>
      <c r="G20" s="17"/>
      <c r="H20" s="17"/>
      <c r="I20" s="19"/>
      <c r="J20" s="27"/>
      <c r="M20" s="159">
        <v>42485</v>
      </c>
      <c r="N20" s="213">
        <v>1.1254999999999999</v>
      </c>
      <c r="O20" s="213">
        <v>1.4454</v>
      </c>
      <c r="P20" s="202">
        <v>111.08</v>
      </c>
      <c r="Q20" s="208">
        <v>6.5065999999999997</v>
      </c>
    </row>
    <row r="21" spans="1:70" x14ac:dyDescent="0.2">
      <c r="A21" s="11"/>
      <c r="B21" s="23"/>
      <c r="C21" s="1"/>
      <c r="J21" s="27"/>
      <c r="M21" s="159">
        <v>42486</v>
      </c>
      <c r="N21" s="213">
        <v>1.1284000000000001</v>
      </c>
      <c r="O21" s="213">
        <v>1.4564999999999999</v>
      </c>
      <c r="P21" s="202">
        <v>110.9</v>
      </c>
      <c r="Q21" s="208">
        <v>6.5049000000000001</v>
      </c>
    </row>
    <row r="22" spans="1:70" ht="15" customHeight="1" x14ac:dyDescent="0.2">
      <c r="A22" s="3"/>
      <c r="B22" s="24"/>
      <c r="C22" s="253" t="s">
        <v>54</v>
      </c>
      <c r="D22" s="253"/>
      <c r="E22" s="218">
        <f>WORKDAY(EDATE($E$10,-3),1)</f>
        <v>42486</v>
      </c>
      <c r="G22" s="17"/>
      <c r="H22" s="17"/>
      <c r="I22" s="19"/>
      <c r="J22" s="27"/>
      <c r="M22" s="159">
        <v>42487</v>
      </c>
      <c r="N22" s="213">
        <v>1.1309</v>
      </c>
      <c r="O22" s="213">
        <v>1.4608000000000001</v>
      </c>
      <c r="P22" s="202">
        <v>111.24</v>
      </c>
      <c r="Q22" s="208">
        <v>6.5061999999999998</v>
      </c>
    </row>
    <row r="23" spans="1:70" ht="14.25" customHeight="1" x14ac:dyDescent="0.2">
      <c r="B23" s="286" t="s">
        <v>10</v>
      </c>
      <c r="C23" s="287"/>
      <c r="D23" s="287"/>
      <c r="E23" s="287"/>
      <c r="F23" s="287"/>
      <c r="G23" s="287"/>
      <c r="H23" s="287"/>
      <c r="I23" s="288"/>
      <c r="J23" s="27"/>
      <c r="M23" s="159">
        <v>42488</v>
      </c>
      <c r="N23" s="213">
        <v>1.1347</v>
      </c>
      <c r="O23" s="213">
        <v>1.4552</v>
      </c>
      <c r="P23" s="202">
        <v>108.08</v>
      </c>
      <c r="Q23" s="208">
        <v>6.4856999999999996</v>
      </c>
    </row>
    <row r="24" spans="1:70" x14ac:dyDescent="0.2">
      <c r="B24" s="186" t="s">
        <v>9</v>
      </c>
      <c r="C24" s="21" t="s">
        <v>7</v>
      </c>
      <c r="D24" s="21" t="s">
        <v>1</v>
      </c>
      <c r="E24" s="21" t="s">
        <v>2</v>
      </c>
      <c r="F24" s="21" t="s">
        <v>6</v>
      </c>
      <c r="G24" s="21" t="str">
        <f>"1/JPY"</f>
        <v>1/JPY</v>
      </c>
      <c r="H24" s="21" t="s">
        <v>3</v>
      </c>
      <c r="I24" s="22" t="str">
        <f>"1/RMB"</f>
        <v>1/RMB</v>
      </c>
      <c r="J24" s="27"/>
      <c r="M24" s="159">
        <v>42489</v>
      </c>
      <c r="N24" s="213">
        <v>1.1395999999999999</v>
      </c>
      <c r="O24" s="213">
        <v>1.4614</v>
      </c>
      <c r="P24" s="202">
        <v>107.02</v>
      </c>
      <c r="Q24" s="208">
        <v>6.4885999999999999</v>
      </c>
    </row>
    <row r="25" spans="1:70" x14ac:dyDescent="0.2">
      <c r="A25" s="185" t="s">
        <v>12</v>
      </c>
      <c r="B25" s="117" t="s">
        <v>13</v>
      </c>
      <c r="C25" s="118">
        <f>AVERAGE(C27:C92)</f>
        <v>1</v>
      </c>
      <c r="D25" s="167">
        <f>AVERAGE(D27:D92)</f>
        <v>1.1223353846153847</v>
      </c>
      <c r="E25" s="168">
        <f>AVERAGE(E27:E92)</f>
        <v>1.4069969230769237</v>
      </c>
      <c r="F25" s="167"/>
      <c r="G25" s="169">
        <f>AVERAGE(G27:G92)</f>
        <v>9.3970690771623833E-3</v>
      </c>
      <c r="H25" s="167"/>
      <c r="I25" s="170">
        <f>AVERAGE(I27:I92)</f>
        <v>0.15149835361441011</v>
      </c>
      <c r="J25" s="27"/>
      <c r="M25" s="159">
        <v>42492</v>
      </c>
      <c r="N25" s="213">
        <v>1.1513</v>
      </c>
      <c r="O25" s="213">
        <v>1.4661999999999999</v>
      </c>
      <c r="P25" s="202">
        <v>106.5</v>
      </c>
      <c r="Q25" s="208">
        <v>6.4835000000000003</v>
      </c>
    </row>
    <row r="26" spans="1:70" x14ac:dyDescent="0.2">
      <c r="A26" s="25"/>
      <c r="B26" s="26"/>
      <c r="C26" s="115"/>
      <c r="D26" s="143">
        <f>COUNT(D27:D92)</f>
        <v>65</v>
      </c>
      <c r="E26" s="143">
        <f>COUNT(E27:E92)</f>
        <v>65</v>
      </c>
      <c r="F26" s="143"/>
      <c r="G26" s="115">
        <f>COUNT(G27:G92)</f>
        <v>65</v>
      </c>
      <c r="H26" s="143"/>
      <c r="I26" s="115">
        <f>COUNT(I27:I92)</f>
        <v>65</v>
      </c>
      <c r="J26" s="188" t="b">
        <f>AND($I$26=$G$26,$I$26=$E$26,$I$26=$D$26)</f>
        <v>1</v>
      </c>
      <c r="K26" s="2" t="s">
        <v>38</v>
      </c>
      <c r="M26" s="159">
        <v>42493</v>
      </c>
      <c r="N26" s="213">
        <v>1.1579999999999999</v>
      </c>
      <c r="O26" s="213">
        <v>1.4672000000000001</v>
      </c>
      <c r="P26" s="202">
        <v>105.84</v>
      </c>
      <c r="Q26" s="208">
        <v>6.4908000000000001</v>
      </c>
    </row>
    <row r="27" spans="1:70" ht="12" customHeight="1" x14ac:dyDescent="0.2">
      <c r="A27" s="185" t="s">
        <v>11</v>
      </c>
      <c r="B27" s="161">
        <f>$E$10</f>
        <v>42576</v>
      </c>
      <c r="C27" s="162">
        <v>1</v>
      </c>
      <c r="D27" s="171">
        <f>VLOOKUP(B27,$M:$Q,2,FALSE)</f>
        <v>1.0989</v>
      </c>
      <c r="E27" s="171">
        <f>VLOOKUP(B27,$M:$Q,3,FALSE)</f>
        <v>1.3130999999999999</v>
      </c>
      <c r="F27" s="172">
        <f>VLOOKUP(B27,$M:$Q,4,FALSE)</f>
        <v>106.29</v>
      </c>
      <c r="G27" s="138">
        <f>1/F27</f>
        <v>9.4082227867155893E-3</v>
      </c>
      <c r="H27" s="174">
        <f>VLOOKUP(B27,$M:$Q,5,FALSE)</f>
        <v>6.6875999999999998</v>
      </c>
      <c r="I27" s="139">
        <f>1/H27</f>
        <v>0.14953047431066452</v>
      </c>
      <c r="J27" s="189" t="b">
        <f>$B$27=$E$10</f>
        <v>1</v>
      </c>
      <c r="K27" s="15" t="s">
        <v>40</v>
      </c>
      <c r="L27" s="15"/>
      <c r="M27" s="159">
        <v>42494</v>
      </c>
      <c r="N27" s="213">
        <v>1.1485000000000001</v>
      </c>
      <c r="O27" s="213">
        <v>1.448</v>
      </c>
      <c r="P27" s="202">
        <v>106.72</v>
      </c>
      <c r="Q27" s="208">
        <v>6.5155000000000003</v>
      </c>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row>
    <row r="28" spans="1:70" ht="12" customHeight="1" x14ac:dyDescent="0.2">
      <c r="B28" s="219">
        <f>WORKDAY(B27,-1)</f>
        <v>42573</v>
      </c>
      <c r="C28" s="220">
        <v>1</v>
      </c>
      <c r="D28" s="221">
        <f t="shared" ref="D28:D86" si="0">VLOOKUP(B28,$M:$Q,2,FALSE)</f>
        <v>1.1015999999999999</v>
      </c>
      <c r="E28" s="221">
        <f t="shared" ref="E28:E86" si="1">VLOOKUP(B28,$M:$Q,3,FALSE)</f>
        <v>1.3107</v>
      </c>
      <c r="F28" s="222">
        <f t="shared" ref="F28:F86" si="2">VLOOKUP(B28,$M:$Q,4,FALSE)</f>
        <v>106.15</v>
      </c>
      <c r="G28" s="223">
        <f>1/F28</f>
        <v>9.4206311822892137E-3</v>
      </c>
      <c r="H28" s="221">
        <f t="shared" ref="H28:H86" si="3">VLOOKUP(B28,$M:$Q,5,FALSE)</f>
        <v>6.6807999999999996</v>
      </c>
      <c r="I28" s="224">
        <f>1/H28</f>
        <v>0.14968267273380434</v>
      </c>
      <c r="M28" s="159">
        <v>42495</v>
      </c>
      <c r="N28" s="213">
        <v>1.1426000000000001</v>
      </c>
      <c r="O28" s="213">
        <v>1.4460999999999999</v>
      </c>
      <c r="P28" s="202">
        <v>107.28</v>
      </c>
      <c r="Q28" s="208">
        <v>6.5189000000000004</v>
      </c>
    </row>
    <row r="29" spans="1:70" x14ac:dyDescent="0.2">
      <c r="A29" s="269" t="s">
        <v>47</v>
      </c>
      <c r="B29" s="163">
        <f t="shared" ref="B29:B86" si="4">WORKDAY(B28,-1)</f>
        <v>42572</v>
      </c>
      <c r="C29" s="166">
        <v>1</v>
      </c>
      <c r="D29" s="164">
        <f t="shared" si="0"/>
        <v>1.1015999999999999</v>
      </c>
      <c r="E29" s="164">
        <f t="shared" si="1"/>
        <v>1.3185</v>
      </c>
      <c r="F29" s="165">
        <f t="shared" si="2"/>
        <v>106.32</v>
      </c>
      <c r="G29" s="144">
        <f>1/F29</f>
        <v>9.4055680963130179E-3</v>
      </c>
      <c r="H29" s="164">
        <f t="shared" si="3"/>
        <v>6.6794000000000002</v>
      </c>
      <c r="I29" s="225">
        <f>1/H29</f>
        <v>0.14971404617181183</v>
      </c>
      <c r="M29" s="159">
        <v>42496</v>
      </c>
      <c r="N29" s="213">
        <v>1.1425000000000001</v>
      </c>
      <c r="O29" s="213">
        <v>1.4504999999999999</v>
      </c>
      <c r="P29" s="202">
        <v>106.98</v>
      </c>
      <c r="Q29" s="208">
        <v>6.5133999999999999</v>
      </c>
    </row>
    <row r="30" spans="1:70" x14ac:dyDescent="0.2">
      <c r="A30" s="269"/>
      <c r="B30" s="163">
        <f t="shared" si="4"/>
        <v>42571</v>
      </c>
      <c r="C30" s="166">
        <v>1</v>
      </c>
      <c r="D30" s="164">
        <f t="shared" si="0"/>
        <v>1.1011</v>
      </c>
      <c r="E30" s="164">
        <f t="shared" si="1"/>
        <v>1.3169999999999999</v>
      </c>
      <c r="F30" s="165">
        <f t="shared" si="2"/>
        <v>106.55</v>
      </c>
      <c r="G30" s="144">
        <f t="shared" ref="G30:G86" si="5">1/F30</f>
        <v>9.385265133740028E-3</v>
      </c>
      <c r="H30" s="164">
        <f t="shared" si="3"/>
        <v>6.6807999999999996</v>
      </c>
      <c r="I30" s="225">
        <f t="shared" ref="I30:I86" si="6">1/H30</f>
        <v>0.14968267273380434</v>
      </c>
      <c r="M30" s="159">
        <v>42499</v>
      </c>
      <c r="N30" s="213">
        <v>1.139</v>
      </c>
      <c r="O30" s="213">
        <v>1.4443999999999999</v>
      </c>
      <c r="P30" s="202">
        <v>108.01</v>
      </c>
      <c r="Q30" s="208">
        <v>6.5282999999999998</v>
      </c>
    </row>
    <row r="31" spans="1:70" x14ac:dyDescent="0.2">
      <c r="A31" s="269"/>
      <c r="B31" s="163">
        <f t="shared" si="4"/>
        <v>42570</v>
      </c>
      <c r="C31" s="166">
        <v>1</v>
      </c>
      <c r="D31" s="164">
        <f t="shared" si="0"/>
        <v>1.1059000000000001</v>
      </c>
      <c r="E31" s="164">
        <f t="shared" si="1"/>
        <v>1.3168</v>
      </c>
      <c r="F31" s="165">
        <f t="shared" si="2"/>
        <v>106.11</v>
      </c>
      <c r="G31" s="144">
        <f t="shared" si="5"/>
        <v>9.4241824521722733E-3</v>
      </c>
      <c r="H31" s="164">
        <f t="shared" si="3"/>
        <v>6.7043999999999997</v>
      </c>
      <c r="I31" s="225">
        <f t="shared" si="6"/>
        <v>0.14915577829485116</v>
      </c>
      <c r="M31" s="159">
        <v>42500</v>
      </c>
      <c r="N31" s="213">
        <v>1.1363000000000001</v>
      </c>
      <c r="O31" s="213">
        <v>1.4422999999999999</v>
      </c>
      <c r="P31" s="202">
        <v>109.17</v>
      </c>
      <c r="Q31" s="208">
        <v>6.5434000000000001</v>
      </c>
    </row>
    <row r="32" spans="1:70" x14ac:dyDescent="0.2">
      <c r="A32" s="269"/>
      <c r="B32" s="163">
        <f t="shared" si="4"/>
        <v>42569</v>
      </c>
      <c r="C32" s="166">
        <v>1</v>
      </c>
      <c r="D32" s="164">
        <f t="shared" si="0"/>
        <v>1.1049</v>
      </c>
      <c r="E32" s="164">
        <f t="shared" si="1"/>
        <v>1.3232999999999999</v>
      </c>
      <c r="F32" s="165">
        <f t="shared" si="2"/>
        <v>105.61</v>
      </c>
      <c r="G32" s="144">
        <f t="shared" si="5"/>
        <v>9.4688003030016094E-3</v>
      </c>
      <c r="H32" s="164">
        <f t="shared" si="3"/>
        <v>6.7134</v>
      </c>
      <c r="I32" s="225">
        <f t="shared" si="6"/>
        <v>0.14895581970387584</v>
      </c>
      <c r="M32" s="159">
        <v>42501</v>
      </c>
      <c r="N32" s="213">
        <v>1.1395</v>
      </c>
      <c r="O32" s="213">
        <v>1.4423999999999999</v>
      </c>
      <c r="P32" s="202">
        <v>108.76</v>
      </c>
      <c r="Q32" s="208">
        <v>6.5339999999999998</v>
      </c>
    </row>
    <row r="33" spans="1:17" x14ac:dyDescent="0.2">
      <c r="A33" s="269"/>
      <c r="B33" s="163">
        <f t="shared" si="4"/>
        <v>42566</v>
      </c>
      <c r="C33" s="166">
        <v>1</v>
      </c>
      <c r="D33" s="164">
        <f t="shared" si="0"/>
        <v>1.1136999999999999</v>
      </c>
      <c r="E33" s="164">
        <f t="shared" si="1"/>
        <v>1.3371999999999999</v>
      </c>
      <c r="F33" s="165">
        <f t="shared" si="2"/>
        <v>105.77</v>
      </c>
      <c r="G33" s="144">
        <f t="shared" si="5"/>
        <v>9.4544766947149486E-3</v>
      </c>
      <c r="H33" s="164">
        <f t="shared" si="3"/>
        <v>6.6933999999999996</v>
      </c>
      <c r="I33" s="225">
        <f t="shared" si="6"/>
        <v>0.1494009023814504</v>
      </c>
      <c r="M33" s="159">
        <v>42502</v>
      </c>
      <c r="N33" s="213">
        <v>1.1391</v>
      </c>
      <c r="O33" s="213">
        <v>1.4443999999999999</v>
      </c>
      <c r="P33" s="202">
        <v>109.21</v>
      </c>
      <c r="Q33" s="208">
        <v>6.5468999999999999</v>
      </c>
    </row>
    <row r="34" spans="1:17" x14ac:dyDescent="0.2">
      <c r="A34" s="269"/>
      <c r="B34" s="163">
        <f t="shared" si="4"/>
        <v>42565</v>
      </c>
      <c r="C34" s="166">
        <v>1</v>
      </c>
      <c r="D34" s="164">
        <f t="shared" si="0"/>
        <v>1.1104000000000001</v>
      </c>
      <c r="E34" s="164">
        <f t="shared" si="1"/>
        <v>1.3220000000000001</v>
      </c>
      <c r="F34" s="165">
        <f t="shared" si="2"/>
        <v>105.42</v>
      </c>
      <c r="G34" s="144">
        <f t="shared" si="5"/>
        <v>9.4858660595712394E-3</v>
      </c>
      <c r="H34" s="164">
        <f t="shared" si="3"/>
        <v>6.6958000000000002</v>
      </c>
      <c r="I34" s="225">
        <f t="shared" si="6"/>
        <v>0.14934735207144778</v>
      </c>
      <c r="M34" s="159">
        <v>42503</v>
      </c>
      <c r="N34" s="213">
        <v>1.1345000000000001</v>
      </c>
      <c r="O34" s="213">
        <v>1.4412</v>
      </c>
      <c r="P34" s="202">
        <v>108.91</v>
      </c>
      <c r="Q34" s="208">
        <v>6.5456000000000003</v>
      </c>
    </row>
    <row r="35" spans="1:17" x14ac:dyDescent="0.2">
      <c r="A35" s="269"/>
      <c r="B35" s="163">
        <f t="shared" si="4"/>
        <v>42564</v>
      </c>
      <c r="C35" s="166">
        <v>1</v>
      </c>
      <c r="D35" s="164">
        <f t="shared" si="0"/>
        <v>1.1085</v>
      </c>
      <c r="E35" s="164">
        <f t="shared" si="1"/>
        <v>1.3297000000000001</v>
      </c>
      <c r="F35" s="165">
        <f t="shared" si="2"/>
        <v>104.82</v>
      </c>
      <c r="G35" s="144">
        <f t="shared" si="5"/>
        <v>9.5401640908223621E-3</v>
      </c>
      <c r="H35" s="164">
        <f t="shared" si="3"/>
        <v>6.6952999999999996</v>
      </c>
      <c r="I35" s="225">
        <f t="shared" si="6"/>
        <v>0.14935850522007976</v>
      </c>
      <c r="M35" s="159">
        <v>42506</v>
      </c>
      <c r="N35" s="213">
        <v>1.1324000000000001</v>
      </c>
      <c r="O35" s="213">
        <v>1.4351</v>
      </c>
      <c r="P35" s="202">
        <v>108.82</v>
      </c>
      <c r="Q35" s="208">
        <v>6.5466999999999995</v>
      </c>
    </row>
    <row r="36" spans="1:17" x14ac:dyDescent="0.2">
      <c r="A36" s="269"/>
      <c r="B36" s="163">
        <f t="shared" si="4"/>
        <v>42563</v>
      </c>
      <c r="C36" s="166">
        <v>1</v>
      </c>
      <c r="D36" s="164">
        <f t="shared" si="0"/>
        <v>1.1093</v>
      </c>
      <c r="E36" s="164">
        <f t="shared" si="1"/>
        <v>1.3161</v>
      </c>
      <c r="F36" s="165">
        <f t="shared" si="2"/>
        <v>103.76</v>
      </c>
      <c r="G36" s="144">
        <f t="shared" si="5"/>
        <v>9.6376252891287578E-3</v>
      </c>
      <c r="H36" s="164">
        <f t="shared" si="3"/>
        <v>6.6985000000000001</v>
      </c>
      <c r="I36" s="225">
        <f t="shared" si="6"/>
        <v>0.14928715384041202</v>
      </c>
      <c r="M36" s="159">
        <v>42507</v>
      </c>
      <c r="N36" s="213">
        <v>1.1321000000000001</v>
      </c>
      <c r="O36" s="213">
        <v>1.4475</v>
      </c>
      <c r="P36" s="202">
        <v>109.52</v>
      </c>
      <c r="Q36" s="208">
        <v>6.5456000000000003</v>
      </c>
    </row>
    <row r="37" spans="1:17" x14ac:dyDescent="0.2">
      <c r="A37" s="269"/>
      <c r="B37" s="163">
        <f t="shared" si="4"/>
        <v>42562</v>
      </c>
      <c r="C37" s="166">
        <v>1</v>
      </c>
      <c r="D37" s="164">
        <f t="shared" si="0"/>
        <v>1.1048</v>
      </c>
      <c r="E37" s="164">
        <f t="shared" si="1"/>
        <v>1.2981</v>
      </c>
      <c r="F37" s="165">
        <f t="shared" si="2"/>
        <v>102.37</v>
      </c>
      <c r="G37" s="144">
        <f t="shared" si="5"/>
        <v>9.7684868613851714E-3</v>
      </c>
      <c r="H37" s="164">
        <f t="shared" si="3"/>
        <v>6.7020999999999997</v>
      </c>
      <c r="I37" s="225">
        <f t="shared" si="6"/>
        <v>0.14920696498112532</v>
      </c>
      <c r="M37" s="159">
        <v>42508</v>
      </c>
      <c r="N37" s="213">
        <v>1.1273</v>
      </c>
      <c r="O37" s="213">
        <v>1.4481999999999999</v>
      </c>
      <c r="P37" s="202">
        <v>109.44</v>
      </c>
      <c r="Q37" s="208">
        <v>6.5579000000000001</v>
      </c>
    </row>
    <row r="38" spans="1:17" x14ac:dyDescent="0.2">
      <c r="A38" s="269"/>
      <c r="B38" s="163">
        <f t="shared" si="4"/>
        <v>42559</v>
      </c>
      <c r="C38" s="166">
        <v>1</v>
      </c>
      <c r="D38" s="164">
        <f t="shared" si="0"/>
        <v>1.1065</v>
      </c>
      <c r="E38" s="164">
        <f t="shared" si="1"/>
        <v>1.2983</v>
      </c>
      <c r="F38" s="165">
        <f t="shared" si="2"/>
        <v>100.49</v>
      </c>
      <c r="G38" s="144">
        <f t="shared" si="5"/>
        <v>9.9512389292466912E-3</v>
      </c>
      <c r="H38" s="164">
        <f t="shared" si="3"/>
        <v>6.6993</v>
      </c>
      <c r="I38" s="225">
        <f t="shared" si="6"/>
        <v>0.14926932664606749</v>
      </c>
      <c r="M38" s="159">
        <v>42509</v>
      </c>
      <c r="N38" s="213">
        <v>1.1203000000000001</v>
      </c>
      <c r="O38" s="213">
        <v>1.4636</v>
      </c>
      <c r="P38" s="202">
        <v>109.93</v>
      </c>
      <c r="Q38" s="208">
        <v>6.5667999999999997</v>
      </c>
    </row>
    <row r="39" spans="1:17" x14ac:dyDescent="0.2">
      <c r="A39" s="269"/>
      <c r="B39" s="163">
        <f t="shared" si="4"/>
        <v>42558</v>
      </c>
      <c r="C39" s="166">
        <v>1</v>
      </c>
      <c r="D39" s="164">
        <f t="shared" si="0"/>
        <v>1.1083000000000001</v>
      </c>
      <c r="E39" s="164">
        <f t="shared" si="1"/>
        <v>1.3030999999999999</v>
      </c>
      <c r="F39" s="165">
        <f t="shared" si="2"/>
        <v>101.08</v>
      </c>
      <c r="G39" s="144">
        <f t="shared" si="5"/>
        <v>9.8931539374752676E-3</v>
      </c>
      <c r="H39" s="164">
        <f t="shared" si="3"/>
        <v>6.6933999999999996</v>
      </c>
      <c r="I39" s="225">
        <f t="shared" si="6"/>
        <v>0.1494009023814504</v>
      </c>
      <c r="M39" s="159">
        <v>42510</v>
      </c>
      <c r="N39" s="213">
        <v>1.1214</v>
      </c>
      <c r="O39" s="213">
        <v>1.4579</v>
      </c>
      <c r="P39" s="202">
        <v>110.35</v>
      </c>
      <c r="Q39" s="208">
        <v>6.5644</v>
      </c>
    </row>
    <row r="40" spans="1:17" x14ac:dyDescent="0.2">
      <c r="A40" s="269"/>
      <c r="B40" s="163">
        <f t="shared" si="4"/>
        <v>42557</v>
      </c>
      <c r="C40" s="166">
        <v>1</v>
      </c>
      <c r="D40" s="164">
        <f t="shared" si="0"/>
        <v>1.1067</v>
      </c>
      <c r="E40" s="164">
        <f t="shared" si="1"/>
        <v>1.2981</v>
      </c>
      <c r="F40" s="165">
        <f t="shared" si="2"/>
        <v>100.3</v>
      </c>
      <c r="G40" s="144">
        <f t="shared" si="5"/>
        <v>9.9700897308075773E-3</v>
      </c>
      <c r="H40" s="164">
        <f t="shared" si="3"/>
        <v>6.6997999999999998</v>
      </c>
      <c r="I40" s="225">
        <f t="shared" si="6"/>
        <v>0.14925818681154662</v>
      </c>
      <c r="M40" s="159">
        <v>42513</v>
      </c>
      <c r="N40" s="213">
        <v>1.1207</v>
      </c>
      <c r="O40" s="213">
        <v>1.4469000000000001</v>
      </c>
      <c r="P40" s="202">
        <v>109.46</v>
      </c>
      <c r="Q40" s="208">
        <v>6.5628000000000002</v>
      </c>
    </row>
    <row r="41" spans="1:17" x14ac:dyDescent="0.2">
      <c r="A41" s="269"/>
      <c r="B41" s="163">
        <f t="shared" si="4"/>
        <v>42556</v>
      </c>
      <c r="C41" s="166">
        <v>1</v>
      </c>
      <c r="D41" s="164">
        <f t="shared" si="0"/>
        <v>1.1153999999999999</v>
      </c>
      <c r="E41" s="164">
        <f t="shared" si="1"/>
        <v>1.3160000000000001</v>
      </c>
      <c r="F41" s="165">
        <f t="shared" si="2"/>
        <v>101.72</v>
      </c>
      <c r="G41" s="144">
        <f t="shared" si="5"/>
        <v>9.8309083759339361E-3</v>
      </c>
      <c r="H41" s="164">
        <f t="shared" si="3"/>
        <v>6.6874000000000002</v>
      </c>
      <c r="I41" s="225">
        <f t="shared" si="6"/>
        <v>0.14953494631695427</v>
      </c>
      <c r="M41" s="159">
        <v>42514</v>
      </c>
      <c r="N41" s="213">
        <v>1.1182000000000001</v>
      </c>
      <c r="O41" s="213">
        <v>1.4601999999999999</v>
      </c>
      <c r="P41" s="202">
        <v>109.61</v>
      </c>
      <c r="Q41" s="208">
        <v>6.5647000000000002</v>
      </c>
    </row>
    <row r="42" spans="1:17" x14ac:dyDescent="0.2">
      <c r="A42" s="269"/>
      <c r="B42" s="163">
        <f t="shared" si="4"/>
        <v>42555</v>
      </c>
      <c r="C42" s="166">
        <v>1</v>
      </c>
      <c r="D42" s="164">
        <f t="shared" si="0"/>
        <v>1.1123000000000001</v>
      </c>
      <c r="E42" s="164">
        <f t="shared" si="1"/>
        <v>1.3259000000000001</v>
      </c>
      <c r="F42" s="165">
        <f t="shared" si="2"/>
        <v>102.63</v>
      </c>
      <c r="G42" s="144">
        <f t="shared" si="5"/>
        <v>9.7437396472766259E-3</v>
      </c>
      <c r="H42" s="164">
        <f t="shared" si="3"/>
        <v>6.6778000000000004</v>
      </c>
      <c r="I42" s="225">
        <f t="shared" si="6"/>
        <v>0.14974991763754528</v>
      </c>
      <c r="M42" s="159">
        <v>42515</v>
      </c>
      <c r="N42" s="213">
        <v>1.1144000000000001</v>
      </c>
      <c r="O42" s="213">
        <v>1.4661999999999999</v>
      </c>
      <c r="P42" s="202">
        <v>110.21</v>
      </c>
      <c r="Q42" s="208">
        <v>6.5655000000000001</v>
      </c>
    </row>
    <row r="43" spans="1:17" x14ac:dyDescent="0.2">
      <c r="A43" s="269"/>
      <c r="B43" s="163">
        <f t="shared" si="4"/>
        <v>42552</v>
      </c>
      <c r="C43" s="166">
        <v>1</v>
      </c>
      <c r="D43" s="164">
        <f t="shared" si="0"/>
        <v>1.1125</v>
      </c>
      <c r="E43" s="164">
        <f t="shared" si="1"/>
        <v>1.3288</v>
      </c>
      <c r="F43" s="165">
        <f t="shared" si="2"/>
        <v>102.65</v>
      </c>
      <c r="G43" s="144">
        <f t="shared" si="5"/>
        <v>9.74184120798831E-3</v>
      </c>
      <c r="H43" s="164">
        <f t="shared" si="3"/>
        <v>6.6703999999999999</v>
      </c>
      <c r="I43" s="225">
        <f t="shared" si="6"/>
        <v>0.14991604701367234</v>
      </c>
      <c r="M43" s="159">
        <v>42516</v>
      </c>
      <c r="N43" s="213">
        <v>1.1178999999999999</v>
      </c>
      <c r="O43" s="213">
        <v>1.4695</v>
      </c>
      <c r="P43" s="202">
        <v>109.99</v>
      </c>
      <c r="Q43" s="208">
        <v>6.5609000000000002</v>
      </c>
    </row>
    <row r="44" spans="1:17" x14ac:dyDescent="0.2">
      <c r="A44" s="269"/>
      <c r="B44" s="163">
        <f t="shared" si="4"/>
        <v>42551</v>
      </c>
      <c r="C44" s="166">
        <v>1</v>
      </c>
      <c r="D44" s="164">
        <f t="shared" si="0"/>
        <v>1.1145</v>
      </c>
      <c r="E44" s="164">
        <f t="shared" si="1"/>
        <v>1.3488</v>
      </c>
      <c r="F44" s="165">
        <f t="shared" si="2"/>
        <v>102.81</v>
      </c>
      <c r="G44" s="144">
        <f t="shared" si="5"/>
        <v>9.7266802840190649E-3</v>
      </c>
      <c r="H44" s="164">
        <f t="shared" si="3"/>
        <v>6.6645000000000003</v>
      </c>
      <c r="I44" s="225">
        <f t="shared" si="6"/>
        <v>0.15004876584890089</v>
      </c>
      <c r="M44" s="159">
        <v>42517</v>
      </c>
      <c r="N44" s="213">
        <v>1.1176999999999999</v>
      </c>
      <c r="O44" s="213">
        <v>1.4654</v>
      </c>
      <c r="P44" s="202">
        <v>109.62</v>
      </c>
      <c r="Q44" s="208">
        <v>6.5682</v>
      </c>
    </row>
    <row r="45" spans="1:17" x14ac:dyDescent="0.2">
      <c r="A45" s="269"/>
      <c r="B45" s="163">
        <f t="shared" si="4"/>
        <v>42550</v>
      </c>
      <c r="C45" s="166">
        <v>1</v>
      </c>
      <c r="D45" s="164">
        <f t="shared" si="0"/>
        <v>1.1089</v>
      </c>
      <c r="E45" s="164">
        <f t="shared" si="1"/>
        <v>1.3422000000000001</v>
      </c>
      <c r="F45" s="165">
        <f t="shared" si="2"/>
        <v>102.7</v>
      </c>
      <c r="G45" s="144">
        <f t="shared" si="5"/>
        <v>9.7370983446932804E-3</v>
      </c>
      <c r="H45" s="164">
        <f t="shared" si="3"/>
        <v>6.6614000000000004</v>
      </c>
      <c r="I45" s="225">
        <f t="shared" si="6"/>
        <v>0.15011859368901431</v>
      </c>
      <c r="M45" s="159">
        <v>42520</v>
      </c>
      <c r="N45" s="191">
        <v>1.1140000000000001</v>
      </c>
      <c r="O45" s="191">
        <v>1.4601999999999999</v>
      </c>
      <c r="P45" s="203">
        <v>111.11</v>
      </c>
      <c r="Q45" s="208">
        <v>6.5903</v>
      </c>
    </row>
    <row r="46" spans="1:17" x14ac:dyDescent="0.2">
      <c r="A46" s="269"/>
      <c r="B46" s="163">
        <f t="shared" si="4"/>
        <v>42549</v>
      </c>
      <c r="C46" s="166">
        <v>1</v>
      </c>
      <c r="D46" s="164">
        <f t="shared" si="0"/>
        <v>1.1089</v>
      </c>
      <c r="E46" s="164">
        <f t="shared" si="1"/>
        <v>1.3340000000000001</v>
      </c>
      <c r="F46" s="165">
        <f t="shared" si="2"/>
        <v>102.33</v>
      </c>
      <c r="G46" s="144">
        <f t="shared" si="5"/>
        <v>9.7723052868171605E-3</v>
      </c>
      <c r="H46" s="164">
        <f t="shared" si="3"/>
        <v>6.6761999999999997</v>
      </c>
      <c r="I46" s="225">
        <f t="shared" si="6"/>
        <v>0.14978580629699531</v>
      </c>
      <c r="M46" s="159">
        <v>42521</v>
      </c>
      <c r="N46" s="213">
        <v>1.1151</v>
      </c>
      <c r="O46" s="213">
        <v>1.4618</v>
      </c>
      <c r="P46" s="202">
        <v>111.08</v>
      </c>
      <c r="Q46" s="208">
        <v>6.5870999999999995</v>
      </c>
    </row>
    <row r="47" spans="1:17" x14ac:dyDescent="0.2">
      <c r="A47" s="269"/>
      <c r="B47" s="163">
        <f t="shared" si="4"/>
        <v>42548</v>
      </c>
      <c r="C47" s="166">
        <v>1</v>
      </c>
      <c r="D47" s="164">
        <f t="shared" si="0"/>
        <v>1.1013999999999999</v>
      </c>
      <c r="E47" s="164">
        <f t="shared" si="1"/>
        <v>1.321</v>
      </c>
      <c r="F47" s="165">
        <f t="shared" si="2"/>
        <v>101.57</v>
      </c>
      <c r="G47" s="144">
        <f t="shared" si="5"/>
        <v>9.845426799251749E-3</v>
      </c>
      <c r="H47" s="164">
        <f t="shared" si="3"/>
        <v>6.6814999999999998</v>
      </c>
      <c r="I47" s="225">
        <f t="shared" si="6"/>
        <v>0.14966699094514704</v>
      </c>
      <c r="M47" s="159">
        <v>42522</v>
      </c>
      <c r="N47" s="213">
        <v>1.1157999999999999</v>
      </c>
      <c r="O47" s="213">
        <v>1.4446000000000001</v>
      </c>
      <c r="P47" s="202">
        <v>109.54</v>
      </c>
      <c r="Q47" s="208">
        <v>6.5891000000000002</v>
      </c>
    </row>
    <row r="48" spans="1:17" x14ac:dyDescent="0.2">
      <c r="A48" s="269"/>
      <c r="B48" s="163">
        <f t="shared" si="4"/>
        <v>42545</v>
      </c>
      <c r="C48" s="166">
        <v>1</v>
      </c>
      <c r="D48" s="164">
        <f t="shared" si="0"/>
        <v>1.1052</v>
      </c>
      <c r="E48" s="164">
        <f t="shared" si="1"/>
        <v>1.3703000000000001</v>
      </c>
      <c r="F48" s="165">
        <f t="shared" si="2"/>
        <v>102.14</v>
      </c>
      <c r="G48" s="144">
        <f t="shared" si="5"/>
        <v>9.790483649892304E-3</v>
      </c>
      <c r="H48" s="164">
        <f t="shared" si="3"/>
        <v>6.6474000000000002</v>
      </c>
      <c r="I48" s="225">
        <f t="shared" si="6"/>
        <v>0.1504347564461293</v>
      </c>
      <c r="M48" s="159">
        <v>42523</v>
      </c>
      <c r="N48" s="213">
        <v>1.1198999999999999</v>
      </c>
      <c r="O48" s="213">
        <v>1.4431</v>
      </c>
      <c r="P48" s="202">
        <v>108.96</v>
      </c>
      <c r="Q48" s="208">
        <v>6.5881999999999996</v>
      </c>
    </row>
    <row r="49" spans="1:17" ht="12" customHeight="1" x14ac:dyDescent="0.2">
      <c r="A49" s="269"/>
      <c r="B49" s="163">
        <f t="shared" si="4"/>
        <v>42544</v>
      </c>
      <c r="C49" s="166">
        <v>1</v>
      </c>
      <c r="D49" s="164">
        <f t="shared" si="0"/>
        <v>1.1396999999999999</v>
      </c>
      <c r="E49" s="164">
        <f t="shared" si="1"/>
        <v>1.4892000000000001</v>
      </c>
      <c r="F49" s="165">
        <f t="shared" si="2"/>
        <v>105.73</v>
      </c>
      <c r="G49" s="144">
        <f t="shared" si="5"/>
        <v>9.4580535325829943E-3</v>
      </c>
      <c r="H49" s="164">
        <f t="shared" si="3"/>
        <v>6.5831</v>
      </c>
      <c r="I49" s="225">
        <f t="shared" si="6"/>
        <v>0.15190411812064225</v>
      </c>
      <c r="M49" s="159">
        <v>42524</v>
      </c>
      <c r="N49" s="213">
        <v>1.1140000000000001</v>
      </c>
      <c r="O49" s="213">
        <v>1.4408000000000001</v>
      </c>
      <c r="P49" s="202">
        <v>108.93</v>
      </c>
      <c r="Q49" s="208">
        <v>6.5940000000000003</v>
      </c>
    </row>
    <row r="50" spans="1:17" x14ac:dyDescent="0.2">
      <c r="A50" s="269"/>
      <c r="B50" s="163">
        <f t="shared" si="4"/>
        <v>42543</v>
      </c>
      <c r="C50" s="166">
        <v>1</v>
      </c>
      <c r="D50" s="164">
        <f t="shared" si="0"/>
        <v>1.1291</v>
      </c>
      <c r="E50" s="164">
        <f t="shared" si="1"/>
        <v>1.4679</v>
      </c>
      <c r="F50" s="165">
        <f t="shared" si="2"/>
        <v>104.57</v>
      </c>
      <c r="G50" s="144">
        <f t="shared" si="5"/>
        <v>9.5629721717509809E-3</v>
      </c>
      <c r="H50" s="164">
        <f t="shared" si="3"/>
        <v>6.5907</v>
      </c>
      <c r="I50" s="225">
        <f t="shared" si="6"/>
        <v>0.15172895140121687</v>
      </c>
      <c r="M50" s="159">
        <v>42527</v>
      </c>
      <c r="N50" s="213">
        <v>1.1334</v>
      </c>
      <c r="O50" s="213">
        <v>1.4392</v>
      </c>
      <c r="P50" s="202">
        <v>107.15</v>
      </c>
      <c r="Q50" s="208">
        <v>6.5705</v>
      </c>
    </row>
    <row r="51" spans="1:17" x14ac:dyDescent="0.2">
      <c r="A51" s="269"/>
      <c r="B51" s="163">
        <f t="shared" si="4"/>
        <v>42542</v>
      </c>
      <c r="C51" s="166">
        <v>1</v>
      </c>
      <c r="D51" s="164">
        <f t="shared" si="0"/>
        <v>1.1325000000000001</v>
      </c>
      <c r="E51" s="164">
        <f t="shared" si="1"/>
        <v>1.4751000000000001</v>
      </c>
      <c r="F51" s="165">
        <f t="shared" si="2"/>
        <v>104.59</v>
      </c>
      <c r="G51" s="144">
        <f t="shared" si="5"/>
        <v>9.5611435127641257E-3</v>
      </c>
      <c r="H51" s="164">
        <f t="shared" si="3"/>
        <v>6.5895000000000001</v>
      </c>
      <c r="I51" s="225">
        <f t="shared" si="6"/>
        <v>0.1517565824417634</v>
      </c>
      <c r="M51" s="159">
        <v>42528</v>
      </c>
      <c r="N51" s="213">
        <v>1.1359999999999999</v>
      </c>
      <c r="O51" s="213">
        <v>1.4588000000000001</v>
      </c>
      <c r="P51" s="202">
        <v>107.76</v>
      </c>
      <c r="Q51" s="208">
        <v>6.5712000000000002</v>
      </c>
    </row>
    <row r="52" spans="1:17" x14ac:dyDescent="0.2">
      <c r="A52" s="269"/>
      <c r="B52" s="163">
        <f t="shared" si="4"/>
        <v>42541</v>
      </c>
      <c r="C52" s="166">
        <v>1</v>
      </c>
      <c r="D52" s="164">
        <f t="shared" si="0"/>
        <v>1.1329</v>
      </c>
      <c r="E52" s="164">
        <f t="shared" si="1"/>
        <v>1.4622999999999999</v>
      </c>
      <c r="F52" s="165">
        <f t="shared" si="2"/>
        <v>104.53</v>
      </c>
      <c r="G52" s="144">
        <f t="shared" si="5"/>
        <v>9.5666315890175074E-3</v>
      </c>
      <c r="H52" s="164">
        <f t="shared" si="3"/>
        <v>6.5905000000000005</v>
      </c>
      <c r="I52" s="225">
        <f t="shared" si="6"/>
        <v>0.15173355587588194</v>
      </c>
      <c r="M52" s="159">
        <v>42529</v>
      </c>
      <c r="N52" s="213">
        <v>1.1374</v>
      </c>
      <c r="O52" s="213">
        <v>1.4569000000000001</v>
      </c>
      <c r="P52" s="202">
        <v>107.05</v>
      </c>
      <c r="Q52" s="208">
        <v>6.5766</v>
      </c>
    </row>
    <row r="53" spans="1:17" x14ac:dyDescent="0.2">
      <c r="A53" s="116"/>
      <c r="B53" s="163">
        <f t="shared" si="4"/>
        <v>42538</v>
      </c>
      <c r="C53" s="166">
        <v>1</v>
      </c>
      <c r="D53" s="164">
        <f t="shared" si="0"/>
        <v>1.1262000000000001</v>
      </c>
      <c r="E53" s="164">
        <f t="shared" si="1"/>
        <v>1.4256</v>
      </c>
      <c r="F53" s="165">
        <f t="shared" si="2"/>
        <v>104.26</v>
      </c>
      <c r="G53" s="144">
        <f t="shared" si="5"/>
        <v>9.5914061001342796E-3</v>
      </c>
      <c r="H53" s="164">
        <f t="shared" si="3"/>
        <v>6.6007999999999996</v>
      </c>
      <c r="I53" s="225">
        <f t="shared" si="6"/>
        <v>0.15149678826808874</v>
      </c>
      <c r="M53" s="159">
        <v>42530</v>
      </c>
      <c r="N53" s="213">
        <v>1.1342000000000001</v>
      </c>
      <c r="O53" s="213">
        <v>1.4466000000000001</v>
      </c>
      <c r="P53" s="202">
        <v>106.49</v>
      </c>
      <c r="Q53" s="208">
        <v>6.5778999999999996</v>
      </c>
    </row>
    <row r="54" spans="1:17" x14ac:dyDescent="0.2">
      <c r="A54" s="116"/>
      <c r="B54" s="163">
        <f t="shared" si="4"/>
        <v>42537</v>
      </c>
      <c r="C54" s="166">
        <v>1</v>
      </c>
      <c r="D54" s="164">
        <f t="shared" si="0"/>
        <v>1.1214</v>
      </c>
      <c r="E54" s="164">
        <f t="shared" si="1"/>
        <v>1.4129</v>
      </c>
      <c r="F54" s="165">
        <f t="shared" si="2"/>
        <v>104.3</v>
      </c>
      <c r="G54" s="144">
        <f t="shared" si="5"/>
        <v>9.5877277085330784E-3</v>
      </c>
      <c r="H54" s="164">
        <f t="shared" si="3"/>
        <v>6.6018999999999997</v>
      </c>
      <c r="I54" s="225">
        <f t="shared" si="6"/>
        <v>0.15147154607007074</v>
      </c>
      <c r="M54" s="159">
        <v>42531</v>
      </c>
      <c r="N54" s="213">
        <v>1.1299999999999999</v>
      </c>
      <c r="O54" s="213">
        <v>1.4419999999999999</v>
      </c>
      <c r="P54" s="202">
        <v>106.76</v>
      </c>
      <c r="Q54" s="208">
        <v>6.5914000000000001</v>
      </c>
    </row>
    <row r="55" spans="1:17" x14ac:dyDescent="0.2">
      <c r="A55" s="116"/>
      <c r="B55" s="163">
        <f t="shared" si="4"/>
        <v>42536</v>
      </c>
      <c r="C55" s="166">
        <v>1</v>
      </c>
      <c r="D55" s="164">
        <f t="shared" si="0"/>
        <v>1.1225000000000001</v>
      </c>
      <c r="E55" s="164">
        <f t="shared" si="1"/>
        <v>1.4195</v>
      </c>
      <c r="F55" s="165">
        <f t="shared" si="2"/>
        <v>106.3</v>
      </c>
      <c r="G55" s="144">
        <f t="shared" si="5"/>
        <v>9.4073377234242719E-3</v>
      </c>
      <c r="H55" s="164">
        <f t="shared" si="3"/>
        <v>6.5971000000000002</v>
      </c>
      <c r="I55" s="225">
        <f t="shared" si="6"/>
        <v>0.15158175561989359</v>
      </c>
      <c r="M55" s="159">
        <v>42534</v>
      </c>
      <c r="N55" s="213">
        <v>1.127</v>
      </c>
      <c r="O55" s="213">
        <v>1.4157999999999999</v>
      </c>
      <c r="P55" s="202">
        <v>106.01</v>
      </c>
      <c r="Q55" s="208">
        <v>6.5990000000000002</v>
      </c>
    </row>
    <row r="56" spans="1:17" x14ac:dyDescent="0.2">
      <c r="A56" s="116"/>
      <c r="B56" s="163">
        <f t="shared" si="4"/>
        <v>42535</v>
      </c>
      <c r="C56" s="166">
        <v>1</v>
      </c>
      <c r="D56" s="164">
        <f t="shared" si="0"/>
        <v>1.1221000000000001</v>
      </c>
      <c r="E56" s="164">
        <f t="shared" si="1"/>
        <v>1.4164000000000001</v>
      </c>
      <c r="F56" s="165">
        <f t="shared" si="2"/>
        <v>105.9</v>
      </c>
      <c r="G56" s="144">
        <f t="shared" si="5"/>
        <v>9.442870632672332E-3</v>
      </c>
      <c r="H56" s="164">
        <f t="shared" si="3"/>
        <v>6.6036999999999999</v>
      </c>
      <c r="I56" s="225">
        <f t="shared" si="6"/>
        <v>0.15143025879431229</v>
      </c>
      <c r="M56" s="159">
        <v>42535</v>
      </c>
      <c r="N56" s="213">
        <v>1.1221000000000001</v>
      </c>
      <c r="O56" s="213">
        <v>1.4164000000000001</v>
      </c>
      <c r="P56" s="202">
        <v>105.9</v>
      </c>
      <c r="Q56" s="208">
        <v>6.6036999999999999</v>
      </c>
    </row>
    <row r="57" spans="1:17" x14ac:dyDescent="0.2">
      <c r="A57" s="116"/>
      <c r="B57" s="163">
        <f t="shared" si="4"/>
        <v>42534</v>
      </c>
      <c r="C57" s="166">
        <v>1</v>
      </c>
      <c r="D57" s="164">
        <f t="shared" si="0"/>
        <v>1.127</v>
      </c>
      <c r="E57" s="164">
        <f t="shared" si="1"/>
        <v>1.4157999999999999</v>
      </c>
      <c r="F57" s="165">
        <f t="shared" si="2"/>
        <v>106.01</v>
      </c>
      <c r="G57" s="144">
        <f t="shared" si="5"/>
        <v>9.4330723516649374E-3</v>
      </c>
      <c r="H57" s="164">
        <f t="shared" si="3"/>
        <v>6.5990000000000002</v>
      </c>
      <c r="I57" s="225">
        <f t="shared" si="6"/>
        <v>0.15153811183512653</v>
      </c>
      <c r="M57" s="159">
        <v>42536</v>
      </c>
      <c r="N57" s="213">
        <v>1.1225000000000001</v>
      </c>
      <c r="O57" s="213">
        <v>1.4195</v>
      </c>
      <c r="P57" s="202">
        <v>106.3</v>
      </c>
      <c r="Q57" s="208">
        <v>6.5971000000000002</v>
      </c>
    </row>
    <row r="58" spans="1:17" x14ac:dyDescent="0.2">
      <c r="A58" s="116"/>
      <c r="B58" s="163">
        <f t="shared" si="4"/>
        <v>42531</v>
      </c>
      <c r="C58" s="166">
        <v>1</v>
      </c>
      <c r="D58" s="164">
        <f t="shared" si="0"/>
        <v>1.1299999999999999</v>
      </c>
      <c r="E58" s="164">
        <f t="shared" si="1"/>
        <v>1.4419999999999999</v>
      </c>
      <c r="F58" s="165">
        <f t="shared" si="2"/>
        <v>106.76</v>
      </c>
      <c r="G58" s="144">
        <f t="shared" si="5"/>
        <v>9.3668040464593479E-3</v>
      </c>
      <c r="H58" s="164">
        <f t="shared" si="3"/>
        <v>6.5914000000000001</v>
      </c>
      <c r="I58" s="225">
        <f t="shared" si="6"/>
        <v>0.15171283794034651</v>
      </c>
      <c r="M58" s="159">
        <v>42537</v>
      </c>
      <c r="N58" s="213">
        <v>1.1214</v>
      </c>
      <c r="O58" s="213">
        <v>1.4129</v>
      </c>
      <c r="P58" s="202">
        <v>104.3</v>
      </c>
      <c r="Q58" s="208">
        <v>6.6018999999999997</v>
      </c>
    </row>
    <row r="59" spans="1:17" x14ac:dyDescent="0.2">
      <c r="A59" s="116"/>
      <c r="B59" s="163">
        <f t="shared" si="4"/>
        <v>42530</v>
      </c>
      <c r="C59" s="166">
        <v>1</v>
      </c>
      <c r="D59" s="164">
        <f t="shared" si="0"/>
        <v>1.1342000000000001</v>
      </c>
      <c r="E59" s="164">
        <f t="shared" si="1"/>
        <v>1.4466000000000001</v>
      </c>
      <c r="F59" s="165">
        <f t="shared" si="2"/>
        <v>106.49</v>
      </c>
      <c r="G59" s="144">
        <f t="shared" si="5"/>
        <v>9.390553103577802E-3</v>
      </c>
      <c r="H59" s="164">
        <f t="shared" si="3"/>
        <v>6.5778999999999996</v>
      </c>
      <c r="I59" s="225">
        <f t="shared" si="6"/>
        <v>0.15202420225299867</v>
      </c>
      <c r="M59" s="159">
        <v>42538</v>
      </c>
      <c r="N59" s="213">
        <v>1.1262000000000001</v>
      </c>
      <c r="O59" s="213">
        <v>1.4256</v>
      </c>
      <c r="P59" s="202">
        <v>104.26</v>
      </c>
      <c r="Q59" s="208">
        <v>6.6007999999999996</v>
      </c>
    </row>
    <row r="60" spans="1:17" x14ac:dyDescent="0.2">
      <c r="A60" s="116"/>
      <c r="B60" s="163">
        <f t="shared" si="4"/>
        <v>42529</v>
      </c>
      <c r="C60" s="166">
        <v>1</v>
      </c>
      <c r="D60" s="164">
        <f t="shared" si="0"/>
        <v>1.1374</v>
      </c>
      <c r="E60" s="164">
        <f t="shared" si="1"/>
        <v>1.4569000000000001</v>
      </c>
      <c r="F60" s="165">
        <f t="shared" si="2"/>
        <v>107.05</v>
      </c>
      <c r="G60" s="144">
        <f t="shared" si="5"/>
        <v>9.3414292386735168E-3</v>
      </c>
      <c r="H60" s="164">
        <f t="shared" si="3"/>
        <v>6.5766</v>
      </c>
      <c r="I60" s="225">
        <f t="shared" si="6"/>
        <v>0.15205425295745523</v>
      </c>
      <c r="M60" s="159">
        <v>42541</v>
      </c>
      <c r="N60" s="213">
        <v>1.1329</v>
      </c>
      <c r="O60" s="213">
        <v>1.4622999999999999</v>
      </c>
      <c r="P60" s="202">
        <v>104.53</v>
      </c>
      <c r="Q60" s="208">
        <v>6.5905000000000005</v>
      </c>
    </row>
    <row r="61" spans="1:17" x14ac:dyDescent="0.2">
      <c r="A61" s="116"/>
      <c r="B61" s="163">
        <f t="shared" si="4"/>
        <v>42528</v>
      </c>
      <c r="C61" s="166">
        <v>1</v>
      </c>
      <c r="D61" s="164">
        <f t="shared" si="0"/>
        <v>1.1359999999999999</v>
      </c>
      <c r="E61" s="164">
        <f t="shared" si="1"/>
        <v>1.4588000000000001</v>
      </c>
      <c r="F61" s="165">
        <f t="shared" si="2"/>
        <v>107.76</v>
      </c>
      <c r="G61" s="144">
        <f t="shared" si="5"/>
        <v>9.2798812175204151E-3</v>
      </c>
      <c r="H61" s="164">
        <f t="shared" si="3"/>
        <v>6.5712000000000002</v>
      </c>
      <c r="I61" s="225">
        <f t="shared" si="6"/>
        <v>0.15217920623326028</v>
      </c>
      <c r="M61" s="159">
        <v>42542</v>
      </c>
      <c r="N61" s="213">
        <v>1.1325000000000001</v>
      </c>
      <c r="O61" s="213">
        <v>1.4751000000000001</v>
      </c>
      <c r="P61" s="202">
        <v>104.59</v>
      </c>
      <c r="Q61" s="208">
        <v>6.5895000000000001</v>
      </c>
    </row>
    <row r="62" spans="1:17" x14ac:dyDescent="0.2">
      <c r="A62" s="116"/>
      <c r="B62" s="163">
        <f t="shared" si="4"/>
        <v>42527</v>
      </c>
      <c r="C62" s="166">
        <v>1</v>
      </c>
      <c r="D62" s="164">
        <f t="shared" si="0"/>
        <v>1.1334</v>
      </c>
      <c r="E62" s="164">
        <f t="shared" si="1"/>
        <v>1.4392</v>
      </c>
      <c r="F62" s="165">
        <f t="shared" si="2"/>
        <v>107.15</v>
      </c>
      <c r="G62" s="144">
        <f t="shared" si="5"/>
        <v>9.3327111525898267E-3</v>
      </c>
      <c r="H62" s="164">
        <f t="shared" si="3"/>
        <v>6.5705</v>
      </c>
      <c r="I62" s="225">
        <f t="shared" si="6"/>
        <v>0.15219541891789057</v>
      </c>
      <c r="M62" s="159">
        <v>42543</v>
      </c>
      <c r="N62" s="213">
        <v>1.1291</v>
      </c>
      <c r="O62" s="213">
        <v>1.4679</v>
      </c>
      <c r="P62" s="202">
        <v>104.57</v>
      </c>
      <c r="Q62" s="208">
        <v>6.5907</v>
      </c>
    </row>
    <row r="63" spans="1:17" x14ac:dyDescent="0.2">
      <c r="A63" s="116"/>
      <c r="B63" s="163">
        <f t="shared" si="4"/>
        <v>42524</v>
      </c>
      <c r="C63" s="166">
        <v>1</v>
      </c>
      <c r="D63" s="164">
        <f t="shared" si="0"/>
        <v>1.1140000000000001</v>
      </c>
      <c r="E63" s="164">
        <f t="shared" si="1"/>
        <v>1.4408000000000001</v>
      </c>
      <c r="F63" s="165">
        <f t="shared" si="2"/>
        <v>108.93</v>
      </c>
      <c r="G63" s="144">
        <f t="shared" si="5"/>
        <v>9.1802074726888821E-3</v>
      </c>
      <c r="H63" s="164">
        <f t="shared" si="3"/>
        <v>6.5940000000000003</v>
      </c>
      <c r="I63" s="225">
        <f t="shared" si="6"/>
        <v>0.15165301789505611</v>
      </c>
      <c r="M63" s="159">
        <v>42544</v>
      </c>
      <c r="N63" s="213">
        <v>1.1396999999999999</v>
      </c>
      <c r="O63" s="213">
        <v>1.4892000000000001</v>
      </c>
      <c r="P63" s="202">
        <v>105.73</v>
      </c>
      <c r="Q63" s="208">
        <v>6.5831</v>
      </c>
    </row>
    <row r="64" spans="1:17" x14ac:dyDescent="0.2">
      <c r="A64" s="116"/>
      <c r="B64" s="163">
        <f t="shared" si="4"/>
        <v>42523</v>
      </c>
      <c r="C64" s="166">
        <v>1</v>
      </c>
      <c r="D64" s="164">
        <f t="shared" si="0"/>
        <v>1.1198999999999999</v>
      </c>
      <c r="E64" s="164">
        <f t="shared" si="1"/>
        <v>1.4431</v>
      </c>
      <c r="F64" s="165">
        <f t="shared" si="2"/>
        <v>108.96</v>
      </c>
      <c r="G64" s="144">
        <f t="shared" si="5"/>
        <v>9.1776798825256977E-3</v>
      </c>
      <c r="H64" s="164">
        <f t="shared" si="3"/>
        <v>6.5881999999999996</v>
      </c>
      <c r="I64" s="225">
        <f t="shared" si="6"/>
        <v>0.1517865274278255</v>
      </c>
      <c r="M64" s="159">
        <v>42545</v>
      </c>
      <c r="N64" s="213">
        <v>1.1052</v>
      </c>
      <c r="O64" s="213">
        <v>1.3703000000000001</v>
      </c>
      <c r="P64" s="202">
        <v>102.14</v>
      </c>
      <c r="Q64" s="208">
        <v>6.6474000000000002</v>
      </c>
    </row>
    <row r="65" spans="1:17" x14ac:dyDescent="0.2">
      <c r="A65" s="116"/>
      <c r="B65" s="163">
        <f t="shared" si="4"/>
        <v>42522</v>
      </c>
      <c r="C65" s="166">
        <v>1</v>
      </c>
      <c r="D65" s="164">
        <f t="shared" si="0"/>
        <v>1.1157999999999999</v>
      </c>
      <c r="E65" s="164">
        <f t="shared" si="1"/>
        <v>1.4446000000000001</v>
      </c>
      <c r="F65" s="165">
        <f t="shared" si="2"/>
        <v>109.54</v>
      </c>
      <c r="G65" s="144">
        <f t="shared" si="5"/>
        <v>9.1290852656563809E-3</v>
      </c>
      <c r="H65" s="164">
        <f t="shared" si="3"/>
        <v>6.5891000000000002</v>
      </c>
      <c r="I65" s="225">
        <f t="shared" si="6"/>
        <v>0.15176579502511722</v>
      </c>
      <c r="L65" s="19"/>
      <c r="M65" s="159">
        <v>42548</v>
      </c>
      <c r="N65" s="213">
        <v>1.1013999999999999</v>
      </c>
      <c r="O65" s="213">
        <v>1.321</v>
      </c>
      <c r="P65" s="202">
        <v>101.57</v>
      </c>
      <c r="Q65" s="208">
        <v>6.6814999999999998</v>
      </c>
    </row>
    <row r="66" spans="1:17" x14ac:dyDescent="0.2">
      <c r="A66" s="116"/>
      <c r="B66" s="163">
        <f t="shared" si="4"/>
        <v>42521</v>
      </c>
      <c r="C66" s="166">
        <v>1</v>
      </c>
      <c r="D66" s="164">
        <f t="shared" si="0"/>
        <v>1.1151</v>
      </c>
      <c r="E66" s="164">
        <f t="shared" si="1"/>
        <v>1.4618</v>
      </c>
      <c r="F66" s="165">
        <f t="shared" si="2"/>
        <v>111.08</v>
      </c>
      <c r="G66" s="144">
        <f t="shared" si="5"/>
        <v>9.0025207057976234E-3</v>
      </c>
      <c r="H66" s="164">
        <f t="shared" si="3"/>
        <v>6.5870999999999995</v>
      </c>
      <c r="I66" s="225">
        <f t="shared" si="6"/>
        <v>0.15181187472484098</v>
      </c>
      <c r="L66" s="192" t="s">
        <v>56</v>
      </c>
      <c r="M66" s="160">
        <v>42549</v>
      </c>
      <c r="N66" s="214">
        <v>1.1089</v>
      </c>
      <c r="O66" s="214">
        <v>1.3340000000000001</v>
      </c>
      <c r="P66" s="204">
        <v>102.33</v>
      </c>
      <c r="Q66" s="209">
        <v>6.6761999999999997</v>
      </c>
    </row>
    <row r="67" spans="1:17" x14ac:dyDescent="0.2">
      <c r="A67" s="116"/>
      <c r="B67" s="163">
        <f t="shared" si="4"/>
        <v>42520</v>
      </c>
      <c r="C67" s="166">
        <v>1</v>
      </c>
      <c r="D67" s="164">
        <f t="shared" si="0"/>
        <v>1.1140000000000001</v>
      </c>
      <c r="E67" s="164">
        <f t="shared" si="1"/>
        <v>1.4601999999999999</v>
      </c>
      <c r="F67" s="165">
        <f t="shared" si="2"/>
        <v>111.11</v>
      </c>
      <c r="G67" s="144">
        <f t="shared" si="5"/>
        <v>9.0000900009000098E-3</v>
      </c>
      <c r="H67" s="164">
        <f t="shared" si="3"/>
        <v>6.5903</v>
      </c>
      <c r="I67" s="225">
        <f t="shared" si="6"/>
        <v>0.15173816063001686</v>
      </c>
      <c r="M67" s="159">
        <v>42550</v>
      </c>
      <c r="N67" s="213">
        <v>1.1089</v>
      </c>
      <c r="O67" s="213">
        <v>1.3422000000000001</v>
      </c>
      <c r="P67" s="202">
        <v>102.7</v>
      </c>
      <c r="Q67" s="208">
        <v>6.6614000000000004</v>
      </c>
    </row>
    <row r="68" spans="1:17" x14ac:dyDescent="0.2">
      <c r="A68" s="116"/>
      <c r="B68" s="163">
        <f t="shared" si="4"/>
        <v>42517</v>
      </c>
      <c r="C68" s="166">
        <v>1</v>
      </c>
      <c r="D68" s="164">
        <f t="shared" si="0"/>
        <v>1.1176999999999999</v>
      </c>
      <c r="E68" s="164">
        <f t="shared" si="1"/>
        <v>1.4654</v>
      </c>
      <c r="F68" s="165">
        <f t="shared" si="2"/>
        <v>109.62</v>
      </c>
      <c r="G68" s="144">
        <f t="shared" si="5"/>
        <v>9.1224229155263629E-3</v>
      </c>
      <c r="H68" s="164">
        <f t="shared" si="3"/>
        <v>6.5682</v>
      </c>
      <c r="I68" s="225">
        <f t="shared" si="6"/>
        <v>0.15224871349837094</v>
      </c>
      <c r="M68" s="159">
        <v>42551</v>
      </c>
      <c r="N68" s="213">
        <v>1.1145</v>
      </c>
      <c r="O68" s="213">
        <v>1.3488</v>
      </c>
      <c r="P68" s="202">
        <v>102.81</v>
      </c>
      <c r="Q68" s="208">
        <v>6.6645000000000003</v>
      </c>
    </row>
    <row r="69" spans="1:17" x14ac:dyDescent="0.2">
      <c r="A69" s="116"/>
      <c r="B69" s="163">
        <f t="shared" si="4"/>
        <v>42516</v>
      </c>
      <c r="C69" s="166">
        <v>1</v>
      </c>
      <c r="D69" s="164">
        <f t="shared" si="0"/>
        <v>1.1178999999999999</v>
      </c>
      <c r="E69" s="164">
        <f t="shared" si="1"/>
        <v>1.4695</v>
      </c>
      <c r="F69" s="165">
        <f t="shared" si="2"/>
        <v>109.99</v>
      </c>
      <c r="G69" s="144">
        <f t="shared" si="5"/>
        <v>9.0917356123283947E-3</v>
      </c>
      <c r="H69" s="164">
        <f t="shared" si="3"/>
        <v>6.5609000000000002</v>
      </c>
      <c r="I69" s="225">
        <f t="shared" si="6"/>
        <v>0.15241811336859271</v>
      </c>
      <c r="M69" s="159">
        <v>42552</v>
      </c>
      <c r="N69" s="213">
        <v>1.1125</v>
      </c>
      <c r="O69" s="213">
        <v>1.3288</v>
      </c>
      <c r="P69" s="202">
        <v>102.65</v>
      </c>
      <c r="Q69" s="208">
        <v>6.6703999999999999</v>
      </c>
    </row>
    <row r="70" spans="1:17" x14ac:dyDescent="0.2">
      <c r="A70" s="116"/>
      <c r="B70" s="163">
        <f t="shared" si="4"/>
        <v>42515</v>
      </c>
      <c r="C70" s="166">
        <v>1</v>
      </c>
      <c r="D70" s="164">
        <f t="shared" si="0"/>
        <v>1.1144000000000001</v>
      </c>
      <c r="E70" s="164">
        <f t="shared" si="1"/>
        <v>1.4661999999999999</v>
      </c>
      <c r="F70" s="165">
        <f t="shared" si="2"/>
        <v>110.21</v>
      </c>
      <c r="G70" s="144">
        <f t="shared" si="5"/>
        <v>9.0735867888576353E-3</v>
      </c>
      <c r="H70" s="164">
        <f t="shared" si="3"/>
        <v>6.5655000000000001</v>
      </c>
      <c r="I70" s="225">
        <f t="shared" si="6"/>
        <v>0.1523113243469652</v>
      </c>
      <c r="M70" s="159">
        <v>42555</v>
      </c>
      <c r="N70" s="213">
        <v>1.1123000000000001</v>
      </c>
      <c r="O70" s="213">
        <v>1.3259000000000001</v>
      </c>
      <c r="P70" s="202">
        <v>102.63</v>
      </c>
      <c r="Q70" s="208">
        <v>6.6778000000000004</v>
      </c>
    </row>
    <row r="71" spans="1:17" x14ac:dyDescent="0.2">
      <c r="A71" s="116"/>
      <c r="B71" s="163">
        <f t="shared" si="4"/>
        <v>42514</v>
      </c>
      <c r="C71" s="166">
        <v>1</v>
      </c>
      <c r="D71" s="164">
        <f t="shared" si="0"/>
        <v>1.1182000000000001</v>
      </c>
      <c r="E71" s="164">
        <f t="shared" si="1"/>
        <v>1.4601999999999999</v>
      </c>
      <c r="F71" s="165">
        <f t="shared" si="2"/>
        <v>109.61</v>
      </c>
      <c r="G71" s="144">
        <f t="shared" si="5"/>
        <v>9.123255177447314E-3</v>
      </c>
      <c r="H71" s="164">
        <f t="shared" si="3"/>
        <v>6.5647000000000002</v>
      </c>
      <c r="I71" s="225">
        <f t="shared" si="6"/>
        <v>0.1523298856002559</v>
      </c>
      <c r="M71" s="159">
        <v>42556</v>
      </c>
      <c r="N71" s="213">
        <v>1.1153999999999999</v>
      </c>
      <c r="O71" s="213">
        <v>1.3160000000000001</v>
      </c>
      <c r="P71" s="202">
        <v>101.72</v>
      </c>
      <c r="Q71" s="208">
        <v>6.6874000000000002</v>
      </c>
    </row>
    <row r="72" spans="1:17" x14ac:dyDescent="0.2">
      <c r="B72" s="163">
        <f t="shared" si="4"/>
        <v>42513</v>
      </c>
      <c r="C72" s="166">
        <v>1</v>
      </c>
      <c r="D72" s="164">
        <f t="shared" si="0"/>
        <v>1.1207</v>
      </c>
      <c r="E72" s="164">
        <f t="shared" si="1"/>
        <v>1.4469000000000001</v>
      </c>
      <c r="F72" s="165">
        <f t="shared" si="2"/>
        <v>109.46</v>
      </c>
      <c r="G72" s="144">
        <f t="shared" si="5"/>
        <v>9.1357573542846706E-3</v>
      </c>
      <c r="H72" s="164">
        <f t="shared" si="3"/>
        <v>6.5628000000000002</v>
      </c>
      <c r="I72" s="225">
        <f t="shared" si="6"/>
        <v>0.15237398671298835</v>
      </c>
      <c r="M72" s="159">
        <v>42557</v>
      </c>
      <c r="N72" s="213">
        <v>1.1067</v>
      </c>
      <c r="O72" s="213">
        <v>1.2981</v>
      </c>
      <c r="P72" s="202">
        <v>100.3</v>
      </c>
      <c r="Q72" s="208">
        <v>6.6997999999999998</v>
      </c>
    </row>
    <row r="73" spans="1:17" x14ac:dyDescent="0.2">
      <c r="B73" s="163">
        <f t="shared" si="4"/>
        <v>42510</v>
      </c>
      <c r="C73" s="166">
        <v>1</v>
      </c>
      <c r="D73" s="164">
        <f t="shared" si="0"/>
        <v>1.1214</v>
      </c>
      <c r="E73" s="164">
        <f t="shared" si="1"/>
        <v>1.4579</v>
      </c>
      <c r="F73" s="165">
        <f t="shared" si="2"/>
        <v>110.35</v>
      </c>
      <c r="G73" s="144">
        <f t="shared" si="5"/>
        <v>9.0620752152242873E-3</v>
      </c>
      <c r="H73" s="164">
        <f t="shared" si="3"/>
        <v>6.5644</v>
      </c>
      <c r="I73" s="225">
        <f t="shared" si="6"/>
        <v>0.15233684723660959</v>
      </c>
      <c r="M73" s="159">
        <v>42558</v>
      </c>
      <c r="N73" s="213">
        <v>1.1083000000000001</v>
      </c>
      <c r="O73" s="213">
        <v>1.3030999999999999</v>
      </c>
      <c r="P73" s="202">
        <v>101.08</v>
      </c>
      <c r="Q73" s="208">
        <v>6.6933999999999996</v>
      </c>
    </row>
    <row r="74" spans="1:17" x14ac:dyDescent="0.2">
      <c r="B74" s="163">
        <f t="shared" si="4"/>
        <v>42509</v>
      </c>
      <c r="C74" s="166">
        <v>1</v>
      </c>
      <c r="D74" s="164">
        <f t="shared" si="0"/>
        <v>1.1203000000000001</v>
      </c>
      <c r="E74" s="164">
        <f t="shared" si="1"/>
        <v>1.4636</v>
      </c>
      <c r="F74" s="165">
        <f t="shared" si="2"/>
        <v>109.93</v>
      </c>
      <c r="G74" s="144">
        <f t="shared" si="5"/>
        <v>9.0966978986627856E-3</v>
      </c>
      <c r="H74" s="164">
        <f t="shared" si="3"/>
        <v>6.5667999999999997</v>
      </c>
      <c r="I74" s="225">
        <f t="shared" si="6"/>
        <v>0.15228117195589938</v>
      </c>
      <c r="M74" s="159">
        <v>42559</v>
      </c>
      <c r="N74" s="213">
        <v>1.1065</v>
      </c>
      <c r="O74" s="213">
        <v>1.2983</v>
      </c>
      <c r="P74" s="202">
        <v>100.49</v>
      </c>
      <c r="Q74" s="208">
        <v>6.6993</v>
      </c>
    </row>
    <row r="75" spans="1:17" x14ac:dyDescent="0.2">
      <c r="B75" s="163">
        <f t="shared" si="4"/>
        <v>42508</v>
      </c>
      <c r="C75" s="166">
        <v>1</v>
      </c>
      <c r="D75" s="164">
        <f t="shared" si="0"/>
        <v>1.1273</v>
      </c>
      <c r="E75" s="164">
        <f t="shared" si="1"/>
        <v>1.4481999999999999</v>
      </c>
      <c r="F75" s="165">
        <f t="shared" si="2"/>
        <v>109.44</v>
      </c>
      <c r="G75" s="144">
        <f t="shared" si="5"/>
        <v>9.1374269005847948E-3</v>
      </c>
      <c r="H75" s="164">
        <f t="shared" si="3"/>
        <v>6.5579000000000001</v>
      </c>
      <c r="I75" s="225">
        <f t="shared" si="6"/>
        <v>0.15248783909483218</v>
      </c>
      <c r="M75" s="159">
        <v>42562</v>
      </c>
      <c r="N75" s="213">
        <v>1.1048</v>
      </c>
      <c r="O75" s="213">
        <v>1.2981</v>
      </c>
      <c r="P75" s="202">
        <v>102.37</v>
      </c>
      <c r="Q75" s="208">
        <v>6.7020999999999997</v>
      </c>
    </row>
    <row r="76" spans="1:17" x14ac:dyDescent="0.2">
      <c r="B76" s="163">
        <f t="shared" si="4"/>
        <v>42507</v>
      </c>
      <c r="C76" s="166">
        <v>1</v>
      </c>
      <c r="D76" s="164">
        <f t="shared" si="0"/>
        <v>1.1321000000000001</v>
      </c>
      <c r="E76" s="164">
        <f t="shared" si="1"/>
        <v>1.4475</v>
      </c>
      <c r="F76" s="165">
        <f t="shared" si="2"/>
        <v>109.52</v>
      </c>
      <c r="G76" s="144">
        <f t="shared" si="5"/>
        <v>9.1307523739956181E-3</v>
      </c>
      <c r="H76" s="164">
        <f t="shared" si="3"/>
        <v>6.5456000000000003</v>
      </c>
      <c r="I76" s="225">
        <f t="shared" si="6"/>
        <v>0.15277438279149352</v>
      </c>
      <c r="M76" s="159">
        <v>42563</v>
      </c>
      <c r="N76" s="213">
        <v>1.1093</v>
      </c>
      <c r="O76" s="213">
        <v>1.3161</v>
      </c>
      <c r="P76" s="202">
        <v>103.76</v>
      </c>
      <c r="Q76" s="208">
        <v>6.6985000000000001</v>
      </c>
    </row>
    <row r="77" spans="1:17" x14ac:dyDescent="0.2">
      <c r="B77" s="163">
        <f t="shared" si="4"/>
        <v>42506</v>
      </c>
      <c r="C77" s="166">
        <v>1</v>
      </c>
      <c r="D77" s="164">
        <f t="shared" si="0"/>
        <v>1.1324000000000001</v>
      </c>
      <c r="E77" s="164">
        <f t="shared" si="1"/>
        <v>1.4351</v>
      </c>
      <c r="F77" s="165">
        <f t="shared" si="2"/>
        <v>108.82</v>
      </c>
      <c r="G77" s="144">
        <f t="shared" si="5"/>
        <v>9.189487226612756E-3</v>
      </c>
      <c r="H77" s="164">
        <f t="shared" si="3"/>
        <v>6.5466999999999995</v>
      </c>
      <c r="I77" s="225">
        <f t="shared" si="6"/>
        <v>0.1527487130920922</v>
      </c>
      <c r="M77" s="159">
        <v>42564</v>
      </c>
      <c r="N77" s="213">
        <v>1.1085</v>
      </c>
      <c r="O77" s="213">
        <v>1.3297000000000001</v>
      </c>
      <c r="P77" s="202">
        <v>104.82</v>
      </c>
      <c r="Q77" s="208">
        <v>6.6952999999999996</v>
      </c>
    </row>
    <row r="78" spans="1:17" x14ac:dyDescent="0.2">
      <c r="B78" s="163">
        <f t="shared" si="4"/>
        <v>42503</v>
      </c>
      <c r="C78" s="166">
        <v>1</v>
      </c>
      <c r="D78" s="164">
        <f t="shared" si="0"/>
        <v>1.1345000000000001</v>
      </c>
      <c r="E78" s="164">
        <f t="shared" si="1"/>
        <v>1.4412</v>
      </c>
      <c r="F78" s="165">
        <f t="shared" si="2"/>
        <v>108.91</v>
      </c>
      <c r="G78" s="144">
        <f t="shared" si="5"/>
        <v>9.1818933063997805E-3</v>
      </c>
      <c r="H78" s="164">
        <f t="shared" si="3"/>
        <v>6.5456000000000003</v>
      </c>
      <c r="I78" s="225">
        <f t="shared" si="6"/>
        <v>0.15277438279149352</v>
      </c>
      <c r="M78" s="159">
        <v>42565</v>
      </c>
      <c r="N78" s="213">
        <v>1.1104000000000001</v>
      </c>
      <c r="O78" s="213">
        <v>1.3220000000000001</v>
      </c>
      <c r="P78" s="202">
        <v>105.42</v>
      </c>
      <c r="Q78" s="208">
        <v>6.6958000000000002</v>
      </c>
    </row>
    <row r="79" spans="1:17" x14ac:dyDescent="0.2">
      <c r="B79" s="163">
        <f t="shared" si="4"/>
        <v>42502</v>
      </c>
      <c r="C79" s="166">
        <v>1</v>
      </c>
      <c r="D79" s="164">
        <f t="shared" si="0"/>
        <v>1.1391</v>
      </c>
      <c r="E79" s="164">
        <f t="shared" si="1"/>
        <v>1.4443999999999999</v>
      </c>
      <c r="F79" s="165">
        <f t="shared" si="2"/>
        <v>109.21</v>
      </c>
      <c r="G79" s="144">
        <f t="shared" si="5"/>
        <v>9.1566706345572752E-3</v>
      </c>
      <c r="H79" s="164">
        <f t="shared" si="3"/>
        <v>6.5468999999999999</v>
      </c>
      <c r="I79" s="225">
        <f t="shared" si="6"/>
        <v>0.15274404680077594</v>
      </c>
      <c r="M79" s="159">
        <v>42566</v>
      </c>
      <c r="N79" s="213">
        <v>1.1136999999999999</v>
      </c>
      <c r="O79" s="213">
        <v>1.3371999999999999</v>
      </c>
      <c r="P79" s="202">
        <v>105.77</v>
      </c>
      <c r="Q79" s="208">
        <v>6.6933999999999996</v>
      </c>
    </row>
    <row r="80" spans="1:17" x14ac:dyDescent="0.2">
      <c r="B80" s="163">
        <f t="shared" si="4"/>
        <v>42501</v>
      </c>
      <c r="C80" s="166">
        <v>1</v>
      </c>
      <c r="D80" s="164">
        <f t="shared" si="0"/>
        <v>1.1395</v>
      </c>
      <c r="E80" s="164">
        <f t="shared" si="1"/>
        <v>1.4423999999999999</v>
      </c>
      <c r="F80" s="165">
        <f t="shared" si="2"/>
        <v>108.76</v>
      </c>
      <c r="G80" s="144">
        <f t="shared" si="5"/>
        <v>9.1945568223611614E-3</v>
      </c>
      <c r="H80" s="164">
        <f t="shared" si="3"/>
        <v>6.5339999999999998</v>
      </c>
      <c r="I80" s="225">
        <f t="shared" si="6"/>
        <v>0.15304560759106214</v>
      </c>
      <c r="M80" s="159">
        <v>42569</v>
      </c>
      <c r="N80" s="213">
        <v>1.1049</v>
      </c>
      <c r="O80" s="213">
        <v>1.3232999999999999</v>
      </c>
      <c r="P80" s="202">
        <v>105.61</v>
      </c>
      <c r="Q80" s="208">
        <v>6.7134</v>
      </c>
    </row>
    <row r="81" spans="1:17" x14ac:dyDescent="0.2">
      <c r="B81" s="163">
        <f t="shared" si="4"/>
        <v>42500</v>
      </c>
      <c r="C81" s="166">
        <v>1</v>
      </c>
      <c r="D81" s="164">
        <f t="shared" si="0"/>
        <v>1.1363000000000001</v>
      </c>
      <c r="E81" s="164">
        <f t="shared" si="1"/>
        <v>1.4422999999999999</v>
      </c>
      <c r="F81" s="165">
        <f t="shared" si="2"/>
        <v>109.17</v>
      </c>
      <c r="G81" s="144">
        <f t="shared" si="5"/>
        <v>9.1600256480718137E-3</v>
      </c>
      <c r="H81" s="164">
        <f t="shared" si="3"/>
        <v>6.5434000000000001</v>
      </c>
      <c r="I81" s="225">
        <f t="shared" si="6"/>
        <v>0.15282574808203686</v>
      </c>
      <c r="M81" s="159">
        <v>42570</v>
      </c>
      <c r="N81" s="213">
        <v>1.1059000000000001</v>
      </c>
      <c r="O81" s="213">
        <v>1.3168</v>
      </c>
      <c r="P81" s="202">
        <v>106.11</v>
      </c>
      <c r="Q81" s="208">
        <v>6.7043999999999997</v>
      </c>
    </row>
    <row r="82" spans="1:17" x14ac:dyDescent="0.2">
      <c r="B82" s="163">
        <f t="shared" si="4"/>
        <v>42499</v>
      </c>
      <c r="C82" s="166">
        <v>1</v>
      </c>
      <c r="D82" s="164">
        <f t="shared" si="0"/>
        <v>1.139</v>
      </c>
      <c r="E82" s="164">
        <f t="shared" si="1"/>
        <v>1.4443999999999999</v>
      </c>
      <c r="F82" s="165">
        <f t="shared" si="2"/>
        <v>108.01</v>
      </c>
      <c r="G82" s="144">
        <f t="shared" si="5"/>
        <v>9.2584019998148311E-3</v>
      </c>
      <c r="H82" s="164">
        <f t="shared" si="3"/>
        <v>6.5282999999999998</v>
      </c>
      <c r="I82" s="225">
        <f t="shared" si="6"/>
        <v>0.15317923502290029</v>
      </c>
      <c r="M82" s="159">
        <v>42571</v>
      </c>
      <c r="N82" s="213">
        <v>1.1011</v>
      </c>
      <c r="O82" s="213">
        <v>1.3169999999999999</v>
      </c>
      <c r="P82" s="202">
        <v>106.55</v>
      </c>
      <c r="Q82" s="208">
        <v>6.6807999999999996</v>
      </c>
    </row>
    <row r="83" spans="1:17" x14ac:dyDescent="0.2">
      <c r="B83" s="163">
        <f t="shared" si="4"/>
        <v>42496</v>
      </c>
      <c r="C83" s="166">
        <v>1</v>
      </c>
      <c r="D83" s="164">
        <f t="shared" si="0"/>
        <v>1.1425000000000001</v>
      </c>
      <c r="E83" s="164">
        <f t="shared" si="1"/>
        <v>1.4504999999999999</v>
      </c>
      <c r="F83" s="165">
        <f t="shared" si="2"/>
        <v>106.98</v>
      </c>
      <c r="G83" s="144">
        <f t="shared" si="5"/>
        <v>9.3475415965601043E-3</v>
      </c>
      <c r="H83" s="164">
        <f t="shared" si="3"/>
        <v>6.5133999999999999</v>
      </c>
      <c r="I83" s="225">
        <f t="shared" si="6"/>
        <v>0.1535296465747536</v>
      </c>
      <c r="M83" s="159">
        <v>42572</v>
      </c>
      <c r="N83" s="213">
        <v>1.1015999999999999</v>
      </c>
      <c r="O83" s="213">
        <v>1.3185</v>
      </c>
      <c r="P83" s="202">
        <v>106.32</v>
      </c>
      <c r="Q83" s="208">
        <v>6.6794000000000002</v>
      </c>
    </row>
    <row r="84" spans="1:17" x14ac:dyDescent="0.2">
      <c r="B84" s="163">
        <f t="shared" si="4"/>
        <v>42495</v>
      </c>
      <c r="C84" s="166">
        <v>1</v>
      </c>
      <c r="D84" s="164">
        <f t="shared" si="0"/>
        <v>1.1426000000000001</v>
      </c>
      <c r="E84" s="164">
        <f t="shared" si="1"/>
        <v>1.4460999999999999</v>
      </c>
      <c r="F84" s="165">
        <f t="shared" si="2"/>
        <v>107.28</v>
      </c>
      <c r="G84" s="144">
        <f t="shared" si="5"/>
        <v>9.3214019388516024E-3</v>
      </c>
      <c r="H84" s="164">
        <f t="shared" si="3"/>
        <v>6.5189000000000004</v>
      </c>
      <c r="I84" s="225">
        <f t="shared" si="6"/>
        <v>0.15340011351608399</v>
      </c>
      <c r="M84" s="159">
        <v>42573</v>
      </c>
      <c r="N84" s="215">
        <v>1.1015999999999999</v>
      </c>
      <c r="O84" s="215">
        <v>1.3107</v>
      </c>
      <c r="P84" s="205">
        <v>106.15</v>
      </c>
      <c r="Q84" s="210">
        <v>6.6807999999999996</v>
      </c>
    </row>
    <row r="85" spans="1:17" x14ac:dyDescent="0.2">
      <c r="B85" s="163">
        <f t="shared" si="4"/>
        <v>42494</v>
      </c>
      <c r="C85" s="166">
        <v>1</v>
      </c>
      <c r="D85" s="164">
        <f t="shared" si="0"/>
        <v>1.1485000000000001</v>
      </c>
      <c r="E85" s="164">
        <f t="shared" si="1"/>
        <v>1.448</v>
      </c>
      <c r="F85" s="165">
        <f t="shared" si="2"/>
        <v>106.72</v>
      </c>
      <c r="G85" s="144">
        <f t="shared" si="5"/>
        <v>9.370314842578711E-3</v>
      </c>
      <c r="H85" s="164">
        <f t="shared" si="3"/>
        <v>6.5155000000000003</v>
      </c>
      <c r="I85" s="225">
        <f t="shared" si="6"/>
        <v>0.15348016268897244</v>
      </c>
      <c r="M85" s="159">
        <v>42576</v>
      </c>
      <c r="N85" s="216">
        <v>1.0989</v>
      </c>
      <c r="O85" s="216">
        <v>1.3130999999999999</v>
      </c>
      <c r="P85" s="206">
        <v>106.29</v>
      </c>
      <c r="Q85" s="211">
        <v>6.6875999999999998</v>
      </c>
    </row>
    <row r="86" spans="1:17" x14ac:dyDescent="0.2">
      <c r="B86" s="163">
        <f t="shared" si="4"/>
        <v>42493</v>
      </c>
      <c r="C86" s="166">
        <v>1</v>
      </c>
      <c r="D86" s="164">
        <f t="shared" si="0"/>
        <v>1.1579999999999999</v>
      </c>
      <c r="E86" s="164">
        <f t="shared" si="1"/>
        <v>1.4672000000000001</v>
      </c>
      <c r="F86" s="165">
        <f t="shared" si="2"/>
        <v>105.84</v>
      </c>
      <c r="G86" s="144">
        <f t="shared" si="5"/>
        <v>9.4482237339380201E-3</v>
      </c>
      <c r="H86" s="164">
        <f t="shared" si="3"/>
        <v>6.4908000000000001</v>
      </c>
      <c r="I86" s="225">
        <f t="shared" si="6"/>
        <v>0.15406421396438036</v>
      </c>
      <c r="M86" s="159">
        <v>42577</v>
      </c>
      <c r="N86" s="216"/>
      <c r="O86" s="216"/>
      <c r="P86" s="206"/>
      <c r="Q86" s="211"/>
    </row>
    <row r="87" spans="1:17" x14ac:dyDescent="0.2">
      <c r="B87" s="163">
        <f>IF(B86=$E$22,"",WORKDAY(B86,-1))</f>
        <v>42492</v>
      </c>
      <c r="C87" s="166">
        <f t="shared" ref="C87:C91" si="7">IF(B87="","",1)</f>
        <v>1</v>
      </c>
      <c r="D87" s="164">
        <f t="shared" ref="D87:D91" si="8">IF(B87="","",VLOOKUP(B87,$M:$Q,2,FALSE))</f>
        <v>1.1513</v>
      </c>
      <c r="E87" s="164">
        <f t="shared" ref="E87:E91" si="9">IF(B87="","",VLOOKUP(B87,$M:$Q,3,FALSE))</f>
        <v>1.4661999999999999</v>
      </c>
      <c r="F87" s="165">
        <f t="shared" ref="F87:F91" si="10">IF(B87="","",VLOOKUP(B87,$M:$Q,4,FALSE))</f>
        <v>106.5</v>
      </c>
      <c r="G87" s="144">
        <f t="shared" ref="G87:G91" si="11">IF(B87="","",1/F87)</f>
        <v>9.3896713615023476E-3</v>
      </c>
      <c r="H87" s="164">
        <f t="shared" ref="H87:H91" si="12">IF(B87="","",VLOOKUP(B87,$M:$Q,5,FALSE))</f>
        <v>6.4835000000000003</v>
      </c>
      <c r="I87" s="225">
        <f t="shared" ref="I87:I91" si="13">IF(B87="","",1/H87)</f>
        <v>0.15423768026528881</v>
      </c>
      <c r="J87" s="2" t="str">
        <f>IF(B88="",IF(B87=$E$22,"TRUE","FALSE"),"")</f>
        <v/>
      </c>
      <c r="K87" s="261" t="s">
        <v>48</v>
      </c>
      <c r="M87" s="159">
        <v>42578</v>
      </c>
      <c r="N87" s="216"/>
      <c r="O87" s="216"/>
      <c r="P87" s="206"/>
      <c r="Q87" s="211"/>
    </row>
    <row r="88" spans="1:17" x14ac:dyDescent="0.2">
      <c r="B88" s="163">
        <f t="shared" ref="B88:B92" si="14">IF(B87=$E$22,"",WORKDAY(B87,-1))</f>
        <v>42489</v>
      </c>
      <c r="C88" s="166">
        <f t="shared" si="7"/>
        <v>1</v>
      </c>
      <c r="D88" s="164">
        <f t="shared" si="8"/>
        <v>1.1395999999999999</v>
      </c>
      <c r="E88" s="164">
        <f t="shared" si="9"/>
        <v>1.4614</v>
      </c>
      <c r="F88" s="165">
        <f t="shared" si="10"/>
        <v>107.02</v>
      </c>
      <c r="G88" s="144">
        <f t="shared" si="11"/>
        <v>9.3440478415249481E-3</v>
      </c>
      <c r="H88" s="164">
        <f t="shared" si="12"/>
        <v>6.4885999999999999</v>
      </c>
      <c r="I88" s="225">
        <f t="shared" si="13"/>
        <v>0.15411645038991462</v>
      </c>
      <c r="J88" s="2" t="str">
        <f t="shared" ref="J88:J90" si="15">IF(B89="",IF(B88=$E$22,"TRUE","FALSE"),"")</f>
        <v/>
      </c>
      <c r="K88" s="261"/>
      <c r="M88" s="159">
        <v>42579</v>
      </c>
      <c r="N88" s="216"/>
      <c r="O88" s="216"/>
      <c r="P88" s="206"/>
      <c r="Q88" s="211"/>
    </row>
    <row r="89" spans="1:17" x14ac:dyDescent="0.2">
      <c r="B89" s="163">
        <f t="shared" si="14"/>
        <v>42488</v>
      </c>
      <c r="C89" s="166">
        <f t="shared" si="7"/>
        <v>1</v>
      </c>
      <c r="D89" s="164">
        <f t="shared" si="8"/>
        <v>1.1347</v>
      </c>
      <c r="E89" s="164">
        <f t="shared" si="9"/>
        <v>1.4552</v>
      </c>
      <c r="F89" s="165">
        <f t="shared" si="10"/>
        <v>108.08</v>
      </c>
      <c r="G89" s="144">
        <f t="shared" si="11"/>
        <v>9.2524056254626209E-3</v>
      </c>
      <c r="H89" s="164">
        <f t="shared" si="12"/>
        <v>6.4856999999999996</v>
      </c>
      <c r="I89" s="225">
        <f t="shared" si="13"/>
        <v>0.15418536164176574</v>
      </c>
      <c r="J89" s="2" t="str">
        <f t="shared" si="15"/>
        <v/>
      </c>
      <c r="K89" s="261"/>
      <c r="M89" s="159">
        <v>42580</v>
      </c>
      <c r="N89" s="216"/>
      <c r="O89" s="216"/>
      <c r="P89" s="206"/>
      <c r="Q89" s="211"/>
    </row>
    <row r="90" spans="1:17" x14ac:dyDescent="0.2">
      <c r="B90" s="163">
        <f t="shared" si="14"/>
        <v>42487</v>
      </c>
      <c r="C90" s="166">
        <f t="shared" si="7"/>
        <v>1</v>
      </c>
      <c r="D90" s="164">
        <f t="shared" si="8"/>
        <v>1.1309</v>
      </c>
      <c r="E90" s="164">
        <f t="shared" si="9"/>
        <v>1.4608000000000001</v>
      </c>
      <c r="F90" s="165">
        <f t="shared" si="10"/>
        <v>111.24</v>
      </c>
      <c r="G90" s="144">
        <f t="shared" si="11"/>
        <v>8.9895720963682132E-3</v>
      </c>
      <c r="H90" s="164">
        <f t="shared" si="12"/>
        <v>6.5061999999999998</v>
      </c>
      <c r="I90" s="225">
        <f t="shared" si="13"/>
        <v>0.15369954812332853</v>
      </c>
      <c r="J90" s="2" t="str">
        <f t="shared" si="15"/>
        <v/>
      </c>
      <c r="K90" s="261"/>
      <c r="M90" s="159">
        <v>42583</v>
      </c>
      <c r="N90" s="216"/>
      <c r="O90" s="216"/>
      <c r="P90" s="206"/>
      <c r="Q90" s="211"/>
    </row>
    <row r="91" spans="1:17" x14ac:dyDescent="0.2">
      <c r="B91" s="163">
        <f t="shared" si="14"/>
        <v>42486</v>
      </c>
      <c r="C91" s="166">
        <f t="shared" si="7"/>
        <v>1</v>
      </c>
      <c r="D91" s="164">
        <f t="shared" si="8"/>
        <v>1.1284000000000001</v>
      </c>
      <c r="E91" s="164">
        <f t="shared" si="9"/>
        <v>1.4564999999999999</v>
      </c>
      <c r="F91" s="165">
        <f t="shared" si="10"/>
        <v>110.9</v>
      </c>
      <c r="G91" s="144">
        <f t="shared" si="11"/>
        <v>9.017132551848512E-3</v>
      </c>
      <c r="H91" s="164">
        <f t="shared" si="12"/>
        <v>6.5049000000000001</v>
      </c>
      <c r="I91" s="225">
        <f t="shared" si="13"/>
        <v>0.15373026487724639</v>
      </c>
      <c r="J91" s="2" t="str">
        <f>IF(B92="",IF(B91=$E$22,"TRUE","FALSE"),"")</f>
        <v>TRUE</v>
      </c>
      <c r="K91" s="261"/>
      <c r="M91" s="159">
        <v>42584</v>
      </c>
      <c r="N91" s="216"/>
      <c r="O91" s="216"/>
      <c r="P91" s="206"/>
      <c r="Q91" s="211"/>
    </row>
    <row r="92" spans="1:17" x14ac:dyDescent="0.2">
      <c r="B92" s="163" t="str">
        <f t="shared" si="14"/>
        <v/>
      </c>
      <c r="C92" s="166" t="str">
        <f>IF(B92="","",1)</f>
        <v/>
      </c>
      <c r="D92" s="164" t="str">
        <f>IF(B92="","",VLOOKUP(B92,$M:$Q,2,FALSE))</f>
        <v/>
      </c>
      <c r="E92" s="164" t="str">
        <f>IF(B92="","",VLOOKUP(B92,$M:$Q,3,FALSE))</f>
        <v/>
      </c>
      <c r="F92" s="165" t="str">
        <f>IF(B92="","",VLOOKUP(B92,$M:$Q,4,FALSE))</f>
        <v/>
      </c>
      <c r="G92" s="144" t="str">
        <f>IF(B92="","",1/F92)</f>
        <v/>
      </c>
      <c r="H92" s="164" t="str">
        <f>IF(B92="","",VLOOKUP(B92,$M:$Q,5,FALSE))</f>
        <v/>
      </c>
      <c r="I92" s="225" t="str">
        <f>IF(B92="","",1/H92)</f>
        <v/>
      </c>
      <c r="J92" s="2" t="str">
        <f>IF($E$22=B91-1,IF(B92=$E$22,"TRUE",FALSE),"")</f>
        <v/>
      </c>
      <c r="K92" s="261"/>
      <c r="M92" s="159">
        <v>42585</v>
      </c>
      <c r="N92" s="216"/>
      <c r="O92" s="216"/>
      <c r="P92" s="206"/>
      <c r="Q92" s="211"/>
    </row>
    <row r="93" spans="1:17" x14ac:dyDescent="0.2">
      <c r="A93" s="19"/>
      <c r="B93" s="151"/>
      <c r="C93" s="152"/>
      <c r="D93" s="153"/>
      <c r="E93" s="153"/>
      <c r="F93" s="154"/>
      <c r="G93" s="155"/>
      <c r="H93" s="153"/>
      <c r="I93" s="156"/>
      <c r="M93" s="159">
        <v>42586</v>
      </c>
      <c r="N93" s="216"/>
      <c r="O93" s="216"/>
      <c r="P93" s="206"/>
      <c r="Q93" s="211"/>
    </row>
    <row r="94" spans="1:17" x14ac:dyDescent="0.2">
      <c r="B94" s="150"/>
      <c r="C94" s="147"/>
      <c r="D94" s="140"/>
      <c r="E94" s="140"/>
      <c r="F94" s="141"/>
      <c r="G94" s="148"/>
      <c r="H94" s="140"/>
      <c r="I94" s="149"/>
      <c r="M94" s="159">
        <v>42587</v>
      </c>
      <c r="N94" s="216"/>
      <c r="O94" s="216"/>
      <c r="P94" s="206"/>
      <c r="Q94" s="211"/>
    </row>
    <row r="95" spans="1:17" x14ac:dyDescent="0.2">
      <c r="B95" s="14"/>
      <c r="M95" s="159">
        <v>42590</v>
      </c>
      <c r="N95" s="216"/>
      <c r="O95" s="216"/>
      <c r="P95" s="206"/>
      <c r="Q95" s="211"/>
    </row>
    <row r="96" spans="1:17" x14ac:dyDescent="0.2">
      <c r="B96" s="14"/>
      <c r="M96" s="159">
        <v>42591</v>
      </c>
      <c r="N96" s="216"/>
      <c r="O96" s="216"/>
      <c r="P96" s="206"/>
      <c r="Q96" s="211"/>
    </row>
    <row r="97" spans="2:17" x14ac:dyDescent="0.2">
      <c r="B97" s="14"/>
      <c r="M97" s="159">
        <v>42592</v>
      </c>
      <c r="N97" s="216"/>
      <c r="O97" s="216"/>
      <c r="P97" s="206"/>
      <c r="Q97" s="211"/>
    </row>
    <row r="98" spans="2:17" x14ac:dyDescent="0.2">
      <c r="B98" s="14"/>
      <c r="M98" s="159">
        <v>42593</v>
      </c>
      <c r="N98" s="216"/>
      <c r="O98" s="216"/>
      <c r="P98" s="206"/>
      <c r="Q98" s="211"/>
    </row>
    <row r="99" spans="2:17" x14ac:dyDescent="0.2">
      <c r="B99" s="14"/>
      <c r="M99" s="159">
        <v>42594</v>
      </c>
      <c r="N99" s="216"/>
      <c r="O99" s="216"/>
      <c r="P99" s="206"/>
      <c r="Q99" s="211"/>
    </row>
    <row r="100" spans="2:17" x14ac:dyDescent="0.2">
      <c r="B100" s="14"/>
      <c r="M100" s="159">
        <v>42597</v>
      </c>
      <c r="N100" s="216"/>
      <c r="O100" s="216"/>
      <c r="P100" s="206"/>
      <c r="Q100" s="211"/>
    </row>
    <row r="101" spans="2:17" x14ac:dyDescent="0.2">
      <c r="B101" s="14"/>
      <c r="M101" s="159">
        <v>42598</v>
      </c>
      <c r="N101" s="216"/>
      <c r="O101" s="216"/>
      <c r="P101" s="206"/>
      <c r="Q101" s="211"/>
    </row>
    <row r="102" spans="2:17" x14ac:dyDescent="0.2">
      <c r="B102" s="14"/>
      <c r="M102" s="159">
        <v>42599</v>
      </c>
      <c r="N102" s="216"/>
      <c r="O102" s="216"/>
      <c r="P102" s="206"/>
      <c r="Q102" s="211"/>
    </row>
    <row r="103" spans="2:17" x14ac:dyDescent="0.2">
      <c r="B103" s="14"/>
      <c r="M103" s="159">
        <v>42600</v>
      </c>
      <c r="N103" s="216"/>
      <c r="O103" s="216"/>
      <c r="P103" s="206"/>
      <c r="Q103" s="211"/>
    </row>
    <row r="104" spans="2:17" x14ac:dyDescent="0.2">
      <c r="B104" s="14"/>
      <c r="M104" s="159">
        <v>42601</v>
      </c>
      <c r="N104" s="216"/>
      <c r="O104" s="216"/>
      <c r="P104" s="206"/>
      <c r="Q104" s="211"/>
    </row>
    <row r="105" spans="2:17" x14ac:dyDescent="0.2">
      <c r="B105" s="14"/>
      <c r="M105" s="159">
        <v>42604</v>
      </c>
      <c r="N105" s="216"/>
      <c r="O105" s="216"/>
      <c r="P105" s="206"/>
      <c r="Q105" s="211"/>
    </row>
    <row r="106" spans="2:17" x14ac:dyDescent="0.2">
      <c r="B106" s="14"/>
      <c r="M106" s="159">
        <v>42605</v>
      </c>
      <c r="N106" s="216"/>
      <c r="O106" s="216"/>
      <c r="P106" s="206"/>
      <c r="Q106" s="211"/>
    </row>
    <row r="107" spans="2:17" x14ac:dyDescent="0.2">
      <c r="B107" s="14"/>
      <c r="M107" s="159">
        <v>42606</v>
      </c>
      <c r="N107" s="216"/>
      <c r="O107" s="216"/>
      <c r="P107" s="206"/>
      <c r="Q107" s="211"/>
    </row>
    <row r="108" spans="2:17" x14ac:dyDescent="0.2">
      <c r="B108" s="14"/>
      <c r="M108" s="159">
        <v>42607</v>
      </c>
      <c r="N108" s="216"/>
      <c r="O108" s="216"/>
      <c r="P108" s="206"/>
      <c r="Q108" s="211"/>
    </row>
    <row r="109" spans="2:17" x14ac:dyDescent="0.2">
      <c r="B109" s="14"/>
      <c r="M109" s="159">
        <v>42608</v>
      </c>
      <c r="N109" s="216"/>
      <c r="O109" s="216"/>
      <c r="P109" s="206"/>
      <c r="Q109" s="211"/>
    </row>
    <row r="110" spans="2:17" x14ac:dyDescent="0.2">
      <c r="B110" s="14"/>
      <c r="M110" s="159">
        <v>42611</v>
      </c>
      <c r="N110" s="216"/>
      <c r="O110" s="216"/>
      <c r="P110" s="206"/>
      <c r="Q110" s="211"/>
    </row>
    <row r="111" spans="2:17" x14ac:dyDescent="0.2">
      <c r="B111" s="14"/>
      <c r="M111" s="159">
        <v>42612</v>
      </c>
      <c r="N111" s="216"/>
      <c r="O111" s="216"/>
      <c r="P111" s="206"/>
      <c r="Q111" s="211"/>
    </row>
    <row r="112" spans="2:17" x14ac:dyDescent="0.2">
      <c r="B112" s="14"/>
      <c r="M112" s="159">
        <v>42613</v>
      </c>
      <c r="N112" s="216"/>
      <c r="O112" s="216"/>
      <c r="P112" s="206"/>
      <c r="Q112" s="211"/>
    </row>
    <row r="113" spans="2:17" x14ac:dyDescent="0.2">
      <c r="B113" s="14"/>
      <c r="M113" s="159">
        <v>42614</v>
      </c>
      <c r="N113" s="216"/>
      <c r="O113" s="216"/>
      <c r="P113" s="206"/>
      <c r="Q113" s="211"/>
    </row>
    <row r="114" spans="2:17" x14ac:dyDescent="0.2">
      <c r="B114" s="14"/>
      <c r="M114" s="159">
        <v>42615</v>
      </c>
      <c r="N114" s="216"/>
      <c r="O114" s="216"/>
      <c r="P114" s="206"/>
      <c r="Q114" s="211"/>
    </row>
    <row r="115" spans="2:17" x14ac:dyDescent="0.2">
      <c r="B115" s="14"/>
      <c r="M115" s="159">
        <v>42618</v>
      </c>
      <c r="N115" s="216"/>
      <c r="O115" s="216"/>
      <c r="P115" s="206"/>
      <c r="Q115" s="211"/>
    </row>
    <row r="116" spans="2:17" x14ac:dyDescent="0.2">
      <c r="B116" s="14"/>
      <c r="M116" s="159">
        <v>42619</v>
      </c>
      <c r="N116" s="216"/>
      <c r="O116" s="216"/>
      <c r="P116" s="206"/>
      <c r="Q116" s="211"/>
    </row>
    <row r="117" spans="2:17" x14ac:dyDescent="0.2">
      <c r="M117" s="159">
        <v>42620</v>
      </c>
      <c r="N117" s="216"/>
      <c r="O117" s="216"/>
      <c r="P117" s="206"/>
      <c r="Q117" s="211"/>
    </row>
    <row r="118" spans="2:17" x14ac:dyDescent="0.2">
      <c r="M118" s="159">
        <v>42621</v>
      </c>
      <c r="N118" s="216"/>
      <c r="O118" s="216"/>
      <c r="P118" s="206"/>
      <c r="Q118" s="211"/>
    </row>
    <row r="119" spans="2:17" x14ac:dyDescent="0.2">
      <c r="M119" s="159">
        <v>42622</v>
      </c>
      <c r="N119" s="216"/>
      <c r="O119" s="216"/>
      <c r="P119" s="206"/>
      <c r="Q119" s="211"/>
    </row>
    <row r="120" spans="2:17" x14ac:dyDescent="0.2">
      <c r="M120" s="159">
        <v>42625</v>
      </c>
      <c r="N120" s="216"/>
      <c r="O120" s="216"/>
      <c r="P120" s="206"/>
      <c r="Q120" s="211"/>
    </row>
    <row r="121" spans="2:17" x14ac:dyDescent="0.2">
      <c r="M121" s="159">
        <v>42626</v>
      </c>
      <c r="N121" s="216"/>
      <c r="O121" s="216"/>
      <c r="P121" s="206"/>
      <c r="Q121" s="211"/>
    </row>
    <row r="122" spans="2:17" x14ac:dyDescent="0.2">
      <c r="M122" s="159">
        <v>42627</v>
      </c>
      <c r="N122" s="216"/>
      <c r="O122" s="216"/>
      <c r="P122" s="206"/>
      <c r="Q122" s="211"/>
    </row>
    <row r="123" spans="2:17" x14ac:dyDescent="0.2">
      <c r="M123" s="159">
        <v>42628</v>
      </c>
      <c r="N123" s="216"/>
      <c r="O123" s="216"/>
      <c r="P123" s="206"/>
      <c r="Q123" s="211"/>
    </row>
    <row r="124" spans="2:17" x14ac:dyDescent="0.2">
      <c r="M124" s="159">
        <v>42629</v>
      </c>
      <c r="N124" s="216"/>
      <c r="O124" s="216"/>
      <c r="P124" s="206"/>
      <c r="Q124" s="211"/>
    </row>
    <row r="125" spans="2:17" x14ac:dyDescent="0.2">
      <c r="M125" s="159">
        <v>42632</v>
      </c>
      <c r="N125" s="216"/>
      <c r="O125" s="216"/>
      <c r="P125" s="206"/>
      <c r="Q125" s="211"/>
    </row>
    <row r="126" spans="2:17" x14ac:dyDescent="0.2">
      <c r="M126" s="159">
        <v>42633</v>
      </c>
      <c r="N126" s="216"/>
      <c r="O126" s="216"/>
      <c r="P126" s="206"/>
      <c r="Q126" s="211"/>
    </row>
    <row r="127" spans="2:17" x14ac:dyDescent="0.2">
      <c r="M127" s="159">
        <v>42634</v>
      </c>
      <c r="N127" s="216"/>
      <c r="O127" s="216"/>
      <c r="P127" s="206"/>
      <c r="Q127" s="211"/>
    </row>
    <row r="128" spans="2:17" x14ac:dyDescent="0.2">
      <c r="M128" s="159">
        <v>42635</v>
      </c>
      <c r="N128" s="216"/>
      <c r="O128" s="216"/>
      <c r="P128" s="206"/>
      <c r="Q128" s="211"/>
    </row>
    <row r="129" spans="13:17" x14ac:dyDescent="0.2">
      <c r="M129" s="159">
        <v>42636</v>
      </c>
      <c r="N129" s="216"/>
      <c r="O129" s="216"/>
      <c r="P129" s="206"/>
      <c r="Q129" s="211"/>
    </row>
    <row r="130" spans="13:17" x14ac:dyDescent="0.2">
      <c r="M130" s="159">
        <v>42639</v>
      </c>
      <c r="N130" s="216"/>
      <c r="O130" s="216"/>
      <c r="P130" s="206"/>
      <c r="Q130" s="211"/>
    </row>
    <row r="131" spans="13:17" x14ac:dyDescent="0.2">
      <c r="M131" s="159">
        <v>42640</v>
      </c>
      <c r="N131" s="216"/>
      <c r="O131" s="216"/>
      <c r="P131" s="206"/>
      <c r="Q131" s="211"/>
    </row>
    <row r="132" spans="13:17" x14ac:dyDescent="0.2">
      <c r="M132" s="159">
        <v>42641</v>
      </c>
      <c r="N132" s="216"/>
      <c r="O132" s="216"/>
      <c r="P132" s="206"/>
      <c r="Q132" s="211"/>
    </row>
    <row r="133" spans="13:17" x14ac:dyDescent="0.2">
      <c r="M133" s="159">
        <v>42642</v>
      </c>
      <c r="N133" s="216"/>
      <c r="O133" s="216"/>
      <c r="P133" s="206"/>
      <c r="Q133" s="211"/>
    </row>
    <row r="134" spans="13:17" x14ac:dyDescent="0.2">
      <c r="M134" s="160">
        <v>42643</v>
      </c>
      <c r="N134" s="217"/>
      <c r="O134" s="217"/>
      <c r="P134" s="207"/>
      <c r="Q134" s="212"/>
    </row>
  </sheetData>
  <sheetProtection algorithmName="SHA-512" hashValue="wbihRaWigPOXwvL8vpwmcGsmwfTlk/+LPBr/fDvy1gta6mwZTTUgchXyoBxqGb/mieK7gV0tRjko4or/ZOhhsQ==" saltValue="44qu2RKSidxYS9fZPWDTig==" spinCount="100000" sheet="1" objects="1" scenarios="1"/>
  <sortState ref="B25:I89">
    <sortCondition descending="1" ref="B25:B89"/>
  </sortState>
  <mergeCells count="21">
    <mergeCell ref="A1:J1"/>
    <mergeCell ref="F13:I14"/>
    <mergeCell ref="A29:A52"/>
    <mergeCell ref="A10:A11"/>
    <mergeCell ref="B10:B11"/>
    <mergeCell ref="E10:E11"/>
    <mergeCell ref="B9:I9"/>
    <mergeCell ref="B16:B20"/>
    <mergeCell ref="C16:D16"/>
    <mergeCell ref="C17:D17"/>
    <mergeCell ref="C18:D18"/>
    <mergeCell ref="C19:D19"/>
    <mergeCell ref="C20:D20"/>
    <mergeCell ref="A16:A20"/>
    <mergeCell ref="B23:I23"/>
    <mergeCell ref="E13:E14"/>
    <mergeCell ref="C22:D22"/>
    <mergeCell ref="F10:I11"/>
    <mergeCell ref="B13:B14"/>
    <mergeCell ref="M2:Q2"/>
    <mergeCell ref="K87:K92"/>
  </mergeCells>
  <conditionalFormatting sqref="J26">
    <cfRule type="containsText" dxfId="34" priority="12" operator="containsText" text="true">
      <formula>NOT(ISERROR(SEARCH("true",J26)))</formula>
    </cfRule>
    <cfRule type="containsText" dxfId="33" priority="13" operator="containsText" text="false">
      <formula>NOT(ISERROR(SEARCH("false",J26)))</formula>
    </cfRule>
  </conditionalFormatting>
  <conditionalFormatting sqref="J27">
    <cfRule type="containsText" dxfId="32" priority="10" operator="containsText" text="false">
      <formula>NOT(ISERROR(SEARCH("false",J27)))</formula>
    </cfRule>
    <cfRule type="containsText" dxfId="31" priority="11" operator="containsText" text="true">
      <formula>NOT(ISERROR(SEARCH("true",J27)))</formula>
    </cfRule>
  </conditionalFormatting>
  <conditionalFormatting sqref="I4">
    <cfRule type="containsText" dxfId="30" priority="6" operator="containsText" text="Not OK">
      <formula>NOT(ISERROR(SEARCH("Not OK",I4)))</formula>
    </cfRule>
    <cfRule type="containsText" dxfId="29" priority="7" operator="containsText" text="ok">
      <formula>NOT(ISERROR(SEARCH("ok",I4)))</formula>
    </cfRule>
  </conditionalFormatting>
  <conditionalFormatting sqref="C28:I92">
    <cfRule type="containsBlanks" dxfId="28" priority="3">
      <formula>LEN(TRIM(C28))=0</formula>
    </cfRule>
  </conditionalFormatting>
  <conditionalFormatting sqref="J87:J92">
    <cfRule type="containsText" dxfId="27" priority="1" operator="containsText" text="false">
      <formula>NOT(ISERROR(SEARCH("false",J87)))</formula>
    </cfRule>
    <cfRule type="containsText" dxfId="26" priority="2" operator="containsText" text="true">
      <formula>NOT(ISERROR(SEARCH("true",J87)))</formula>
    </cfRule>
  </conditionalFormatting>
  <hyperlinks>
    <hyperlink ref="A14" r:id="rId1"/>
  </hyperlinks>
  <pageMargins left="0.7" right="0.7" top="0.75" bottom="0.75" header="0.3" footer="0.3"/>
  <pageSetup orientation="portrait" r:id="rId2"/>
  <ignoredErrors>
    <ignoredError sqref="N135:Q135" unlockedFormula="1"/>
    <ignoredError sqref="H28:H86" formula="1"/>
  </ignoredErrors>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
  <sheetViews>
    <sheetView showGridLines="0" workbookViewId="0"/>
  </sheetViews>
  <sheetFormatPr defaultRowHeight="15" x14ac:dyDescent="0.25"/>
  <sheetData/>
  <sheetProtection algorithmName="SHA-512" hashValue="p/O6FDkHTiOtBcO3Tfw1ljDdCQSBUTRwJZqi7EC8ooacm84Vv8LbfX8PcSKriBqfyT6yX8CdF3MeaKFfK2vPHQ==" saltValue="lG7yORwB21DmnwfEePRZR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40"/>
  <sheetViews>
    <sheetView showGridLines="0" zoomScaleNormal="100" workbookViewId="0"/>
  </sheetViews>
  <sheetFormatPr defaultRowHeight="14.25" x14ac:dyDescent="0.25"/>
  <cols>
    <col min="1" max="1" width="2.5703125" style="4" customWidth="1"/>
    <col min="2" max="2" width="46.85546875" style="4" customWidth="1"/>
    <col min="3" max="3" width="13.42578125" style="4" customWidth="1"/>
    <col min="4" max="4" width="17" style="4" customWidth="1"/>
    <col min="5" max="5" width="19.42578125" style="4" customWidth="1"/>
    <col min="6" max="6" width="23" style="4" bestFit="1" customWidth="1"/>
    <col min="7" max="7" width="14" style="4" customWidth="1"/>
    <col min="8" max="8" width="1.42578125" style="4" customWidth="1"/>
    <col min="9" max="9" width="14.42578125" style="4" bestFit="1" customWidth="1"/>
    <col min="10" max="10" width="16.140625" style="4" customWidth="1"/>
    <col min="11" max="11" width="22.28515625" style="4" customWidth="1"/>
    <col min="12" max="12" width="9.140625" style="4"/>
    <col min="13" max="13" width="14.140625" style="4" customWidth="1"/>
    <col min="14" max="14" width="9.140625" style="4"/>
    <col min="15" max="15" width="1.28515625" style="4" customWidth="1"/>
    <col min="16" max="16" width="9.140625" style="4"/>
    <col min="17" max="17" width="9.42578125" style="4" bestFit="1" customWidth="1"/>
    <col min="18" max="16384" width="9.140625" style="4"/>
  </cols>
  <sheetData>
    <row r="1" spans="2:17" ht="66.75" customHeight="1" x14ac:dyDescent="0.25">
      <c r="B1" s="291" t="s">
        <v>50</v>
      </c>
      <c r="C1" s="292"/>
      <c r="D1" s="292"/>
      <c r="E1" s="292"/>
      <c r="F1" s="292"/>
      <c r="G1" s="292"/>
      <c r="H1" s="292"/>
      <c r="I1" s="292"/>
      <c r="J1" s="292"/>
      <c r="K1" s="292"/>
    </row>
    <row r="2" spans="2:17" x14ac:dyDescent="0.25">
      <c r="B2" s="8"/>
      <c r="C2" s="8"/>
      <c r="D2" s="8"/>
      <c r="E2" s="8"/>
      <c r="F2" s="8"/>
      <c r="G2" s="8"/>
      <c r="H2" s="5"/>
      <c r="I2" s="8"/>
      <c r="J2" s="8"/>
      <c r="K2" s="8"/>
    </row>
    <row r="3" spans="2:17" ht="44.25" customHeight="1" x14ac:dyDescent="0.25">
      <c r="B3" s="295" t="s">
        <v>23</v>
      </c>
      <c r="C3" s="28"/>
      <c r="D3" s="29" t="s">
        <v>4</v>
      </c>
      <c r="E3" s="29" t="s">
        <v>17</v>
      </c>
      <c r="F3" s="29" t="s">
        <v>17</v>
      </c>
      <c r="G3" s="30" t="str">
        <f>"SDR Value ("&amp;TEXT('Inputs (Edit)'!E10,"mm/dd/yyyy")&amp;")"</f>
        <v>SDR Value (07/25/2016)</v>
      </c>
      <c r="H3" s="5"/>
      <c r="I3" s="31"/>
      <c r="J3" s="29"/>
      <c r="K3" s="79" t="s">
        <v>16</v>
      </c>
      <c r="L3" s="32"/>
    </row>
    <row r="4" spans="2:17" ht="14.25" customHeight="1" x14ac:dyDescent="0.25">
      <c r="B4" s="296"/>
      <c r="C4" s="33"/>
      <c r="D4" s="34" t="str">
        <f>"(1)"</f>
        <v>(1)</v>
      </c>
      <c r="E4" s="34" t="str">
        <f>"(2)"</f>
        <v>(2)</v>
      </c>
      <c r="F4" s="34" t="str">
        <f>"(3)"</f>
        <v>(3)</v>
      </c>
      <c r="G4" s="35" t="str">
        <f>"(4)"</f>
        <v>(4)</v>
      </c>
      <c r="H4" s="5"/>
      <c r="I4" s="36" t="str">
        <f>"(5) = (1)/100/(2)"</f>
        <v>(5) = (1)/100/(2)</v>
      </c>
      <c r="J4" s="34" t="str">
        <f>"(6) = (5)*(3)"</f>
        <v>(6) = (5)*(3)</v>
      </c>
      <c r="K4" s="80" t="str">
        <f>"(8) = (4)*(5)/(7)"</f>
        <v>(8) = (4)*(5)/(7)</v>
      </c>
      <c r="L4" s="32"/>
    </row>
    <row r="5" spans="2:17" ht="15" customHeight="1" x14ac:dyDescent="0.25">
      <c r="B5" s="296"/>
      <c r="C5" s="6" t="s">
        <v>7</v>
      </c>
      <c r="D5" s="59">
        <f>VLOOKUP(C5,'Inputs (Edit)'!$C$16:$E$20,3,FALSE)</f>
        <v>41.73</v>
      </c>
      <c r="E5" s="59">
        <f>HLOOKUP(C5,'Inputs (Edit)'!$C$24:$H$30,2,FALSE)</f>
        <v>1</v>
      </c>
      <c r="F5" s="59">
        <f>HLOOKUP(C5,'Inputs (Edit)'!$C$24:$H$30,4,FALSE)</f>
        <v>1</v>
      </c>
      <c r="G5" s="60">
        <f>'Inputs (Edit)'!E13</f>
        <v>1.38443</v>
      </c>
      <c r="H5" s="5"/>
      <c r="I5" s="37">
        <f>(D5/100)/E5</f>
        <v>0.41729999999999995</v>
      </c>
      <c r="J5" s="9">
        <f>I5*F5</f>
        <v>0.41729999999999995</v>
      </c>
      <c r="K5" s="81">
        <f>I5*G5/J10</f>
        <v>0.58543691736494963</v>
      </c>
      <c r="L5" s="51" t="str">
        <f>IF(K5&lt;0.01,"Not OK","OK")</f>
        <v>OK</v>
      </c>
      <c r="M5" s="298" t="s">
        <v>63</v>
      </c>
      <c r="N5" s="298"/>
      <c r="O5" s="298"/>
      <c r="P5" s="298"/>
      <c r="Q5" s="298"/>
    </row>
    <row r="6" spans="2:17" ht="15" customHeight="1" x14ac:dyDescent="0.25">
      <c r="B6" s="296"/>
      <c r="C6" s="6" t="s">
        <v>1</v>
      </c>
      <c r="D6" s="59">
        <f>VLOOKUP(C6,'Inputs (Edit)'!$C$16:$E$20,3,FALSE)</f>
        <v>30.930000000000003</v>
      </c>
      <c r="E6" s="59">
        <f>HLOOKUP(C6,'Inputs (Edit)'!$C$24:$H$30,2,FALSE)</f>
        <v>1.1223353846153847</v>
      </c>
      <c r="F6" s="59">
        <f>HLOOKUP(C6,'Inputs (Edit)'!$C$24:$H$30,4,FALSE)</f>
        <v>1.0989</v>
      </c>
      <c r="G6" s="60">
        <f>'Inputs (Edit)'!E13</f>
        <v>1.38443</v>
      </c>
      <c r="H6" s="5"/>
      <c r="I6" s="37">
        <f>(D6/100)/E6</f>
        <v>0.27558607189952816</v>
      </c>
      <c r="J6" s="9">
        <f>I6*F6</f>
        <v>0.30284153441039147</v>
      </c>
      <c r="K6" s="81">
        <f>I6*G6/J10</f>
        <v>0.38662415624628599</v>
      </c>
      <c r="L6" s="51" t="str">
        <f t="shared" ref="L6:L9" si="0">IF(K6&lt;0.01,"Not OK","OK")</f>
        <v>OK</v>
      </c>
      <c r="M6" s="298"/>
      <c r="N6" s="298"/>
      <c r="O6" s="298"/>
      <c r="P6" s="298"/>
      <c r="Q6" s="298"/>
    </row>
    <row r="7" spans="2:17" ht="15" customHeight="1" x14ac:dyDescent="0.25">
      <c r="B7" s="296"/>
      <c r="C7" s="6" t="s">
        <v>2</v>
      </c>
      <c r="D7" s="59">
        <f>VLOOKUP(C7,'Inputs (Edit)'!$C$16:$E$20,3,FALSE)</f>
        <v>8.09</v>
      </c>
      <c r="E7" s="59">
        <f>HLOOKUP(C7,'Inputs (Edit)'!$C$24:$H$30,2,FALSE)</f>
        <v>1.4069969230769237</v>
      </c>
      <c r="F7" s="59">
        <f>HLOOKUP(C7,'Inputs (Edit)'!$C$24:$H$30,4,FALSE)</f>
        <v>1.3130999999999999</v>
      </c>
      <c r="G7" s="60">
        <f>'Inputs (Edit)'!E13</f>
        <v>1.38443</v>
      </c>
      <c r="H7" s="5"/>
      <c r="I7" s="37">
        <f>(D7/100)/E7</f>
        <v>5.7498348911156086E-2</v>
      </c>
      <c r="J7" s="9">
        <f>I7*F7</f>
        <v>7.5501081955239052E-2</v>
      </c>
      <c r="K7" s="81">
        <f>I7*G7/J10</f>
        <v>8.0665363383948058E-2</v>
      </c>
      <c r="L7" s="51" t="str">
        <f t="shared" si="0"/>
        <v>OK</v>
      </c>
      <c r="M7" s="298"/>
      <c r="N7" s="298"/>
      <c r="O7" s="298"/>
      <c r="P7" s="298"/>
      <c r="Q7" s="298"/>
    </row>
    <row r="8" spans="2:17" ht="15" customHeight="1" x14ac:dyDescent="0.25">
      <c r="B8" s="296"/>
      <c r="C8" s="6" t="s">
        <v>6</v>
      </c>
      <c r="D8" s="59">
        <f>VLOOKUP(C8,'Inputs (Edit)'!$C$16:$E$20,3,FALSE)</f>
        <v>8.33</v>
      </c>
      <c r="E8" s="59">
        <f>HLOOKUP("1/JPY",'Inputs (Edit)'!$C$24:$H$30,2,FALSE)</f>
        <v>9.3970690771623833E-3</v>
      </c>
      <c r="F8" s="59">
        <f>HLOOKUP("1/JPY",'Inputs (Edit)'!$C$24:$H$30,4,FALSE)</f>
        <v>9.4082227867155893E-3</v>
      </c>
      <c r="G8" s="60">
        <f>'Inputs (Edit)'!E13</f>
        <v>1.38443</v>
      </c>
      <c r="H8" s="5"/>
      <c r="I8" s="37">
        <f>(D8/100)/E8</f>
        <v>8.8644660708564196</v>
      </c>
      <c r="J8" s="9">
        <f>I8*F8</f>
        <v>8.3398871679898581E-2</v>
      </c>
      <c r="K8" s="81">
        <f>I8*G8/J10</f>
        <v>12.436102781232613</v>
      </c>
      <c r="L8" s="51" t="str">
        <f t="shared" si="0"/>
        <v>OK</v>
      </c>
      <c r="M8" s="298"/>
      <c r="N8" s="298"/>
      <c r="O8" s="298"/>
      <c r="P8" s="298"/>
      <c r="Q8" s="298"/>
    </row>
    <row r="9" spans="2:17" ht="15" customHeight="1" x14ac:dyDescent="0.25">
      <c r="B9" s="297"/>
      <c r="C9" s="7" t="s">
        <v>3</v>
      </c>
      <c r="D9" s="61">
        <f>VLOOKUP(C9,'Inputs (Edit)'!$C$16:$E$20,3,FALSE)</f>
        <v>10.92</v>
      </c>
      <c r="E9" s="61">
        <f>HLOOKUP("1/RMB",'Inputs (Edit)'!$C$24:$I$30,2,FALSE)</f>
        <v>0.15149835361441011</v>
      </c>
      <c r="F9" s="61">
        <f>HLOOKUP("1/RMB",'Inputs (Edit)'!$C$24:$I$30,4,FALSE)</f>
        <v>0.14953047431066452</v>
      </c>
      <c r="G9" s="62">
        <f>'Inputs (Edit)'!E13</f>
        <v>1.38443</v>
      </c>
      <c r="H9" s="5"/>
      <c r="I9" s="38">
        <f>(D9/100)/E9</f>
        <v>0.72079991230751694</v>
      </c>
      <c r="J9" s="7">
        <f>I9*F9</f>
        <v>0.1077815527704284</v>
      </c>
      <c r="K9" s="82">
        <f>I9*G9/J10</f>
        <v>1.0112218516612479</v>
      </c>
      <c r="L9" s="51" t="str">
        <f t="shared" si="0"/>
        <v>OK</v>
      </c>
      <c r="M9" s="298"/>
      <c r="N9" s="298"/>
      <c r="O9" s="298"/>
      <c r="P9" s="298"/>
      <c r="Q9" s="298"/>
    </row>
    <row r="10" spans="2:17" x14ac:dyDescent="0.25">
      <c r="B10" s="39"/>
      <c r="C10" s="9"/>
      <c r="H10" s="5"/>
      <c r="I10" s="40" t="str">
        <f>"(7)"</f>
        <v>(7)</v>
      </c>
      <c r="J10" s="9">
        <f>SUM(J5:J9)</f>
        <v>0.98682304081595751</v>
      </c>
    </row>
    <row r="11" spans="2:17" x14ac:dyDescent="0.25">
      <c r="I11" s="9"/>
    </row>
    <row r="12" spans="2:17" ht="15" x14ac:dyDescent="0.25">
      <c r="C12"/>
    </row>
    <row r="13" spans="2:17" x14ac:dyDescent="0.25">
      <c r="C13" s="5"/>
      <c r="D13" s="5"/>
      <c r="E13" s="5"/>
      <c r="F13" s="5"/>
      <c r="G13" s="5"/>
      <c r="H13" s="5"/>
      <c r="I13" s="5"/>
      <c r="J13" s="5"/>
      <c r="K13" s="5"/>
    </row>
    <row r="14" spans="2:17" x14ac:dyDescent="0.25">
      <c r="B14" s="8"/>
      <c r="C14" s="5"/>
      <c r="D14" s="5"/>
      <c r="E14" s="8"/>
      <c r="F14" s="8"/>
      <c r="G14" s="8"/>
      <c r="H14" s="8"/>
      <c r="I14" s="8"/>
      <c r="J14" s="8"/>
      <c r="K14" s="8"/>
    </row>
    <row r="15" spans="2:17" ht="54" customHeight="1" x14ac:dyDescent="0.25">
      <c r="B15" s="295" t="s">
        <v>41</v>
      </c>
      <c r="C15" s="41"/>
      <c r="D15" s="42" t="s">
        <v>18</v>
      </c>
      <c r="E15" s="200"/>
      <c r="F15" s="43"/>
      <c r="G15" s="44" t="s">
        <v>19</v>
      </c>
      <c r="H15" s="54"/>
      <c r="I15" s="45" t="s">
        <v>20</v>
      </c>
      <c r="J15" s="30" t="s">
        <v>27</v>
      </c>
      <c r="K15" s="45"/>
      <c r="M15" s="293"/>
    </row>
    <row r="16" spans="2:17" ht="23.25" customHeight="1" x14ac:dyDescent="0.25">
      <c r="B16" s="296"/>
      <c r="C16" s="46"/>
      <c r="D16" s="47" t="str">
        <f>"(8)"</f>
        <v>(8)</v>
      </c>
      <c r="E16" s="76" t="str">
        <f>"(9)"</f>
        <v>(9)</v>
      </c>
      <c r="F16" s="48" t="str">
        <f>"(10)=(9)*(3)"</f>
        <v>(10)=(9)*(3)</v>
      </c>
      <c r="G16" s="48" t="str">
        <f>"(11)"</f>
        <v>(11)</v>
      </c>
      <c r="H16" s="55"/>
      <c r="I16" s="56" t="str">
        <f>"(12)"</f>
        <v>(12)</v>
      </c>
      <c r="J16" s="49" t="str">
        <f>"(13)"</f>
        <v>(13)</v>
      </c>
      <c r="K16" s="49" t="str">
        <f>"(14) = (12)*(3)"</f>
        <v>(14) = (12)*(3)</v>
      </c>
      <c r="M16" s="293"/>
    </row>
    <row r="17" spans="2:17" x14ac:dyDescent="0.25">
      <c r="B17" s="296"/>
      <c r="C17" s="50" t="s">
        <v>7</v>
      </c>
      <c r="D17" s="92">
        <f>K5</f>
        <v>0.58543691736494963</v>
      </c>
      <c r="E17" s="134" t="str">
        <f>IF(D17&gt;0.1,TEXT(TEXT(ROUND(D17,5-(1+INT(LOG10(ABS(D17))))),"0.00000E+0"),LOOKUP(ABS(ROUND(D17,5-(1+INT(LOG10(ABS(D17))))))+(ROUND(D17,5-(1+INT(LOG10(ABS(D17)))))=0),{0;1;10;100;1000;10000},{"0.00000";"0.0000";"0.000";"0.00";"0.0";"0"})),TEXT(TEXT(ROUND(D17,5-(1+INT(LOG10(ABS(D17))))),"0.000000E+0"),LOOKUP(ABS(ROUND(D17,5-(1+INT(LOG10(ABS(D17))))))+(ROUND(D17,5-(1+INT(LOG10(ABS(D17)))))=0),{0;1;10;100;1000;10000},{"0.000000";"0.00000";"0.0000";"0.000";"0.00";"0.0"})))</f>
        <v>0.58544</v>
      </c>
      <c r="F17" s="108">
        <f>E17*F5</f>
        <v>0.58543999999999996</v>
      </c>
      <c r="G17" s="131">
        <f>G5-F22</f>
        <v>1.0000000000065512E-5</v>
      </c>
      <c r="H17" s="102"/>
      <c r="I17" s="95" t="str">
        <f>IF(OR($G$23=6,$G$17=0),"n.a.",IF(G17&lt;&gt;0,IF(D17&gt;0.1,TEXT(TEXT(ROUND(G17+E17,5-(1+INT(LOG10(ABS(G17+E17))))),"0.00000E+0"),LOOKUP(ABS(ROUND(G17+E17,5-(1+INT(LOG10(ABS(G17+E17))))))+(ROUND(G17+E17,5-(1+INT(LOG10(ABS(G17+E17)))))=0),{0;1;10;100;1000;10000},{"0.00000";"0.0000";"0.000";"0.00";"0.0";"0"})),TEXT(TEXT(ROUND(G17+E17,5-(1+INT(LOG10(ABS(G17+E17))))),"0.00000E+0"),LOOKUP(ABS(ROUND(G17+E17,5-(1+INT(LOG10(ABS(G17+E17))))))+(ROUND(G17+E17,5-(1+INT(LOG10(ABS(G17+E17)))))=0),{0;1;10;100;1000;10000},{"0.000000";"0.00000";"0.0000";"0.000";"0.00";"0.0"}))),E17))</f>
        <v>0.58545</v>
      </c>
      <c r="J17" s="113">
        <f>IF(OR(G23=6,G17=0),"n.a.",LEN(RIGHT(I17,LEN(I17)-FIND(".",I17))))</f>
        <v>5</v>
      </c>
      <c r="K17" s="103">
        <f>IF(OR($G$23=6,$G$17=0),"n.a.",I17*F5)</f>
        <v>0.58545000000000003</v>
      </c>
      <c r="L17" s="32"/>
      <c r="M17" s="89"/>
      <c r="P17" s="83"/>
      <c r="Q17" s="83"/>
    </row>
    <row r="18" spans="2:17" x14ac:dyDescent="0.25">
      <c r="B18" s="296"/>
      <c r="C18" s="51" t="s">
        <v>1</v>
      </c>
      <c r="D18" s="93">
        <f t="shared" ref="D18:D21" si="1">K6</f>
        <v>0.38662415624628599</v>
      </c>
      <c r="E18" s="124" t="str">
        <f>IF(D18&gt;0.1,TEXT(TEXT(ROUND(D18,5-(1+INT(LOG10(ABS(D18))))),"0.00000E+0"),LOOKUP(ABS(ROUND(D18,5-(1+INT(LOG10(ABS(D18))))))+(ROUND(D18,5-(1+INT(LOG10(ABS(D18)))))=0),{0;1;10;100;1000;10000},{"0.00000";"0.0000";"0.000";"0.00";"0.0";"0"})),TEXT(TEXT(ROUND(D18,5-(1+INT(LOG10(ABS(D18))))),"0.000000E+0"),LOOKUP(ABS(ROUND(D18,5-(1+INT(LOG10(ABS(D18))))))+(ROUND(D18,5-(1+INT(LOG10(ABS(D18)))))=0),{0;1;10;100;1000;10000},{"0.000000";"0.00000";"0.0000";"0.000";"0.00";"0.0"})))</f>
        <v>0.38662</v>
      </c>
      <c r="F18" s="6">
        <f>E18*F6</f>
        <v>0.42485671800000002</v>
      </c>
      <c r="G18" s="135"/>
      <c r="H18" s="107"/>
      <c r="I18" s="95" t="str">
        <f>IF(OR($G$23=6,$G$17=0),"n.a.",IF(G18&lt;&gt;0,IF(D18&gt;0.1,TEXT(TEXT(ROUND(G18+E18,5-(1+INT(LOG10(ABS(G18+E18))))),"0.00000E+0"),LOOKUP(ABS(ROUND(G18+E18,5-(1+INT(LOG10(ABS(G18+E18))))))+(ROUND(G18+E18,5-(1+INT(LOG10(ABS(G18+E18)))))=0),{0;1;10;100;1000;10000},{"0.00000";"0.0000";"0.000";"0.00";"0.0";"0"})),TEXT(TEXT(ROUND(G18+E18,5-(1+INT(LOG10(ABS(G18+E18))))),"0.00000E+0"),LOOKUP(ABS(ROUND(G18+E18,5-(1+INT(LOG10(ABS(G18+E18))))))+(ROUND(G18+E18,5-(1+INT(LOG10(ABS(G18+E18)))))=0),{0;1;10;100;1000;10000},{"0.000000";"0.00000";"0.0000";"0.000";"0.00";"0.0"}))),E18))</f>
        <v>0.38662</v>
      </c>
      <c r="J18" s="104"/>
      <c r="K18" s="105">
        <f>IF(OR($G$23=6,$G$17=0),"n.a.",I18*F6)</f>
        <v>0.42485671800000002</v>
      </c>
      <c r="L18" s="32"/>
      <c r="P18" s="83"/>
      <c r="Q18" s="83"/>
    </row>
    <row r="19" spans="2:17" x14ac:dyDescent="0.25">
      <c r="B19" s="296"/>
      <c r="C19" s="51" t="s">
        <v>2</v>
      </c>
      <c r="D19" s="93">
        <f t="shared" si="1"/>
        <v>8.0665363383948058E-2</v>
      </c>
      <c r="E19" s="124" t="str">
        <f>IF(D19&gt;0.1,TEXT(TEXT(ROUND(D19,5-(1+INT(LOG10(ABS(D19))))),"0.00000E+0"),LOOKUP(ABS(ROUND(D19,5-(1+INT(LOG10(ABS(D19))))))+(ROUND(D19,5-(1+INT(LOG10(ABS(D19)))))=0),{0;1;10;100;1000;10000},{"0.00000";"0.0000";"0.000";"0.00";"0.0";"0"})),TEXT(TEXT(ROUND(D19,5-(1+INT(LOG10(ABS(D19))))),"0.000000E+0"),LOOKUP(ABS(ROUND(D19,5-(1+INT(LOG10(ABS(D19))))))+(ROUND(D19,5-(1+INT(LOG10(ABS(D19)))))=0),{0;1;10;100;1000;10000},{"0.000000";"0.00000";"0.0000";"0.000";"0.00";"0.0"})))</f>
        <v>0.080665</v>
      </c>
      <c r="F19" s="6">
        <f>E19*F7</f>
        <v>0.1059212115</v>
      </c>
      <c r="G19" s="135"/>
      <c r="H19" s="107"/>
      <c r="I19" s="95" t="str">
        <f>IF(OR($G$23=6,$G$17=0),"n.a.",IF(G19&lt;&gt;0,IF(D19&gt;0.1,TEXT(TEXT(ROUND(G19+E19,5-(1+INT(LOG10(ABS(G19+E19))))),"0.00000E+0"),LOOKUP(ABS(ROUND(G19+E19,5-(1+INT(LOG10(ABS(G19+E19))))))+(ROUND(G19+E19,5-(1+INT(LOG10(ABS(G19+E19)))))=0),{0;1;10;100;1000;10000},{"0.00000";"0.0000";"0.000";"0.00";"0.0";"0"})),TEXT(TEXT(ROUND(G19+E19,5-(1+INT(LOG10(ABS(G19+E19))))),"0.00000E+0"),LOOKUP(ABS(ROUND(G19+E19,5-(1+INT(LOG10(ABS(G19+E19))))))+(ROUND(G19+E19,5-(1+INT(LOG10(ABS(G19+E19)))))=0),{0;1;10;100;1000;10000},{"0.000000";"0.00000";"0.0000";"0.000";"0.00";"0.0"}))),E19))</f>
        <v>0.080665</v>
      </c>
      <c r="J19" s="104"/>
      <c r="K19" s="105">
        <f>IF(OR($G$23=6,$G$17=0),"n.a.",I19*F7)</f>
        <v>0.1059212115</v>
      </c>
      <c r="L19" s="32"/>
      <c r="M19" s="120"/>
      <c r="P19" s="83"/>
      <c r="Q19" s="145"/>
    </row>
    <row r="20" spans="2:17" x14ac:dyDescent="0.25">
      <c r="B20" s="296"/>
      <c r="C20" s="51" t="s">
        <v>6</v>
      </c>
      <c r="D20" s="93">
        <f t="shared" si="1"/>
        <v>12.436102781232613</v>
      </c>
      <c r="E20" s="124" t="str">
        <f>IF(D20&gt;0.1,TEXT(TEXT(ROUND(D20,5-(1+INT(LOG10(ABS(D20))))),"0.00000E+0"),LOOKUP(ABS(ROUND(D20,5-(1+INT(LOG10(ABS(D20))))))+(ROUND(D20,5-(1+INT(LOG10(ABS(D20)))))=0),{0;1;10;100;1000;10000},{"0.00000";"0.0000";"0.000";"0.00";"0.0";"0"})),TEXT(TEXT(ROUND(D20,5-(1+INT(LOG10(ABS(D20))))),"0.000000E+0"),LOOKUP(ABS(ROUND(D20,5-(1+INT(LOG10(ABS(D20))))))+(ROUND(D20,5-(1+INT(LOG10(ABS(D20)))))=0),{0;1;10;100;1000;10000},{"0.000000";"0.00000";"0.0000";"0.000";"0.00";"0.0"})))</f>
        <v>12.436</v>
      </c>
      <c r="F20" s="6">
        <f>E20*F8</f>
        <v>0.11700065857559507</v>
      </c>
      <c r="G20" s="135"/>
      <c r="H20" s="107"/>
      <c r="I20" s="95" t="str">
        <f>IF(OR($G$23=6,$G$17=0),"n.a.",IF(G20&lt;&gt;0,IF(D20&gt;0.1,TEXT(TEXT(ROUND(G20+E20,5-(1+INT(LOG10(ABS(G20+E20))))),"0.00000E+0"),LOOKUP(ABS(ROUND(G20+E20,5-(1+INT(LOG10(ABS(G20+E20))))))+(ROUND(G20+E20,5-(1+INT(LOG10(ABS(G20+E20)))))=0),{0;1;10;100;1000;10000},{"0.00000";"0.0000";"0.000";"0.00";"0.0";"0"})),TEXT(TEXT(ROUND(G20+E20,5-(1+INT(LOG10(ABS(G20+E20))))),"0.00000E+0"),LOOKUP(ABS(ROUND(G20+E20,5-(1+INT(LOG10(ABS(G20+E20))))))+(ROUND(G20+E20,5-(1+INT(LOG10(ABS(G20+E20)))))=0),{0;1;10;100;1000;10000},{"0.000000";"0.00000";"0.0000";"0.000";"0.00";"0.0"}))),E20))</f>
        <v>12.436</v>
      </c>
      <c r="J20" s="104"/>
      <c r="K20" s="105">
        <f>IF(OR($G$23=6,$G$17=0),"n.a.",I20*F8)</f>
        <v>0.11700065857559507</v>
      </c>
      <c r="L20" s="32"/>
      <c r="P20" s="83"/>
      <c r="Q20" s="145"/>
    </row>
    <row r="21" spans="2:17" x14ac:dyDescent="0.25">
      <c r="B21" s="297"/>
      <c r="C21" s="52" t="s">
        <v>3</v>
      </c>
      <c r="D21" s="94">
        <f t="shared" si="1"/>
        <v>1.0112218516612479</v>
      </c>
      <c r="E21" s="125" t="str">
        <f>IF(D21&gt;0.1,TEXT(TEXT(ROUND(D21,5-(1+INT(LOG10(ABS(D21))))),"0.00000E+0"),LOOKUP(ABS(ROUND(D21,5-(1+INT(LOG10(ABS(D21))))))+(ROUND(D21,5-(1+INT(LOG10(ABS(D21)))))=0),{0;1;10;100;1000;10000},{"0.00000";"0.0000";"0.000";"0.00";"0.0";"0"})),TEXT(TEXT(ROUND(D21,5-(1+INT(LOG10(ABS(D21))))),"0.000000E+0"),LOOKUP(ABS(ROUND(D21,5-(1+INT(LOG10(ABS(D21))))))+(ROUND(D21,5-(1+INT(LOG10(ABS(D21)))))=0),{0;1;10;100;1000;10000},{"0.000000";"0.00000";"0.0000";"0.000";"0.00";"0.0"})))</f>
        <v>1.0112</v>
      </c>
      <c r="F21" s="90">
        <f>E21*F9</f>
        <v>0.15120521562294398</v>
      </c>
      <c r="G21" s="136"/>
      <c r="H21" s="58"/>
      <c r="I21" s="99" t="str">
        <f>IF(OR($G$23=6,$G$17=0),"n.a.",IF(G21&lt;&gt;0,IF(D21&gt;0.1,TEXT(TEXT(ROUND(G21+E21,5-(1+INT(LOG10(ABS(G21+E21))))),"0.00000E+0"),LOOKUP(ABS(ROUND(G21+E21,5-(1+INT(LOG10(ABS(G21+E21))))))+(ROUND(G21+E21,5-(1+INT(LOG10(ABS(G21+E21)))))=0),{0;1;10;100;1000;10000},{"0.00000";"0.0000";"0.000";"0.00";"0.0";"0"})),TEXT(TEXT(ROUND(G21+E21,5-(1+INT(LOG10(ABS(G21+E21))))),"0.00000E+0"),LOOKUP(ABS(ROUND(G21+E21,5-(1+INT(LOG10(ABS(G21+E21))))))+(ROUND(G21+E21,5-(1+INT(LOG10(ABS(G21+E21)))))=0),{0;1;10;100;1000;10000},{"0.000000";"0.00000";"0.0000";"0.000";"0.00";"0.0"}))),E21))</f>
        <v>1.0112</v>
      </c>
      <c r="J21" s="114"/>
      <c r="K21" s="106">
        <f>IF(OR($G$23=6,$G$17=0),"n.a.",I21*F9)</f>
        <v>0.15120521562294398</v>
      </c>
      <c r="L21" s="32"/>
      <c r="P21" s="83"/>
      <c r="Q21" s="83"/>
    </row>
    <row r="22" spans="2:17" x14ac:dyDescent="0.25">
      <c r="F22" s="121">
        <f>IF(SUM(F17:F21)&gt;1,ROUND(SUM(F17:F21),5),ROUND(SUM(F17:F21),6))</f>
        <v>1.38442</v>
      </c>
      <c r="G22" s="132">
        <f>G17+E17</f>
        <v>0.58545000000000003</v>
      </c>
      <c r="K22" s="91">
        <f>IF(OR($G$23=6,$G$17=0),"n.a.",IF(SUM(K17:K21)&gt;1,ROUND(SUM(K17:K21),5),ROUND(SUM(K17:K21),6)))</f>
        <v>1.38443</v>
      </c>
      <c r="M22" s="142" t="s">
        <v>42</v>
      </c>
    </row>
    <row r="23" spans="2:17" x14ac:dyDescent="0.25">
      <c r="E23" s="137" t="s">
        <v>39</v>
      </c>
      <c r="F23" s="6" t="b">
        <f>F22=G5</f>
        <v>0</v>
      </c>
      <c r="G23" s="133">
        <f>MAX(5,IF(G22&gt;0.1,LEN(MID(G22,IF(ROUND(-LOG10(G22),0)=0,3,ROUND(-LOG10(G22),0)+2),99)),0))</f>
        <v>5</v>
      </c>
      <c r="J23" s="137" t="s">
        <v>39</v>
      </c>
      <c r="K23" s="6" t="b">
        <f>IF(OR(G23=6,G17=0),"n.a.",K22=G5)</f>
        <v>1</v>
      </c>
      <c r="M23" s="119" t="str">
        <f>IF(F23=TRUE,"R5",IF(AND(G23=5,K23=TRUE),"R5+Adj",IF(AND(G23=6,F35=TRUE),"R6",IF(AND(G23=6,F35=FALSE,K35=TRUE),"R6+Adj"))))</f>
        <v>R5+Adj</v>
      </c>
    </row>
    <row r="24" spans="2:17" x14ac:dyDescent="0.25">
      <c r="F24" s="96" t="str">
        <f>IF(F23=FALSE,"Adjustment Needed", "No Adjustment is Needed")</f>
        <v>Adjustment Needed</v>
      </c>
      <c r="H24" s="101"/>
      <c r="K24" s="6"/>
    </row>
    <row r="27" spans="2:17" ht="54" customHeight="1" x14ac:dyDescent="0.25">
      <c r="B27" s="295" t="s">
        <v>45</v>
      </c>
      <c r="C27" s="41"/>
      <c r="D27" s="42" t="s">
        <v>18</v>
      </c>
      <c r="E27" s="75" t="s">
        <v>44</v>
      </c>
      <c r="F27" s="43"/>
      <c r="G27" s="44" t="s">
        <v>19</v>
      </c>
      <c r="H27" s="54"/>
      <c r="I27" s="45" t="s">
        <v>20</v>
      </c>
      <c r="J27" s="30" t="s">
        <v>27</v>
      </c>
      <c r="K27" s="45"/>
      <c r="M27" s="293"/>
    </row>
    <row r="28" spans="2:17" ht="23.25" customHeight="1" x14ac:dyDescent="0.25">
      <c r="B28" s="296"/>
      <c r="C28" s="46"/>
      <c r="D28" s="47" t="str">
        <f>"(8)"</f>
        <v>(8)</v>
      </c>
      <c r="E28" s="76" t="str">
        <f>"(9)"</f>
        <v>(9)</v>
      </c>
      <c r="F28" s="48" t="str">
        <f>"(10)=(9)*(3)"</f>
        <v>(10)=(9)*(3)</v>
      </c>
      <c r="G28" s="48" t="str">
        <f>"(11)"</f>
        <v>(11)</v>
      </c>
      <c r="H28" s="55"/>
      <c r="I28" s="56" t="str">
        <f>"(12)"</f>
        <v>(12)</v>
      </c>
      <c r="J28" s="49" t="str">
        <f>"(13)"</f>
        <v>(13)</v>
      </c>
      <c r="K28" s="49" t="str">
        <f>"(14) = (12)*(3)"</f>
        <v>(14) = (12)*(3)</v>
      </c>
      <c r="M28" s="293"/>
    </row>
    <row r="29" spans="2:17" x14ac:dyDescent="0.25">
      <c r="B29" s="296"/>
      <c r="C29" s="50" t="s">
        <v>7</v>
      </c>
      <c r="D29" s="109" t="str">
        <f>IF($G$23=5,"n.a.",D17)</f>
        <v>n.a.</v>
      </c>
      <c r="E29" s="126" t="str">
        <f>IF($G$23=5,"n.a.",IF(D29&gt;0.1,TEXT(TEXT(ROUND(D29,6-(1+INT(LOG10(ABS(D29))))),"0.000000E+0"),LOOKUP(ABS(ROUND(D29,6-(1+INT(LOG10(ABS(D29))))))+(ROUND(D29,6-(1+INT(LOG10(ABS(D29)))))=0),{0;1;10;100;1000;10000;100000},{"0.000000";"0.00000";"0.0000";"0.000";"0.00";"0.0";"0"})),TEXT(TEXT(ROUND(D29,6-(1+INT(LOG10(ABS(D29))))),"0.000000E+0"),LOOKUP(ABS(ROUND(D29,6-(1+INT(LOG10(ABS(D29))))))+(ROUND(D29,6-(1+INT(LOG10(ABS(D29)))))=0),{0;1;10;100;1000;10000;100000},{"0.0000000";"0.000000";"0.00000";"0.0000";"0.000";"0.00";"0.0"}))))</f>
        <v>n.a.</v>
      </c>
      <c r="F29" s="98" t="str">
        <f>IFERROR(E29*F5,"n.a.")</f>
        <v>n.a.</v>
      </c>
      <c r="G29" s="110" t="str">
        <f>IF(G23=5,"n.a.",G5-F34)</f>
        <v>n.a.</v>
      </c>
      <c r="H29" s="102"/>
      <c r="I29" s="95" t="str">
        <f>IF(OR($G$23=5,$G$29=0),"n.a.",IF(G29&lt;&gt;0,IF(D29&gt;0.1,TEXT(TEXT(ROUND(G29+E29,6-(1+INT(LOG10(ABS(G29+E29))))),"0.000000E+0"),LOOKUP(ABS(ROUND(G29+E29,6-(1+INT(LOG10(ABS(G29+E29))))))+(ROUND(G29+E29,6-(1+INT(LOG10(ABS(G29+E29)))))=0),{0;1;10;100;1000;10000;100000},{"0.000000";"0.00000";"0.0000";"0.000";"0.00";"0.0";"0"})),TEXT(TEXT(ROUND(G29+E29,6-(1+INT(LOG10(ABS(G29+E29))))),"0.000000E+0"),LOOKUP(ABS(ROUND(G29+E29,6-(1+INT(LOG10(ABS(G29+E29))))))+(ROUND(G29+E29,6-(1+INT(LOG10(ABS(G29+E29)))))=0),{0;1;10;100;1000;10000;100000},{"0.0000000";"0.000000";"0.00000";"0.0000";"0.000";"0.00";"0.0"}))),E29))</f>
        <v>n.a.</v>
      </c>
      <c r="J29" s="111" t="str">
        <f>IF(OR(G23=5,G29=0),"n.a.",LEN(RIGHT(I29,LEN(I29)-FIND(".",I29))))</f>
        <v>n.a.</v>
      </c>
      <c r="K29" s="112" t="str">
        <f>IF(OR($G$23=5,$G$29=0),"n.a.",I29*F5)</f>
        <v>n.a.</v>
      </c>
      <c r="M29" s="89"/>
      <c r="P29" s="96"/>
      <c r="Q29" s="96"/>
    </row>
    <row r="30" spans="2:17" x14ac:dyDescent="0.25">
      <c r="B30" s="296"/>
      <c r="C30" s="51" t="s">
        <v>1</v>
      </c>
      <c r="D30" s="77" t="str">
        <f>IF($G$23=5,"n.a.",D18)</f>
        <v>n.a.</v>
      </c>
      <c r="E30" s="127" t="str">
        <f>IF($G$23=5,"n.a.",IF(D30&gt;0.1,TEXT(TEXT(ROUND(D30,6-(1+INT(LOG10(ABS(D30))))),"0.000000E+0"),LOOKUP(ABS(ROUND(D30,6-(1+INT(LOG10(ABS(D30))))))+(ROUND(D30,6-(1+INT(LOG10(ABS(D30)))))=0),{0;1;10;100;1000;10000;100000},{"0.000000";"0.00000";"0.0000";"0.000";"0.00";"0.0";"0"})),TEXT(TEXT(ROUND(D30,6-(1+INT(LOG10(ABS(D30))))),"0.000000E+0"),LOOKUP(ABS(ROUND(D30,6-(1+INT(LOG10(ABS(D30))))))+(ROUND(D30,6-(1+INT(LOG10(ABS(D30)))))=0),{0;1;10;100;1000;10000;100000},{"0.0000000";"0.000000";"0.00000";"0.0000";"0.000";"0.00";"0.0"}))))</f>
        <v>n.a.</v>
      </c>
      <c r="F30" s="37" t="str">
        <f t="shared" ref="F30:F33" si="2">IFERROR(E30*F6,"n.a.")</f>
        <v>n.a.</v>
      </c>
      <c r="G30" s="135"/>
      <c r="H30" s="57"/>
      <c r="I30" s="95" t="str">
        <f>IF(OR($G$23=5,$G$29=0),"n.a.",IF(G30&lt;&gt;0,IF(D30&gt;0.1,TEXT(TEXT(ROUND(G30+E30,6-(1+INT(LOG10(ABS(G30+E30))))),"0.000000E+0"),LOOKUP(ABS(ROUND(G30+E30,6-(1+INT(LOG10(ABS(G30+E30))))))+(ROUND(G30+E30,6-(1+INT(LOG10(ABS(G30+E30)))))=0),{0;1;10;100;1000;10000;100000},{"0.000000";"0.00000";"0.0000";"0.000";"0.00";"0.0";"0"})),TEXT(TEXT(ROUND(G30+E30,6-(1+INT(LOG10(ABS(G30+E30))))),"0.000000E+0"),LOOKUP(ABS(ROUND(G30+E30,6-(1+INT(LOG10(ABS(G30+E30))))))+(ROUND(G30+E30,6-(1+INT(LOG10(ABS(G30+E30)))))=0),{0;1;10;100;1000;10000;100000},{"0.0000000";"0.000000";"0.00000";"0.0000";"0.000";"0.00";"0.0"}))),E30))</f>
        <v>n.a.</v>
      </c>
      <c r="J30" s="85"/>
      <c r="K30" s="112" t="str">
        <f t="shared" ref="K30:K33" si="3">IF(OR($G$23=5,$G$29=0),"n.a.",I30*F6)</f>
        <v>n.a.</v>
      </c>
      <c r="P30" s="96"/>
      <c r="Q30" s="96"/>
    </row>
    <row r="31" spans="2:17" x14ac:dyDescent="0.25">
      <c r="B31" s="296"/>
      <c r="C31" s="51" t="s">
        <v>2</v>
      </c>
      <c r="D31" s="77" t="str">
        <f>IF($G$23=5,"n.a.",D19)</f>
        <v>n.a.</v>
      </c>
      <c r="E31" s="127" t="str">
        <f>IF($G$23=5,"n.a.",IF(D31&gt;0.1,TEXT(TEXT(ROUND(D31,6-(1+INT(LOG10(ABS(D31))))),"0.000000E+0"),LOOKUP(ABS(ROUND(D31,6-(1+INT(LOG10(ABS(D31))))))+(ROUND(D31,6-(1+INT(LOG10(ABS(D31)))))=0),{0;1;10;100;1000;10000;100000},{"0.000000";"0.00000";"0.0000";"0.000";"0.00";"0.0";"0"})),TEXT(TEXT(ROUND(D31,6-(1+INT(LOG10(ABS(D31))))),"0.000000E+0"),LOOKUP(ABS(ROUND(D31,6-(1+INT(LOG10(ABS(D31))))))+(ROUND(D31,6-(1+INT(LOG10(ABS(D31)))))=0),{0;1;10;100;1000;10000;100000},{"0.0000000";"0.000000";"0.00000";"0.0000";"0.000";"0.00";"0.0"}))))</f>
        <v>n.a.</v>
      </c>
      <c r="F31" s="37" t="str">
        <f t="shared" si="2"/>
        <v>n.a.</v>
      </c>
      <c r="G31" s="135"/>
      <c r="H31" s="57"/>
      <c r="I31" s="95" t="str">
        <f>IF(OR($G$23=5,$G$29=0),"n.a.",IF(G31&lt;&gt;0,IF(D31&gt;0.1,TEXT(TEXT(ROUND(G31+E31,6-(1+INT(LOG10(ABS(G31+E31))))),"0.000000E+0"),LOOKUP(ABS(ROUND(G31+E31,6-(1+INT(LOG10(ABS(G31+E31))))))+(ROUND(G31+E31,6-(1+INT(LOG10(ABS(G31+E31)))))=0),{0;1;10;100;1000;10000;100000},{"0.000000";"0.00000";"0.0000";"0.000";"0.00";"0.0";"0"})),TEXT(TEXT(ROUND(G31+E31,6-(1+INT(LOG10(ABS(G31+E31))))),"0.000000E+0"),LOOKUP(ABS(ROUND(G31+E31,6-(1+INT(LOG10(ABS(G31+E31))))))+(ROUND(G31+E31,6-(1+INT(LOG10(ABS(G31+E31)))))=0),{0;1;10;100;1000;10000;100000},{"0.0000000";"0.000000";"0.00000";"0.0000";"0.000";"0.00";"0.0"}))),E31))</f>
        <v>n.a.</v>
      </c>
      <c r="J31" s="85"/>
      <c r="K31" s="112" t="str">
        <f t="shared" si="3"/>
        <v>n.a.</v>
      </c>
      <c r="P31" s="96"/>
      <c r="Q31" s="96"/>
    </row>
    <row r="32" spans="2:17" x14ac:dyDescent="0.25">
      <c r="B32" s="296"/>
      <c r="C32" s="51" t="s">
        <v>6</v>
      </c>
      <c r="D32" s="77" t="str">
        <f>IF($G$23=5,"n.a.",D20)</f>
        <v>n.a.</v>
      </c>
      <c r="E32" s="127" t="str">
        <f>IF($G$23=5,"n.a.",IF(D32&gt;0.1,TEXT(TEXT(ROUND(D32,6-(1+INT(LOG10(ABS(D32))))),"0.000000E+0"),LOOKUP(ABS(ROUND(D32,6-(1+INT(LOG10(ABS(D32))))))+(ROUND(D32,6-(1+INT(LOG10(ABS(D32)))))=0),{0;1;10;100;1000;10000;100000},{"0.000000";"0.00000";"0.0000";"0.000";"0.00";"0.0";"0"})),TEXT(TEXT(ROUND(D32,6-(1+INT(LOG10(ABS(D32))))),"0.000000E+0"),LOOKUP(ABS(ROUND(D32,6-(1+INT(LOG10(ABS(D32))))))+(ROUND(D32,6-(1+INT(LOG10(ABS(D32)))))=0),{0;1;10;100;1000;10000;100000},{"0.0000000";"0.000000";"0.00000";"0.0000";"0.000";"0.00";"0.0"}))))</f>
        <v>n.a.</v>
      </c>
      <c r="F32" s="37" t="str">
        <f t="shared" si="2"/>
        <v>n.a.</v>
      </c>
      <c r="G32" s="135"/>
      <c r="H32" s="57"/>
      <c r="I32" s="95" t="str">
        <f>IF(OR($G$23=5,$G$29=0),"n.a.",IF(G32&lt;&gt;0,IF(D32&gt;0.1,TEXT(TEXT(ROUND(G32+E32,6-(1+INT(LOG10(ABS(G32+E32))))),"0.000000E+0"),LOOKUP(ABS(ROUND(G32+E32,6-(1+INT(LOG10(ABS(G32+E32))))))+(ROUND(G32+E32,6-(1+INT(LOG10(ABS(G32+E32)))))=0),{0;1;10;100;1000;10000;100000},{"0.000000";"0.00000";"0.0000";"0.000";"0.00";"0.0";"0"})),TEXT(TEXT(ROUND(G32+E32,6-(1+INT(LOG10(ABS(G32+E32))))),"0.000000E+0"),LOOKUP(ABS(ROUND(G32+E32,6-(1+INT(LOG10(ABS(G32+E32))))))+(ROUND(G32+E32,6-(1+INT(LOG10(ABS(G32+E32)))))=0),{0;1;10;100;1000;10000;100000},{"0.0000000";"0.000000";"0.00000";"0.0000";"0.000";"0.00";"0.0"}))),E32))</f>
        <v>n.a.</v>
      </c>
      <c r="J32" s="85"/>
      <c r="K32" s="112" t="str">
        <f t="shared" si="3"/>
        <v>n.a.</v>
      </c>
      <c r="P32" s="96"/>
      <c r="Q32" s="96"/>
    </row>
    <row r="33" spans="2:17" x14ac:dyDescent="0.25">
      <c r="B33" s="297"/>
      <c r="C33" s="52" t="s">
        <v>3</v>
      </c>
      <c r="D33" s="78" t="str">
        <f>IF($G$23=5,"n.a.",D21)</f>
        <v>n.a.</v>
      </c>
      <c r="E33" s="125" t="str">
        <f>IF($G$23=5,"n.a.",IF(D33&gt;0.1,TEXT(TEXT(ROUND(D33,6-(1+INT(LOG10(ABS(D33))))),"0.000000E+0"),LOOKUP(ABS(ROUND(D33,6-(1+INT(LOG10(ABS(D33))))))+(ROUND(D33,6-(1+INT(LOG10(ABS(D33)))))=0),{0;1;10;100;1000;10000;100000},{"0.000000";"0.00000";"0.0000";"0.000";"0.00";"0.0";"0"})),TEXT(TEXT(ROUND(D33,6-(1+INT(LOG10(ABS(D33))))),"0.000000E+0"),LOOKUP(ABS(ROUND(D33,6-(1+INT(LOG10(ABS(D33))))))+(ROUND(D33,6-(1+INT(LOG10(ABS(D33)))))=0),{0;1;10;100;1000;10000;100000},{"0.0000000";"0.000000";"0.00000";"0.0000";"0.000";"0.00";"0.0"}))))</f>
        <v>n.a.</v>
      </c>
      <c r="F33" s="52" t="str">
        <f t="shared" si="2"/>
        <v>n.a.</v>
      </c>
      <c r="G33" s="136"/>
      <c r="H33" s="58"/>
      <c r="I33" s="99" t="str">
        <f>IF(OR($G$23=5,$G$29=0),"n.a.",IF(G33&lt;&gt;0,IF(D33&gt;0.1,TEXT(TEXT(ROUND(G33+E33,6-(1+INT(LOG10(ABS(G33+E33))))),"0.000000E+0"),LOOKUP(ABS(ROUND(G33+E33,6-(1+INT(LOG10(ABS(G33+E33))))))+(ROUND(G33+E33,6-(1+INT(LOG10(ABS(G33+E33)))))=0),{0;1;10;100;1000;10000;100000},{"0.000000";"0.00000";"0.0000";"0.000";"0.00";"0.0";"0"})),TEXT(TEXT(ROUND(G33+E33,6-(1+INT(LOG10(ABS(G33+E33))))),"0.000000E+0"),LOOKUP(ABS(ROUND(G33+E33,6-(1+INT(LOG10(ABS(G33+E33))))))+(ROUND(G33+E33,6-(1+INT(LOG10(ABS(G33+E33)))))=0),{0;1;10;100;1000;10000;100000},{"0.0000000";"0.000000";"0.00000";"0.0000";"0.000";"0.00";"0.0"}))),E33))</f>
        <v>n.a.</v>
      </c>
      <c r="J33" s="86"/>
      <c r="K33" s="106" t="str">
        <f t="shared" si="3"/>
        <v>n.a.</v>
      </c>
      <c r="P33" s="96"/>
      <c r="Q33" s="96"/>
    </row>
    <row r="34" spans="2:17" x14ac:dyDescent="0.25">
      <c r="F34" s="91" t="str">
        <f>IF(G23=5,"n.a.",IF(SUM(F29:F33)&gt;1,ROUND(SUM(F29:F33),5),ROUND(SUM(F29:F33),6)))</f>
        <v>n.a.</v>
      </c>
      <c r="K34" s="91" t="str">
        <f>IF(OR(G23=5,G29=0),"n.a.",IF(SUM(K29:K33)&gt;1,ROUND(SUM(K29:K33),5),ROUND(SUM(K29:K33),6)))</f>
        <v>n.a.</v>
      </c>
    </row>
    <row r="35" spans="2:17" x14ac:dyDescent="0.25">
      <c r="E35" s="137" t="s">
        <v>39</v>
      </c>
      <c r="F35" s="6" t="str">
        <f>IF(G23=5,"n.a.",F34=G5)</f>
        <v>n.a.</v>
      </c>
      <c r="I35" s="53"/>
      <c r="J35" s="137" t="s">
        <v>39</v>
      </c>
      <c r="K35" s="91" t="str">
        <f>IF(OR(G23=5,G29=0),"n.a.",K34=G5)</f>
        <v>n.a.</v>
      </c>
      <c r="M35" s="97"/>
    </row>
    <row r="36" spans="2:17" x14ac:dyDescent="0.25">
      <c r="F36" s="96" t="str">
        <f>IF(G23=5,"n.a.",IF(F35=FALSE,"Adjustment Needed", "No Adjustment is Needed"))</f>
        <v>n.a.</v>
      </c>
      <c r="G36" s="100"/>
      <c r="H36" s="5"/>
      <c r="I36" s="5"/>
      <c r="J36" s="5"/>
      <c r="K36" s="6"/>
    </row>
    <row r="39" spans="2:17" ht="33" customHeight="1" x14ac:dyDescent="0.25">
      <c r="B39" s="294" t="s">
        <v>46</v>
      </c>
      <c r="C39" s="294"/>
      <c r="D39" s="294"/>
      <c r="E39" s="294"/>
      <c r="F39" s="294"/>
      <c r="G39" s="294"/>
      <c r="H39" s="294"/>
      <c r="I39" s="294"/>
      <c r="J39" s="294"/>
      <c r="K39" s="294"/>
    </row>
    <row r="40" spans="2:17" x14ac:dyDescent="0.25">
      <c r="B40" s="146"/>
      <c r="C40" s="146"/>
      <c r="D40" s="146"/>
      <c r="E40" s="146"/>
      <c r="F40" s="146"/>
      <c r="G40" s="146"/>
      <c r="H40" s="146"/>
      <c r="I40" s="146"/>
      <c r="J40" s="146"/>
      <c r="K40" s="146"/>
    </row>
  </sheetData>
  <sheetProtection algorithmName="SHA-512" hashValue="IJqXU/ypYkFyHxovY69S+pHU7r35xwGz7FUMNxkI9Jzw9oU4JFBVGBFwvt7ncpl573xQIcFOhexyYXH9nholew==" saltValue="H9HjqAsaaKkQ8/0GSvmbHw==" spinCount="100000" sheet="1" objects="1" scenarios="1"/>
  <mergeCells count="8">
    <mergeCell ref="B1:K1"/>
    <mergeCell ref="M15:M16"/>
    <mergeCell ref="B39:K39"/>
    <mergeCell ref="B27:B33"/>
    <mergeCell ref="M27:M28"/>
    <mergeCell ref="B3:B9"/>
    <mergeCell ref="B15:B21"/>
    <mergeCell ref="M5:Q9"/>
  </mergeCells>
  <conditionalFormatting sqref="F23">
    <cfRule type="containsText" dxfId="25" priority="25" operator="containsText" text="false">
      <formula>NOT(ISERROR(SEARCH("false",F23)))</formula>
    </cfRule>
    <cfRule type="containsText" dxfId="24" priority="37" operator="containsText" text="true">
      <formula>NOT(ISERROR(SEARCH("true",F23)))</formula>
    </cfRule>
  </conditionalFormatting>
  <conditionalFormatting sqref="K23">
    <cfRule type="cellIs" dxfId="23" priority="30" operator="equal">
      <formula>FALSE</formula>
    </cfRule>
    <cfRule type="containsText" dxfId="22" priority="31" operator="containsText" text="true">
      <formula>NOT(ISERROR(SEARCH("true",K23)))</formula>
    </cfRule>
  </conditionalFormatting>
  <conditionalFormatting sqref="F24">
    <cfRule type="cellIs" dxfId="21" priority="26" operator="equal">
      <formula>"Adjustment needed"</formula>
    </cfRule>
    <cfRule type="cellIs" dxfId="20" priority="27" operator="equal">
      <formula>"no adjustment is needed"</formula>
    </cfRule>
  </conditionalFormatting>
  <conditionalFormatting sqref="F35">
    <cfRule type="containsText" dxfId="19" priority="15" operator="containsText" text="false">
      <formula>NOT(ISERROR(SEARCH("false",F35)))</formula>
    </cfRule>
    <cfRule type="containsText" dxfId="18" priority="22" operator="containsText" text="true">
      <formula>NOT(ISERROR(SEARCH("true",F35)))</formula>
    </cfRule>
  </conditionalFormatting>
  <conditionalFormatting sqref="K35">
    <cfRule type="cellIs" dxfId="17" priority="20" operator="equal">
      <formula>FALSE</formula>
    </cfRule>
    <cfRule type="containsText" dxfId="16" priority="21" operator="containsText" text="true">
      <formula>NOT(ISERROR(SEARCH("true",K35)))</formula>
    </cfRule>
  </conditionalFormatting>
  <conditionalFormatting sqref="J29">
    <cfRule type="containsText" dxfId="15" priority="14" operator="containsText" text="6">
      <formula>NOT(ISERROR(SEARCH("6",J29)))</formula>
    </cfRule>
    <cfRule type="cellIs" dxfId="14" priority="18" operator="equal">
      <formula>5</formula>
    </cfRule>
    <cfRule type="cellIs" dxfId="13" priority="19" operator="equal">
      <formula>6</formula>
    </cfRule>
  </conditionalFormatting>
  <conditionalFormatting sqref="F36">
    <cfRule type="cellIs" dxfId="12" priority="16" operator="equal">
      <formula>"Adjustment needed"</formula>
    </cfRule>
    <cfRule type="cellIs" dxfId="11" priority="17" operator="equal">
      <formula>"no adjustment is needed"</formula>
    </cfRule>
  </conditionalFormatting>
  <conditionalFormatting sqref="G23">
    <cfRule type="containsText" dxfId="10" priority="9" operator="containsText" text="6">
      <formula>NOT(ISERROR(SEARCH("6",G23)))</formula>
    </cfRule>
    <cfRule type="containsText" dxfId="9" priority="10" operator="containsText" text="6">
      <formula>NOT(ISERROR(SEARCH("6",G23)))</formula>
    </cfRule>
    <cfRule type="cellIs" dxfId="8" priority="11" operator="equal">
      <formula>5</formula>
    </cfRule>
    <cfRule type="cellIs" dxfId="7" priority="12" operator="equal">
      <formula>6</formula>
    </cfRule>
  </conditionalFormatting>
  <conditionalFormatting sqref="J17">
    <cfRule type="containsText" dxfId="6" priority="4" operator="containsText" text="6">
      <formula>NOT(ISERROR(SEARCH("6",J17)))</formula>
    </cfRule>
    <cfRule type="containsText" dxfId="5" priority="5" operator="containsText" text="6">
      <formula>NOT(ISERROR(SEARCH("6",J17)))</formula>
    </cfRule>
    <cfRule type="cellIs" dxfId="4" priority="6" operator="equal">
      <formula>5</formula>
    </cfRule>
    <cfRule type="cellIs" dxfId="3" priority="7" operator="equal">
      <formula>6</formula>
    </cfRule>
  </conditionalFormatting>
  <conditionalFormatting sqref="D29:K34 D36:K36 D35 F35:I35 K35">
    <cfRule type="containsText" dxfId="2" priority="3" operator="containsText" text="n.a.">
      <formula>NOT(ISERROR(SEARCH("n.a.",D29)))</formula>
    </cfRule>
  </conditionalFormatting>
  <conditionalFormatting sqref="I17:K22 I23 K23">
    <cfRule type="containsText" dxfId="1" priority="2" operator="containsText" text="n.a.">
      <formula>NOT(ISERROR(SEARCH("n.a.",I17)))</formula>
    </cfRule>
  </conditionalFormatting>
  <conditionalFormatting sqref="L5:L9">
    <cfRule type="cellIs" dxfId="0" priority="1" operator="equal">
      <formula>"ok"</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P11"/>
  <sheetViews>
    <sheetView showGridLines="0" workbookViewId="0"/>
  </sheetViews>
  <sheetFormatPr defaultRowHeight="14.25" x14ac:dyDescent="0.25"/>
  <cols>
    <col min="1" max="1" width="2.140625" style="4" customWidth="1"/>
    <col min="2" max="2" width="9.140625" style="4"/>
    <col min="3" max="3" width="5.140625" style="4" customWidth="1"/>
    <col min="4" max="4" width="15.28515625" style="4" bestFit="1" customWidth="1"/>
    <col min="5" max="5" width="27.42578125" style="4" bestFit="1" customWidth="1"/>
    <col min="6" max="6" width="6" style="4" customWidth="1"/>
    <col min="7" max="9" width="9.140625" style="4"/>
    <col min="10" max="10" width="14.5703125" style="4" bestFit="1" customWidth="1"/>
    <col min="11" max="16384" width="9.140625" style="4"/>
  </cols>
  <sheetData>
    <row r="1" spans="2:16" ht="232.5" customHeight="1" x14ac:dyDescent="0.25">
      <c r="B1" s="300" t="s">
        <v>62</v>
      </c>
      <c r="C1" s="300"/>
      <c r="D1" s="300"/>
      <c r="E1" s="300"/>
      <c r="F1" s="300"/>
      <c r="G1" s="300"/>
      <c r="H1" s="300"/>
      <c r="I1" s="300"/>
      <c r="J1" s="300"/>
      <c r="K1" s="300"/>
      <c r="L1" s="300"/>
      <c r="M1" s="300"/>
      <c r="N1" s="300"/>
      <c r="O1" s="300"/>
      <c r="P1" s="300"/>
    </row>
    <row r="2" spans="2:16" ht="18.75" customHeight="1" x14ac:dyDescent="0.3">
      <c r="B2" s="299" t="s">
        <v>28</v>
      </c>
      <c r="C2" s="299"/>
      <c r="D2" s="299"/>
      <c r="E2" s="299" t="str">
        <f>'Calculation + Rounding '!M23</f>
        <v>R5+Adj</v>
      </c>
      <c r="F2" s="299"/>
    </row>
    <row r="4" spans="2:16" x14ac:dyDescent="0.25">
      <c r="C4" s="63"/>
      <c r="D4" s="64"/>
      <c r="E4" s="64"/>
      <c r="F4" s="65"/>
      <c r="H4" s="63"/>
      <c r="I4" s="122" t="s">
        <v>15</v>
      </c>
      <c r="J4" s="64"/>
      <c r="K4" s="64"/>
      <c r="L4" s="64"/>
      <c r="M4" s="64"/>
      <c r="N4" s="64"/>
      <c r="O4" s="64"/>
      <c r="P4" s="65"/>
    </row>
    <row r="5" spans="2:16" x14ac:dyDescent="0.25">
      <c r="C5" s="32"/>
      <c r="D5" s="73"/>
      <c r="E5" s="74" t="s">
        <v>25</v>
      </c>
      <c r="F5" s="66"/>
      <c r="H5" s="32"/>
      <c r="I5" s="5"/>
      <c r="J5" s="5"/>
      <c r="K5" s="5"/>
      <c r="L5" s="5"/>
      <c r="M5" s="5"/>
      <c r="N5" s="5"/>
      <c r="O5" s="5"/>
      <c r="P5" s="66"/>
    </row>
    <row r="6" spans="2:16" x14ac:dyDescent="0.25">
      <c r="C6" s="32"/>
      <c r="D6" s="67" t="s">
        <v>7</v>
      </c>
      <c r="E6" s="123" t="str">
        <f>IF('Calculation + Rounding '!$M$23="R5",VLOOKUP('Output (CA)'!D6,'Calculation + Rounding '!$C$17:$E$21,3,FALSE),IF('Calculation + Rounding '!$M$23="R5+Adj",VLOOKUP('Output (CA)'!D6,'Calculation + Rounding '!$C$17:$I$21,7,FALSE),IF('Calculation + Rounding '!$M$23="R6",VLOOKUP('Output (CA)'!D6,'Calculation + Rounding '!$C$29:$E$33,3,FALSE),IF('Calculation + Rounding '!$M$23="R6+Adj",VLOOKUP('Output (CA)'!D6,'Calculation + Rounding '!$C$29:$I$33,7,FALSE),""))))</f>
        <v>0.58545</v>
      </c>
      <c r="F6" s="66"/>
      <c r="H6" s="32"/>
      <c r="I6" s="6" t="s">
        <v>29</v>
      </c>
      <c r="J6" s="5" t="s">
        <v>33</v>
      </c>
      <c r="K6" s="5"/>
      <c r="L6" s="5"/>
      <c r="M6" s="5"/>
      <c r="N6" s="5"/>
      <c r="O6" s="5"/>
      <c r="P6" s="66"/>
    </row>
    <row r="7" spans="2:16" x14ac:dyDescent="0.25">
      <c r="C7" s="32"/>
      <c r="D7" s="67" t="s">
        <v>1</v>
      </c>
      <c r="E7" s="123" t="str">
        <f>IF('Calculation + Rounding '!$M$23="R5",VLOOKUP('Output (CA)'!D7,'Calculation + Rounding '!$C$17:$E$21,3,FALSE),IF('Calculation + Rounding '!$M$23="R5+Adj",VLOOKUP('Output (CA)'!D7,'Calculation + Rounding '!$C$17:$I$21,7,FALSE),IF('Calculation + Rounding '!$M$23="R6",VLOOKUP('Output (CA)'!D7,'Calculation + Rounding '!$C$29:$E$33,3,FALSE),IF('Calculation + Rounding '!$M$23="R6+Adj",VLOOKUP('Output (CA)'!D7,'Calculation + Rounding '!$C$29:$I$33,7,FALSE),""))))</f>
        <v>0.38662</v>
      </c>
      <c r="F7" s="66"/>
      <c r="H7" s="32"/>
      <c r="I7" s="6" t="s">
        <v>30</v>
      </c>
      <c r="J7" s="5" t="s">
        <v>34</v>
      </c>
      <c r="K7" s="5"/>
      <c r="L7" s="5"/>
      <c r="M7" s="5"/>
      <c r="N7" s="5"/>
      <c r="O7" s="5"/>
      <c r="P7" s="66"/>
    </row>
    <row r="8" spans="2:16" x14ac:dyDescent="0.25">
      <c r="C8" s="32"/>
      <c r="D8" s="67" t="s">
        <v>2</v>
      </c>
      <c r="E8" s="123" t="str">
        <f>IF('Calculation + Rounding '!$M$23="R5",VLOOKUP('Output (CA)'!D8,'Calculation + Rounding '!$C$17:$E$21,3,FALSE),IF('Calculation + Rounding '!$M$23="R5+Adj",VLOOKUP('Output (CA)'!D8,'Calculation + Rounding '!$C$17:$I$21,7,FALSE),IF('Calculation + Rounding '!$M$23="R6",VLOOKUP('Output (CA)'!D8,'Calculation + Rounding '!$C$29:$E$33,3,FALSE),IF('Calculation + Rounding '!$M$23="R6+Adj",VLOOKUP('Output (CA)'!D8,'Calculation + Rounding '!$C$29:$I$33,7,FALSE),""))))</f>
        <v>0.080665</v>
      </c>
      <c r="F8" s="66"/>
      <c r="H8" s="32"/>
      <c r="I8" s="6" t="s">
        <v>31</v>
      </c>
      <c r="J8" s="5" t="s">
        <v>35</v>
      </c>
      <c r="K8" s="5"/>
      <c r="L8" s="5"/>
      <c r="M8" s="5"/>
      <c r="N8" s="5"/>
      <c r="O8" s="5"/>
      <c r="P8" s="66"/>
    </row>
    <row r="9" spans="2:16" x14ac:dyDescent="0.25">
      <c r="C9" s="32"/>
      <c r="D9" s="67" t="s">
        <v>6</v>
      </c>
      <c r="E9" s="123" t="str">
        <f>IF('Calculation + Rounding '!$M$23="R5",VLOOKUP('Output (CA)'!D9,'Calculation + Rounding '!$C$17:$E$21,3,FALSE),IF('Calculation + Rounding '!$M$23="R5+Adj",VLOOKUP('Output (CA)'!D9,'Calculation + Rounding '!$C$17:$I$21,7,FALSE),IF('Calculation + Rounding '!$M$23="R6",VLOOKUP('Output (CA)'!D9,'Calculation + Rounding '!$C$29:$E$33,3,FALSE),IF('Calculation + Rounding '!$M$23="R6+Adj",VLOOKUP('Output (CA)'!D9,'Calculation + Rounding '!$C$29:$I$33,7,FALSE),""))))</f>
        <v>12.436</v>
      </c>
      <c r="F9" s="66"/>
      <c r="H9" s="32"/>
      <c r="I9" s="6" t="s">
        <v>32</v>
      </c>
      <c r="J9" s="5" t="s">
        <v>36</v>
      </c>
      <c r="K9" s="5"/>
      <c r="L9" s="5"/>
      <c r="M9" s="5"/>
      <c r="N9" s="5"/>
      <c r="O9" s="5"/>
      <c r="P9" s="66"/>
    </row>
    <row r="10" spans="2:16" x14ac:dyDescent="0.25">
      <c r="C10" s="32"/>
      <c r="D10" s="67" t="s">
        <v>3</v>
      </c>
      <c r="E10" s="123" t="str">
        <f>IF('Calculation + Rounding '!$M$23="R5",VLOOKUP('Output (CA)'!D10,'Calculation + Rounding '!$C$17:$E$21,3,FALSE),IF('Calculation + Rounding '!$M$23="R5+Adj",VLOOKUP('Output (CA)'!D10,'Calculation + Rounding '!$C$17:$I$21,7,FALSE),IF('Calculation + Rounding '!$M$23="R6",VLOOKUP('Output (CA)'!D10,'Calculation + Rounding '!$C$29:$E$33,3,FALSE),IF('Calculation + Rounding '!$M$23="R6+Adj",VLOOKUP('Output (CA)'!D10,'Calculation + Rounding '!$C$29:$I$33,7,FALSE),""))))</f>
        <v>1.0112</v>
      </c>
      <c r="F10" s="66"/>
      <c r="H10" s="68"/>
      <c r="I10" s="8"/>
      <c r="J10" s="8"/>
      <c r="K10" s="8"/>
      <c r="L10" s="8"/>
      <c r="M10" s="8"/>
      <c r="N10" s="8"/>
      <c r="O10" s="8"/>
      <c r="P10" s="69"/>
    </row>
    <row r="11" spans="2:16" x14ac:dyDescent="0.25">
      <c r="C11" s="68"/>
      <c r="D11" s="8"/>
      <c r="E11" s="8"/>
      <c r="F11" s="69"/>
    </row>
  </sheetData>
  <sheetProtection algorithmName="SHA-512" hashValue="W1Qs4rf7nQNlpQWduLJ/SlaBVAG9OonMfnAqJTqSF7CqkAcce0HQuUF56GrTe8hyQrNhwGBZkGARgyq57fNXNg==" saltValue="kfI8BaIkl+wdJmCPa8rCcg==" spinCount="100000" sheet="1" objects="1" scenarios="1"/>
  <mergeCells count="3">
    <mergeCell ref="E2:F2"/>
    <mergeCell ref="B2:D2"/>
    <mergeCell ref="B1:P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Inputs (Edit)</vt:lpstr>
      <vt:lpstr>DO NOT EDIT &gt;&gt;</vt:lpstr>
      <vt:lpstr>Calculation + Rounding </vt:lpstr>
      <vt:lpstr>Output (CA)</vt:lpstr>
      <vt:lpstr>'Read 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dmikhail</dc:creator>
  <cp:lastModifiedBy>Nkusu, Mwanza</cp:lastModifiedBy>
  <dcterms:created xsi:type="dcterms:W3CDTF">2016-07-06T15:04:31Z</dcterms:created>
  <dcterms:modified xsi:type="dcterms:W3CDTF">2016-08-10T13:35:06Z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-7427418</vt:i4>
  </property>
  <property fmtid="{D5CDD505-2E9C-101B-9397-08002B2CF9AE}" pid="3" name="_NewReviewCycle">
    <vt:lpwstr/>
  </property>
  <property fmtid="{D5CDD505-2E9C-101B-9397-08002B2CF9AE}" pid="4" name="_EmailSubject">
    <vt:lpwstr>Weekly Illustrative Currency Amounts pages (Amended) </vt:lpwstr>
  </property>
  <property fmtid="{D5CDD505-2E9C-101B-9397-08002B2CF9AE}" pid="5" name="_AuthorEmail">
    <vt:lpwstr>MNKUSU@imf.org</vt:lpwstr>
  </property>
  <property fmtid="{D5CDD505-2E9C-101B-9397-08002B2CF9AE}" pid="6" name="_AuthorEmailDisplayName">
    <vt:lpwstr>Nkusu, Mwanza</vt:lpwstr>
  </property>
  <property fmtid="{D5CDD505-2E9C-101B-9397-08002B2CF9AE}" pid="7" name="_PreviousAdHocReviewCycleID">
    <vt:i4>148384973</vt:i4>
  </property>
</Properties>
</file>