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ownloads\"/>
    </mc:Choice>
  </mc:AlternateContent>
  <bookViews>
    <workbookView xWindow="0" yWindow="0" windowWidth="28800" windowHeight="12210"/>
  </bookViews>
  <sheets>
    <sheet name="题目" sheetId="1" r:id="rId1"/>
    <sheet name="模型（年度基础数据）" sheetId="2" r:id="rId2"/>
    <sheet name="模型（季度基础数据）" sheetId="3" r:id="rId3"/>
    <sheet name="按季度重新排序并作图" sheetId="4" r:id="rId4"/>
    <sheet name="Sheet5" sheetId="11" state="hidden" r:id="rId5"/>
    <sheet name="Sheet6" sheetId="12" state="hidden" r:id="rId6"/>
    <sheet name="Sheet7" sheetId="13" state="hidden" r:id="rId7"/>
  </sheets>
  <externalReferences>
    <externalReference r:id="rId8"/>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3" l="1"/>
  <c r="C4" i="3"/>
  <c r="C3" i="4" s="1"/>
  <c r="I4" i="3" l="1"/>
  <c r="I1" i="3" s="1"/>
  <c r="C1" i="3"/>
  <c r="D4" i="3"/>
  <c r="D1" i="3" s="1"/>
  <c r="C5" i="3"/>
  <c r="I10" i="3"/>
  <c r="C16" i="3"/>
  <c r="D12" i="3"/>
  <c r="D16" i="3"/>
  <c r="D10" i="3"/>
  <c r="C14" i="3"/>
  <c r="D5" i="3"/>
  <c r="I7" i="3"/>
  <c r="C12" i="3"/>
  <c r="D7" i="3"/>
  <c r="C10" i="3"/>
  <c r="I12" i="3"/>
  <c r="I16" i="3"/>
  <c r="D14" i="3"/>
  <c r="I14" i="3"/>
  <c r="C7" i="3"/>
  <c r="I5" i="3"/>
  <c r="C4" i="4" l="1"/>
  <c r="C49" i="4" s="1"/>
  <c r="C1" i="4"/>
  <c r="C17" i="4" s="1"/>
  <c r="D3" i="4"/>
  <c r="D4" i="4" s="1"/>
  <c r="D49" i="4" s="1"/>
  <c r="J4" i="3"/>
  <c r="J1" i="3" s="1"/>
  <c r="O4" i="3"/>
  <c r="U4" i="3" s="1"/>
  <c r="U1" i="3" s="1"/>
  <c r="I8" i="3"/>
  <c r="D8" i="3"/>
  <c r="I11" i="3"/>
  <c r="D11" i="3"/>
  <c r="I13" i="3"/>
  <c r="D13" i="3"/>
  <c r="D17" i="3"/>
  <c r="D15" i="3"/>
  <c r="D9" i="3"/>
  <c r="D6" i="3"/>
  <c r="C8" i="3"/>
  <c r="C13" i="3"/>
  <c r="C11" i="3"/>
  <c r="E4" i="3"/>
  <c r="E1" i="3" s="1"/>
  <c r="C1" i="2"/>
  <c r="D4" i="2"/>
  <c r="D1" i="2" s="1"/>
  <c r="E3" i="4"/>
  <c r="J7" i="3"/>
  <c r="C5" i="2"/>
  <c r="E7" i="3"/>
  <c r="J12" i="3"/>
  <c r="D16" i="2"/>
  <c r="J5" i="3"/>
  <c r="J14" i="3"/>
  <c r="E16" i="3"/>
  <c r="C16" i="2"/>
  <c r="E14" i="3"/>
  <c r="C12" i="2"/>
  <c r="U12" i="3"/>
  <c r="U7" i="3"/>
  <c r="J16" i="3"/>
  <c r="D5" i="2"/>
  <c r="U10" i="3"/>
  <c r="E10" i="3"/>
  <c r="U5" i="3"/>
  <c r="J10" i="3"/>
  <c r="D7" i="2"/>
  <c r="D14" i="2"/>
  <c r="E5" i="3"/>
  <c r="C10" i="2"/>
  <c r="C14" i="2"/>
  <c r="D10" i="2"/>
  <c r="U14" i="3"/>
  <c r="E12" i="3"/>
  <c r="U16" i="3"/>
  <c r="D12" i="2"/>
  <c r="C7" i="2"/>
  <c r="D1" i="4" l="1"/>
  <c r="C15" i="4"/>
  <c r="C11" i="4"/>
  <c r="C5" i="4"/>
  <c r="C8" i="4"/>
  <c r="C13" i="4"/>
  <c r="K4" i="3"/>
  <c r="F4" i="3"/>
  <c r="F1" i="3" s="1"/>
  <c r="P4" i="3"/>
  <c r="P1" i="3" s="1"/>
  <c r="D15" i="2"/>
  <c r="D17" i="2"/>
  <c r="D9" i="2"/>
  <c r="D8" i="2"/>
  <c r="D11" i="2"/>
  <c r="D13" i="2"/>
  <c r="D6" i="2"/>
  <c r="C13" i="2"/>
  <c r="C8" i="2"/>
  <c r="C11" i="2"/>
  <c r="E4" i="2"/>
  <c r="E1" i="2" s="1"/>
  <c r="O1" i="3"/>
  <c r="E4" i="4"/>
  <c r="E49" i="4" s="1"/>
  <c r="E1" i="4"/>
  <c r="F3" i="4"/>
  <c r="G3" i="4" s="1"/>
  <c r="E17" i="3"/>
  <c r="E15" i="3"/>
  <c r="E13" i="3"/>
  <c r="E11" i="3"/>
  <c r="E9" i="3"/>
  <c r="E8" i="3"/>
  <c r="E6" i="3"/>
  <c r="J17" i="3"/>
  <c r="J15" i="3"/>
  <c r="J13" i="3"/>
  <c r="J11" i="3"/>
  <c r="J9" i="3"/>
  <c r="J8" i="3"/>
  <c r="J6" i="3"/>
  <c r="U13" i="3"/>
  <c r="U11" i="3"/>
  <c r="U8" i="3"/>
  <c r="V4" i="3"/>
  <c r="V1" i="3" s="1"/>
  <c r="K1" i="3"/>
  <c r="Q4" i="3"/>
  <c r="V14" i="3"/>
  <c r="O7" i="3"/>
  <c r="E10" i="2"/>
  <c r="P5" i="3"/>
  <c r="K16" i="3"/>
  <c r="P16" i="3"/>
  <c r="F12" i="3"/>
  <c r="K5" i="3"/>
  <c r="F10" i="3"/>
  <c r="F14" i="3"/>
  <c r="V16" i="3"/>
  <c r="O5" i="3"/>
  <c r="V10" i="3"/>
  <c r="F5" i="3"/>
  <c r="P12" i="3"/>
  <c r="K7" i="3"/>
  <c r="V12" i="3"/>
  <c r="V5" i="3"/>
  <c r="P14" i="3"/>
  <c r="K12" i="3"/>
  <c r="P7" i="3"/>
  <c r="F16" i="3"/>
  <c r="O16" i="3"/>
  <c r="K14" i="3"/>
  <c r="K10" i="3"/>
  <c r="E14" i="2"/>
  <c r="V7" i="3"/>
  <c r="O10" i="3"/>
  <c r="E12" i="2"/>
  <c r="O14" i="3"/>
  <c r="E16" i="2"/>
  <c r="E5" i="2"/>
  <c r="O12" i="3"/>
  <c r="F7" i="3"/>
  <c r="P10" i="3"/>
  <c r="E7" i="2"/>
  <c r="C12" i="4" l="1"/>
  <c r="F4" i="2"/>
  <c r="C14" i="4"/>
  <c r="C51" i="4" s="1"/>
  <c r="L4" i="3"/>
  <c r="L1" i="3" s="1"/>
  <c r="C9" i="4"/>
  <c r="C50" i="4" s="1"/>
  <c r="G4" i="3"/>
  <c r="G1" i="3" s="1"/>
  <c r="E17" i="2"/>
  <c r="E8" i="2"/>
  <c r="E9" i="2"/>
  <c r="E11" i="2"/>
  <c r="E13" i="2"/>
  <c r="E15" i="2"/>
  <c r="E6" i="2"/>
  <c r="O13" i="3"/>
  <c r="O11" i="3"/>
  <c r="O8" i="3"/>
  <c r="F17" i="3"/>
  <c r="G4" i="4"/>
  <c r="G49" i="4" s="1"/>
  <c r="G1" i="4"/>
  <c r="F4" i="4"/>
  <c r="F49" i="4" s="1"/>
  <c r="F1" i="4"/>
  <c r="H3" i="4"/>
  <c r="H4" i="4" s="1"/>
  <c r="V17" i="3"/>
  <c r="V15" i="3"/>
  <c r="V13" i="3"/>
  <c r="V11" i="3"/>
  <c r="V9" i="3"/>
  <c r="V8" i="3"/>
  <c r="V6" i="3"/>
  <c r="K17" i="3"/>
  <c r="K15" i="3"/>
  <c r="K13" i="3"/>
  <c r="K11" i="3"/>
  <c r="K8" i="3"/>
  <c r="K9" i="3"/>
  <c r="K6" i="3"/>
  <c r="F15" i="3"/>
  <c r="F13" i="3"/>
  <c r="F11" i="3"/>
  <c r="F8" i="3"/>
  <c r="F9" i="3"/>
  <c r="F6" i="3"/>
  <c r="P17" i="3"/>
  <c r="P15" i="3"/>
  <c r="P13" i="3"/>
  <c r="P11" i="3"/>
  <c r="P8" i="3"/>
  <c r="P9" i="3"/>
  <c r="P6" i="3"/>
  <c r="W4" i="3"/>
  <c r="W1" i="3" s="1"/>
  <c r="Q1" i="3"/>
  <c r="R4" i="3"/>
  <c r="R1" i="3" s="1"/>
  <c r="H4" i="3"/>
  <c r="H1" i="3" s="1"/>
  <c r="G4" i="2"/>
  <c r="H4" i="2" s="1"/>
  <c r="F1" i="2"/>
  <c r="F12" i="2"/>
  <c r="R10" i="3"/>
  <c r="H16" i="3"/>
  <c r="W5" i="3"/>
  <c r="F14" i="2"/>
  <c r="Q5" i="3"/>
  <c r="R16" i="3"/>
  <c r="G12" i="3"/>
  <c r="F7" i="2"/>
  <c r="W14" i="3"/>
  <c r="L16" i="3"/>
  <c r="Q7" i="3"/>
  <c r="R7" i="3"/>
  <c r="G16" i="3"/>
  <c r="G14" i="3"/>
  <c r="H5" i="3"/>
  <c r="F10" i="2"/>
  <c r="G5" i="3"/>
  <c r="Q16" i="3"/>
  <c r="R12" i="3"/>
  <c r="F16" i="2"/>
  <c r="Q10" i="3"/>
  <c r="G7" i="3"/>
  <c r="H14" i="3"/>
  <c r="L14" i="3"/>
  <c r="H12" i="3"/>
  <c r="L10" i="3"/>
  <c r="R5" i="3"/>
  <c r="R14" i="3"/>
  <c r="Q12" i="3"/>
  <c r="W12" i="3"/>
  <c r="W10" i="3"/>
  <c r="Q14" i="3"/>
  <c r="L7" i="3"/>
  <c r="F5" i="2"/>
  <c r="W7" i="3"/>
  <c r="L12" i="3"/>
  <c r="L5" i="3"/>
  <c r="W16" i="3"/>
  <c r="H10" i="3"/>
  <c r="G10" i="3"/>
  <c r="H7" i="3"/>
  <c r="D17" i="4" l="1"/>
  <c r="D18" i="4" s="1"/>
  <c r="D8" i="4"/>
  <c r="D5" i="4"/>
  <c r="D13" i="4"/>
  <c r="D11" i="4"/>
  <c r="D15" i="4"/>
  <c r="M4" i="3"/>
  <c r="S4" i="3" s="1"/>
  <c r="S1" i="3" s="1"/>
  <c r="G15" i="4"/>
  <c r="G16" i="4" s="1"/>
  <c r="G8" i="4"/>
  <c r="G13" i="4"/>
  <c r="G5" i="4"/>
  <c r="G17" i="4"/>
  <c r="G11" i="4"/>
  <c r="X4" i="3"/>
  <c r="X1" i="3" s="1"/>
  <c r="N4" i="3"/>
  <c r="N1" i="3" s="1"/>
  <c r="H1" i="4"/>
  <c r="F11" i="2"/>
  <c r="F13" i="2"/>
  <c r="F15" i="2"/>
  <c r="F6" i="2"/>
  <c r="F17" i="2"/>
  <c r="F8" i="2"/>
  <c r="F9" i="2"/>
  <c r="H1" i="2"/>
  <c r="I4" i="2"/>
  <c r="I1" i="2" s="1"/>
  <c r="G1" i="2"/>
  <c r="I3" i="4"/>
  <c r="I1" i="4" s="1"/>
  <c r="C24" i="4"/>
  <c r="H49" i="4"/>
  <c r="D24" i="4"/>
  <c r="D7" i="4"/>
  <c r="R9" i="3"/>
  <c r="R8" i="3"/>
  <c r="G13" i="3"/>
  <c r="W6" i="3"/>
  <c r="W17" i="3"/>
  <c r="L13" i="3"/>
  <c r="H6" i="3"/>
  <c r="R6" i="3"/>
  <c r="R13" i="3"/>
  <c r="L17" i="3"/>
  <c r="G9" i="3"/>
  <c r="G8" i="3"/>
  <c r="W11" i="3"/>
  <c r="G11" i="3"/>
  <c r="Q15" i="3"/>
  <c r="Q11" i="3"/>
  <c r="H15" i="3"/>
  <c r="H13" i="3"/>
  <c r="W9" i="3"/>
  <c r="W8" i="3"/>
  <c r="R15" i="3"/>
  <c r="R17" i="3"/>
  <c r="H17" i="3"/>
  <c r="G6" i="3"/>
  <c r="Q6" i="3"/>
  <c r="Q13" i="3"/>
  <c r="W15" i="3"/>
  <c r="W13" i="3"/>
  <c r="Q8" i="3"/>
  <c r="Q9" i="3"/>
  <c r="G17" i="3"/>
  <c r="H9" i="3"/>
  <c r="H8" i="3"/>
  <c r="H11" i="3"/>
  <c r="R11" i="3"/>
  <c r="Q17" i="3"/>
  <c r="L11" i="3"/>
  <c r="G15" i="3"/>
  <c r="L8" i="3"/>
  <c r="L9" i="3"/>
  <c r="L6" i="3"/>
  <c r="L15" i="3"/>
  <c r="Y4" i="3"/>
  <c r="Y1" i="3" s="1"/>
  <c r="I12" i="2"/>
  <c r="I5" i="2"/>
  <c r="H10" i="2"/>
  <c r="H5" i="2"/>
  <c r="I14" i="2"/>
  <c r="S12" i="3"/>
  <c r="G10" i="2"/>
  <c r="N12" i="3"/>
  <c r="S7" i="3"/>
  <c r="X5" i="3"/>
  <c r="N10" i="3"/>
  <c r="X10" i="3"/>
  <c r="N5" i="3"/>
  <c r="X7" i="3"/>
  <c r="G14" i="2"/>
  <c r="Y7" i="3"/>
  <c r="H14" i="2"/>
  <c r="X12" i="3"/>
  <c r="S16" i="3"/>
  <c r="G7" i="2"/>
  <c r="N7" i="3"/>
  <c r="S5" i="3"/>
  <c r="Y10" i="3"/>
  <c r="Y12" i="3"/>
  <c r="S14" i="3"/>
  <c r="G16" i="2"/>
  <c r="X16" i="3"/>
  <c r="N16" i="3"/>
  <c r="H7" i="2"/>
  <c r="I16" i="2"/>
  <c r="G12" i="2"/>
  <c r="I10" i="2"/>
  <c r="Y16" i="3"/>
  <c r="H16" i="2"/>
  <c r="N14" i="3"/>
  <c r="H12" i="2"/>
  <c r="G5" i="2"/>
  <c r="S10" i="3"/>
  <c r="Y14" i="3"/>
  <c r="X14" i="3"/>
  <c r="Y5" i="3"/>
  <c r="I7" i="2"/>
  <c r="G10" i="4" l="1"/>
  <c r="G6" i="4" s="1"/>
  <c r="C26" i="4"/>
  <c r="M1" i="3"/>
  <c r="I8" i="4" s="1"/>
  <c r="H8" i="4"/>
  <c r="H13" i="4"/>
  <c r="H15" i="4"/>
  <c r="H16" i="4" s="1"/>
  <c r="D26" i="4" s="1"/>
  <c r="H11" i="4"/>
  <c r="H5" i="4"/>
  <c r="H6" i="4" s="1"/>
  <c r="D25" i="4" s="1"/>
  <c r="H17" i="4"/>
  <c r="E13" i="4"/>
  <c r="E11" i="4"/>
  <c r="E5" i="4"/>
  <c r="I11" i="4"/>
  <c r="I13" i="4"/>
  <c r="I15" i="4"/>
  <c r="I5" i="4"/>
  <c r="G14" i="4"/>
  <c r="G51" i="4" s="1"/>
  <c r="E15" i="4"/>
  <c r="G12" i="4"/>
  <c r="G9" i="4"/>
  <c r="G50" i="4" s="1"/>
  <c r="T4" i="3"/>
  <c r="T1" i="3" s="1"/>
  <c r="N13" i="3"/>
  <c r="N11" i="3"/>
  <c r="N8" i="3"/>
  <c r="X15" i="3"/>
  <c r="X11" i="3"/>
  <c r="X8" i="3"/>
  <c r="X9" i="3"/>
  <c r="X6" i="3"/>
  <c r="X17" i="3"/>
  <c r="X13" i="3"/>
  <c r="H15" i="2"/>
  <c r="H17" i="2"/>
  <c r="H8" i="2"/>
  <c r="H9" i="2"/>
  <c r="H11" i="2"/>
  <c r="H13" i="2"/>
  <c r="H6" i="2"/>
  <c r="G13" i="2"/>
  <c r="G15" i="2"/>
  <c r="G6" i="2"/>
  <c r="G17" i="2"/>
  <c r="G9" i="2"/>
  <c r="G8" i="2"/>
  <c r="G11" i="2"/>
  <c r="I17" i="2"/>
  <c r="I8" i="2"/>
  <c r="I9" i="2"/>
  <c r="I11" i="2"/>
  <c r="I13" i="2"/>
  <c r="I15" i="2"/>
  <c r="I6" i="2"/>
  <c r="I4" i="4"/>
  <c r="J3" i="4"/>
  <c r="S17" i="3"/>
  <c r="S15" i="3"/>
  <c r="S13" i="3"/>
  <c r="S11" i="3"/>
  <c r="S8" i="3"/>
  <c r="S9" i="3"/>
  <c r="S6" i="3"/>
  <c r="Y17" i="3"/>
  <c r="Y15" i="3"/>
  <c r="Y13" i="3"/>
  <c r="Y11" i="3"/>
  <c r="Y9" i="3"/>
  <c r="Y8" i="3"/>
  <c r="Y6" i="3"/>
  <c r="M5" i="3"/>
  <c r="T14" i="3"/>
  <c r="M14" i="3"/>
  <c r="T5" i="3"/>
  <c r="T16" i="3"/>
  <c r="M12" i="3"/>
  <c r="T7" i="3"/>
  <c r="M7" i="3"/>
  <c r="M10" i="3"/>
  <c r="T12" i="3"/>
  <c r="M16" i="3"/>
  <c r="T10" i="3"/>
  <c r="E12" i="4" l="1"/>
  <c r="G18" i="4"/>
  <c r="C25" i="4"/>
  <c r="Z4" i="3"/>
  <c r="Z1" i="3" s="1"/>
  <c r="I6" i="4"/>
  <c r="E25" i="4" s="1"/>
  <c r="E14" i="4"/>
  <c r="E51" i="4" s="1"/>
  <c r="E17" i="4"/>
  <c r="I17" i="4"/>
  <c r="I12" i="4"/>
  <c r="N17" i="3"/>
  <c r="M17" i="3"/>
  <c r="M15" i="3"/>
  <c r="N15" i="3"/>
  <c r="M13" i="3"/>
  <c r="M11" i="3"/>
  <c r="N9" i="3"/>
  <c r="M8" i="3"/>
  <c r="M9" i="3"/>
  <c r="M6" i="3"/>
  <c r="N6" i="3"/>
  <c r="F17" i="4"/>
  <c r="F13" i="4"/>
  <c r="I9" i="4"/>
  <c r="I50" i="4" s="1"/>
  <c r="E8" i="4"/>
  <c r="H7" i="4"/>
  <c r="H18" i="4" s="1"/>
  <c r="D9" i="4" s="1"/>
  <c r="D50" i="4" s="1"/>
  <c r="D12" i="4" s="1"/>
  <c r="D14" i="4" s="1"/>
  <c r="D51" i="4" s="1"/>
  <c r="H12" i="4"/>
  <c r="I16" i="4" s="1"/>
  <c r="E26" i="4" s="1"/>
  <c r="I14" i="4" s="1"/>
  <c r="I51" i="4" s="1"/>
  <c r="E7" i="4" s="1"/>
  <c r="I7" i="4"/>
  <c r="F8" i="4"/>
  <c r="F5" i="4"/>
  <c r="F7" i="4" s="1"/>
  <c r="F11" i="4"/>
  <c r="H14" i="4"/>
  <c r="H51" i="4" s="1"/>
  <c r="E18" i="4" s="1"/>
  <c r="F15" i="4"/>
  <c r="H10" i="4"/>
  <c r="H9" i="4"/>
  <c r="H50" i="4" s="1"/>
  <c r="T17" i="3"/>
  <c r="T15" i="3"/>
  <c r="T13" i="3"/>
  <c r="T11" i="3"/>
  <c r="T9" i="3"/>
  <c r="T8" i="3"/>
  <c r="T6" i="3"/>
  <c r="J4" i="4"/>
  <c r="J1" i="4"/>
  <c r="K3" i="4"/>
  <c r="I49" i="4"/>
  <c r="E24" i="4"/>
  <c r="Z16" i="3"/>
  <c r="Z7" i="3"/>
  <c r="Z14" i="3"/>
  <c r="Z5" i="3"/>
  <c r="Z10" i="3"/>
  <c r="Z12" i="3"/>
  <c r="Z6" i="3" l="1"/>
  <c r="Z9" i="3"/>
  <c r="Z8" i="3"/>
  <c r="Z11" i="3"/>
  <c r="Z13" i="3"/>
  <c r="Z15" i="3"/>
  <c r="Z17" i="3"/>
  <c r="I18" i="4"/>
  <c r="E9" i="4"/>
  <c r="E50" i="4" s="1"/>
  <c r="I10" i="4"/>
  <c r="F9" i="4"/>
  <c r="F50" i="4" s="1"/>
  <c r="F12" i="4"/>
  <c r="F14" i="4"/>
  <c r="F51" i="4" s="1"/>
  <c r="G7" i="4"/>
  <c r="J5" i="4"/>
  <c r="J11" i="4"/>
  <c r="J17" i="4"/>
  <c r="J18" i="4" s="1"/>
  <c r="J8" i="4"/>
  <c r="J15" i="4"/>
  <c r="J16" i="4" s="1"/>
  <c r="F26" i="4" s="1"/>
  <c r="J13" i="4"/>
  <c r="K1" i="4"/>
  <c r="L3" i="4"/>
  <c r="K4" i="4"/>
  <c r="F24" i="4"/>
  <c r="J49" i="4"/>
  <c r="J14" i="4" l="1"/>
  <c r="J51" i="4" s="1"/>
  <c r="J12" i="4"/>
  <c r="K17" i="4"/>
  <c r="K18" i="4" s="1"/>
  <c r="K15" i="4"/>
  <c r="K8" i="4"/>
  <c r="K11" i="4"/>
  <c r="K13" i="4"/>
  <c r="K5" i="4"/>
  <c r="K6" i="4" s="1"/>
  <c r="G25" i="4" s="1"/>
  <c r="J9" i="4"/>
  <c r="J50" i="4" s="1"/>
  <c r="J10" i="4"/>
  <c r="J6" i="4"/>
  <c r="F25" i="4" s="1"/>
  <c r="J7" i="4"/>
  <c r="G24" i="4"/>
  <c r="K49" i="4"/>
  <c r="M3" i="4"/>
  <c r="L1" i="4"/>
  <c r="L4" i="4"/>
  <c r="K16" i="4" l="1"/>
  <c r="G26" i="4" s="1"/>
  <c r="K10" i="4" s="1"/>
  <c r="K7" i="4" s="1"/>
  <c r="K12" i="4"/>
  <c r="K14" i="4"/>
  <c r="K51" i="4" s="1"/>
  <c r="K9" i="4"/>
  <c r="K50" i="4" s="1"/>
  <c r="L13" i="4"/>
  <c r="L5" i="4"/>
  <c r="L7" i="4" s="1"/>
  <c r="L17" i="4"/>
  <c r="L11" i="4"/>
  <c r="L8" i="4"/>
  <c r="L15" i="4"/>
  <c r="L16" i="4" s="1"/>
  <c r="H26" i="4" s="1"/>
  <c r="M4" i="4"/>
  <c r="M1" i="4"/>
  <c r="N3" i="4"/>
  <c r="L49" i="4"/>
  <c r="H24" i="4"/>
  <c r="L18" i="4" l="1"/>
  <c r="L10" i="4" s="1"/>
  <c r="L6" i="4" s="1"/>
  <c r="H25" i="4" s="1"/>
  <c r="L14" i="4"/>
  <c r="L51" i="4" s="1"/>
  <c r="L9" i="4"/>
  <c r="L50" i="4" s="1"/>
  <c r="M11" i="4"/>
  <c r="M15" i="4"/>
  <c r="M8" i="4"/>
  <c r="M5" i="4"/>
  <c r="M13" i="4"/>
  <c r="M17" i="4"/>
  <c r="L12" i="4"/>
  <c r="N4" i="4"/>
  <c r="N1" i="4"/>
  <c r="O3" i="4"/>
  <c r="I24" i="4"/>
  <c r="M49" i="4"/>
  <c r="M14" i="4" l="1"/>
  <c r="M51" i="4" s="1"/>
  <c r="M12" i="4"/>
  <c r="M6" i="4"/>
  <c r="I25" i="4" s="1"/>
  <c r="M7" i="4"/>
  <c r="N5" i="4"/>
  <c r="N7" i="4" s="1"/>
  <c r="N11" i="4"/>
  <c r="N17" i="4"/>
  <c r="N13" i="4"/>
  <c r="N8" i="4"/>
  <c r="N15" i="4"/>
  <c r="N16" i="4" s="1"/>
  <c r="J26" i="4" s="1"/>
  <c r="M9" i="4"/>
  <c r="M50" i="4" s="1"/>
  <c r="M18" i="4"/>
  <c r="M16" i="4" s="1"/>
  <c r="I26" i="4" s="1"/>
  <c r="M10" i="4" s="1"/>
  <c r="N49" i="4"/>
  <c r="J24" i="4"/>
  <c r="O4" i="4"/>
  <c r="O1" i="4"/>
  <c r="P3" i="4"/>
  <c r="N9" i="4" l="1"/>
  <c r="N50" i="4" s="1"/>
  <c r="N10" i="4"/>
  <c r="N6" i="4" s="1"/>
  <c r="J25" i="4" s="1"/>
  <c r="N18" i="4" s="1"/>
  <c r="N12" i="4"/>
  <c r="N14" i="4"/>
  <c r="N51" i="4" s="1"/>
  <c r="O15" i="4"/>
  <c r="O16" i="4" s="1"/>
  <c r="K26" i="4" s="1"/>
  <c r="O13" i="4"/>
  <c r="O17" i="4"/>
  <c r="O11" i="4"/>
  <c r="O8" i="4"/>
  <c r="O5" i="4"/>
  <c r="O7" i="4" s="1"/>
  <c r="K24" i="4"/>
  <c r="O49" i="4"/>
  <c r="P4" i="4"/>
  <c r="P1" i="4"/>
  <c r="Q3" i="4"/>
  <c r="O10" i="4" l="1"/>
  <c r="O6" i="4" s="1"/>
  <c r="K25" i="4" s="1"/>
  <c r="O18" i="4" s="1"/>
  <c r="P8" i="4"/>
  <c r="P15" i="4"/>
  <c r="P5" i="4"/>
  <c r="P6" i="4" s="1"/>
  <c r="L25" i="4" s="1"/>
  <c r="P11" i="4"/>
  <c r="P17" i="4"/>
  <c r="P13" i="4"/>
  <c r="O14" i="4"/>
  <c r="O51" i="4" s="1"/>
  <c r="O9" i="4"/>
  <c r="O50" i="4" s="1"/>
  <c r="O12" i="4"/>
  <c r="L24" i="4"/>
  <c r="P49" i="4"/>
  <c r="Q4" i="4"/>
  <c r="Q1" i="4"/>
  <c r="R3" i="4"/>
  <c r="P12" i="4" l="1"/>
  <c r="P14" i="4"/>
  <c r="P51" i="4" s="1"/>
  <c r="P10" i="4"/>
  <c r="P7" i="4" s="1"/>
  <c r="P18" i="4" s="1"/>
  <c r="P16" i="4" s="1"/>
  <c r="L26" i="4" s="1"/>
  <c r="Q5" i="4"/>
  <c r="Q7" i="4" s="1"/>
  <c r="Q13" i="4"/>
  <c r="Q8" i="4"/>
  <c r="Q17" i="4"/>
  <c r="Q11" i="4"/>
  <c r="Q15" i="4"/>
  <c r="P9" i="4"/>
  <c r="P50" i="4" s="1"/>
  <c r="M24" i="4"/>
  <c r="Q49" i="4"/>
  <c r="R4" i="4"/>
  <c r="R1" i="4"/>
  <c r="S3" i="4"/>
  <c r="Q12" i="4" l="1"/>
  <c r="Q9" i="4"/>
  <c r="Q50" i="4" s="1"/>
  <c r="Q14" i="4"/>
  <c r="Q51" i="4" s="1"/>
  <c r="Q18" i="4"/>
  <c r="Q16" i="4" s="1"/>
  <c r="M26" i="4" s="1"/>
  <c r="Q10" i="4" s="1"/>
  <c r="Q6" i="4" s="1"/>
  <c r="M25" i="4" s="1"/>
  <c r="R11" i="4"/>
  <c r="R17" i="4"/>
  <c r="R8" i="4"/>
  <c r="R15" i="4"/>
  <c r="R16" i="4" s="1"/>
  <c r="N26" i="4" s="1"/>
  <c r="R13" i="4"/>
  <c r="R5" i="4"/>
  <c r="R7" i="4" s="1"/>
  <c r="S1" i="4"/>
  <c r="T3" i="4"/>
  <c r="S4" i="4"/>
  <c r="R49" i="4"/>
  <c r="N24" i="4"/>
  <c r="R9" i="4" l="1"/>
  <c r="R50" i="4" s="1"/>
  <c r="R10" i="4"/>
  <c r="R6" i="4" s="1"/>
  <c r="N25" i="4" s="1"/>
  <c r="R18" i="4" s="1"/>
  <c r="S15" i="4"/>
  <c r="S5" i="4"/>
  <c r="S7" i="4" s="1"/>
  <c r="S11" i="4"/>
  <c r="S17" i="4"/>
  <c r="S13" i="4"/>
  <c r="S8" i="4"/>
  <c r="S9" i="4" s="1"/>
  <c r="S50" i="4" s="1"/>
  <c r="R14" i="4"/>
  <c r="R51" i="4" s="1"/>
  <c r="R12" i="4"/>
  <c r="O24" i="4"/>
  <c r="S49" i="4"/>
  <c r="T4" i="4"/>
  <c r="T1" i="4"/>
  <c r="U3" i="4"/>
  <c r="S18" i="4" l="1"/>
  <c r="S16" i="4"/>
  <c r="O26" i="4" s="1"/>
  <c r="S10" i="4" s="1"/>
  <c r="S6" i="4" s="1"/>
  <c r="O25" i="4" s="1"/>
  <c r="S14" i="4"/>
  <c r="S51" i="4" s="1"/>
  <c r="S12" i="4"/>
  <c r="T13" i="4"/>
  <c r="T11" i="4"/>
  <c r="T5" i="4"/>
  <c r="T17" i="4"/>
  <c r="T15" i="4"/>
  <c r="T16" i="4" s="1"/>
  <c r="P26" i="4" s="1"/>
  <c r="T8" i="4"/>
  <c r="U4" i="4"/>
  <c r="U1" i="4"/>
  <c r="V3" i="4"/>
  <c r="P24" i="4"/>
  <c r="T49" i="4"/>
  <c r="T12" i="4" l="1"/>
  <c r="T18" i="4"/>
  <c r="T7" i="4"/>
  <c r="T6" i="4"/>
  <c r="P25" i="4" s="1"/>
  <c r="T9" i="4"/>
  <c r="T50" i="4" s="1"/>
  <c r="T10" i="4"/>
  <c r="T14" i="4"/>
  <c r="T51" i="4" s="1"/>
  <c r="U13" i="4"/>
  <c r="U11" i="4"/>
  <c r="U15" i="4"/>
  <c r="U17" i="4"/>
  <c r="U5" i="4"/>
  <c r="U8" i="4"/>
  <c r="Q24" i="4"/>
  <c r="U49" i="4"/>
  <c r="W3" i="4"/>
  <c r="V4" i="4"/>
  <c r="V1" i="4"/>
  <c r="U9" i="4" l="1"/>
  <c r="U50" i="4" s="1"/>
  <c r="U12" i="4"/>
  <c r="V13" i="4"/>
  <c r="V5" i="4"/>
  <c r="V6" i="4" s="1"/>
  <c r="R25" i="4" s="1"/>
  <c r="V8" i="4"/>
  <c r="V11" i="4"/>
  <c r="V17" i="4"/>
  <c r="V15" i="4"/>
  <c r="V16" i="4" s="1"/>
  <c r="R26" i="4" s="1"/>
  <c r="U7" i="4"/>
  <c r="U6" i="4"/>
  <c r="Q25" i="4" s="1"/>
  <c r="U14" i="4"/>
  <c r="U51" i="4" s="1"/>
  <c r="U18" i="4"/>
  <c r="U16" i="4" s="1"/>
  <c r="Q26" i="4" s="1"/>
  <c r="U10" i="4" s="1"/>
  <c r="R24" i="4"/>
  <c r="V49" i="4"/>
  <c r="W1" i="4"/>
  <c r="W4" i="4"/>
  <c r="X3" i="4"/>
  <c r="V7" i="4" l="1"/>
  <c r="V12" i="4"/>
  <c r="V18" i="4"/>
  <c r="V10" i="4"/>
  <c r="V9" i="4"/>
  <c r="V50" i="4" s="1"/>
  <c r="W13" i="4"/>
  <c r="W8" i="4"/>
  <c r="W11" i="4"/>
  <c r="W15" i="4"/>
  <c r="W17" i="4"/>
  <c r="W5" i="4"/>
  <c r="V14" i="4"/>
  <c r="V51" i="4" s="1"/>
  <c r="X4" i="4"/>
  <c r="X1" i="4"/>
  <c r="Y3" i="4"/>
  <c r="S24" i="4"/>
  <c r="W49" i="4"/>
  <c r="W12" i="4" l="1"/>
  <c r="W16" i="4"/>
  <c r="S26" i="4" s="1"/>
  <c r="W10" i="4" s="1"/>
  <c r="W18" i="4" s="1"/>
  <c r="W7" i="4"/>
  <c r="W6" i="4"/>
  <c r="S25" i="4" s="1"/>
  <c r="W9" i="4"/>
  <c r="W50" i="4" s="1"/>
  <c r="X13" i="4"/>
  <c r="X17" i="4"/>
  <c r="X11" i="4"/>
  <c r="X8" i="4"/>
  <c r="X15" i="4"/>
  <c r="X5" i="4"/>
  <c r="X7" i="4" s="1"/>
  <c r="W14" i="4"/>
  <c r="W51" i="4" s="1"/>
  <c r="T24" i="4"/>
  <c r="X49" i="4"/>
  <c r="Z3" i="4"/>
  <c r="Y1" i="4"/>
  <c r="Y4" i="4"/>
  <c r="X12" i="4" l="1"/>
  <c r="X14" i="4"/>
  <c r="X51" i="4" s="1"/>
  <c r="Y15" i="4"/>
  <c r="Y17" i="4"/>
  <c r="Y13" i="4"/>
  <c r="Y8" i="4"/>
  <c r="Y5" i="4"/>
  <c r="Y7" i="4" s="1"/>
  <c r="Y11" i="4"/>
  <c r="X9" i="4"/>
  <c r="X50" i="4" s="1"/>
  <c r="X10" i="4"/>
  <c r="X6" i="4"/>
  <c r="T25" i="4" s="1"/>
  <c r="X18" i="4" s="1"/>
  <c r="X16" i="4" s="1"/>
  <c r="T26" i="4" s="1"/>
  <c r="U24" i="4"/>
  <c r="Y49" i="4"/>
  <c r="Z4" i="4"/>
  <c r="Z1" i="4"/>
  <c r="Y14" i="4" l="1"/>
  <c r="Y51" i="4" s="1"/>
  <c r="Y12" i="4"/>
  <c r="Z13" i="4"/>
  <c r="Z15" i="4"/>
  <c r="Z16" i="4" s="1"/>
  <c r="V26" i="4" s="1"/>
  <c r="Z5" i="4"/>
  <c r="Z6" i="4" s="1"/>
  <c r="V25" i="4" s="1"/>
  <c r="Z8" i="4"/>
  <c r="Z11" i="4"/>
  <c r="Z17" i="4"/>
  <c r="Y9" i="4"/>
  <c r="Y50" i="4" s="1"/>
  <c r="Y10" i="4"/>
  <c r="Y18" i="4"/>
  <c r="Y16" i="4" s="1"/>
  <c r="U26" i="4" s="1"/>
  <c r="Y6" i="4" s="1"/>
  <c r="U25" i="4" s="1"/>
  <c r="V24" i="4"/>
  <c r="Z49" i="4"/>
  <c r="Z7" i="4" l="1"/>
  <c r="Z18" i="4" s="1"/>
  <c r="Z12" i="4"/>
  <c r="Z14" i="4"/>
  <c r="Z51" i="4" s="1"/>
  <c r="Z10" i="4"/>
  <c r="Z9" i="4"/>
  <c r="Z50" i="4" s="1"/>
</calcChain>
</file>

<file path=xl/sharedStrings.xml><?xml version="1.0" encoding="utf-8"?>
<sst xmlns="http://schemas.openxmlformats.org/spreadsheetml/2006/main" count="385" uniqueCount="90">
  <si>
    <t>9. 晒结果</t>
  </si>
  <si>
    <t>1. 把股票代码列在左上角</t>
  </si>
  <si>
    <t>2.按下图，把代码设为变量，第一个年份设为变量（蓝色字符黄底），制作按年的股票基本面数值函数提取表，单位百万元人民币（专业投资者用的统一单位，千分符不保留小数），包括以下信息：</t>
  </si>
  <si>
    <t>—营业收入</t>
  </si>
  <si>
    <t>—毛利润（营业收入-营业成本）</t>
  </si>
  <si>
    <t>—营业利润</t>
  </si>
  <si>
    <t>—净利润</t>
  </si>
  <si>
    <t>—归母净利润</t>
  </si>
  <si>
    <t>—扣非归母净利润</t>
  </si>
  <si>
    <t>3. 计算以下比例（保留一位小数）： - 营业收入的同比（yoy）增长（%）</t>
  </si>
  <si>
    <t>—毛利率</t>
  </si>
  <si>
    <t>—毛利润的同比增长</t>
  </si>
  <si>
    <t>—营业利润率</t>
  </si>
  <si>
    <t>—净利润率</t>
  </si>
  <si>
    <t>—归母净利润的同比增长</t>
  </si>
  <si>
    <t>—扣非归母净利润的同比增长</t>
  </si>
  <si>
    <t>4.参考以下格式按季取数，把一季度列在一起，然后是二季度、三季度、四季度，计算逐季的同比增长，和每个单季度的毛利率、净利率</t>
  </si>
  <si>
    <t>5. 按2011Q1、2011Q2、2011Q3顺序重新排列数据，以上排列应全部通过公式（而非手动完成）</t>
  </si>
  <si>
    <t>6. 作逐季收入和净利同比增速图，参考以下九斗网站的beta版样式（下周二发布）：</t>
  </si>
  <si>
    <t>7. 制作逐季的毛利率净利率变动图（参考以下样式）：</t>
  </si>
  <si>
    <t>8. 列举用于基本面选股的其它指标，添加到你的个人定制自动取数表格中</t>
  </si>
  <si>
    <t>(M RMB)</t>
  </si>
  <si>
    <t>营业收入</t>
  </si>
  <si>
    <t>-yoy%</t>
  </si>
  <si>
    <t>毛利润</t>
  </si>
  <si>
    <t>营业利润</t>
  </si>
  <si>
    <t>-营业利润率</t>
  </si>
  <si>
    <t>净利润</t>
  </si>
  <si>
    <t>-净利润率</t>
  </si>
  <si>
    <t>归母扣非净利润</t>
  </si>
  <si>
    <t>-归母扣非净利润率</t>
  </si>
  <si>
    <t>归母净利润</t>
  </si>
  <si>
    <t>-归母净利润率</t>
  </si>
  <si>
    <t>CQ1</t>
  </si>
  <si>
    <t>CQ2</t>
  </si>
  <si>
    <t>CQ3</t>
  </si>
  <si>
    <t>CQ4</t>
  </si>
  <si>
    <t>601636.SH</t>
  </si>
  <si>
    <t>-qoq%</t>
  </si>
  <si>
    <t>Q1</t>
  </si>
  <si>
    <t>Q2</t>
  </si>
  <si>
    <t>Q3</t>
  </si>
  <si>
    <t>Q4</t>
  </si>
  <si>
    <t>绘图区：</t>
  </si>
  <si>
    <t>营收同比增速</t>
  </si>
  <si>
    <t>净利同比增速</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</si>
  <si>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</si>
  <si>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</si>
  <si>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</si>
  <si>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</si>
  <si>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</si>
  <si>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</si>
  <si>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</si>
  <si>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</si>
  <si>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</si>
  <si>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</si>
  <si>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</si>
  <si>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</si>
  <si>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</si>
  <si>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</si>
  <si>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</si>
  <si>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</si>
  <si>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</si>
  <si>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</si>
  <si>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</si>
  <si>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</si>
  <si>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原始数据1</t>
  </si>
  <si>
    <t>毛利率</t>
  </si>
  <si>
    <t>净利率</t>
  </si>
  <si>
    <t>-毛利润率</t>
  </si>
  <si>
    <t/>
  </si>
  <si>
    <t>2011Q1</t>
  </si>
  <si>
    <t>2011Q2</t>
  </si>
  <si>
    <t>2011Q3</t>
  </si>
  <si>
    <t>2011Q4</t>
  </si>
  <si>
    <t>-毛利率</t>
  </si>
  <si>
    <t>备注：可通过限定y轴的取值范围把极大极小值去掉</t>
  </si>
  <si>
    <t>原始数据2</t>
  </si>
  <si>
    <t>结果在sheet（年度基础数据），取单位为百万的时候可以直接在取原始数据的公式上除以百万。这个表取的是近六年年报的基础数据。每次输入第一个年份以及股票代码，即可出来你所要知道的某个股票近六年或者某六年的年度基础数据。</t>
  </si>
  <si>
    <t>同第二题</t>
  </si>
  <si>
    <t>结果在sheet（季度基础数据），第二个红底的年份和代码随前面黄底输入的值变动，取五年的季度数据。后面的年份数应随着前面红底的年份而变，用公式连接。</t>
  </si>
  <si>
    <t>结果在sheet（重新排序），难的是时间参数的设置，把时间按年月日拆分开，再用公式组合就行。按季度重新排序的年份随季度基础数据里的年份变动，然后重新排序。用hlookup公式把季度基础数据表里面取到的原始数据搬过来。（因为这个表的数据在季度基础数据表都有，所有就不要用choice函数取数了，减少运算量，加快打开速度）</t>
  </si>
  <si>
    <t>结果在sheet（重新排序），对于极大极小值的处理，可以通过设置y轴的范围来去掉极大极小值。</t>
  </si>
  <si>
    <t>同第六题</t>
  </si>
  <si>
    <t>冬令营六：建立基本面模型</t>
    <phoneticPr fontId="6" type="noConversion"/>
  </si>
  <si>
    <t>（开放题，选择自己最关注的的指标加入即可）</t>
    <phoneticPr fontId="6" type="noConversion"/>
  </si>
  <si>
    <t>所需要的数据，大家可以在实践中不断地去更新和补充，以后这个表的数据就可以变成完完全全属于个人的一个基础数据模型，非常有用。</t>
    <phoneticPr fontId="6" type="noConversion"/>
  </si>
  <si>
    <t>黄底蓝字，表示可修改，保持好习惯</t>
    <phoneticPr fontId="6" type="noConversion"/>
  </si>
  <si>
    <t>目前做的这个表格只是利润表中的信息，补充主要有两个方向：一是三大表中另外的两张表的基础信息；二是一些常用的盈利能力分析，估值指标；财报三大表，资产负债表和现金流量表的信息尚未囊括，其中资产负债表中的总资产，总负债，净资产等，现金流量表中的三大现金流数据，都可像第二题的数据一样做成表格；盈利分析和估值指标如历年ROE等；</t>
    <phoneticPr fontId="6" type="noConversion"/>
  </si>
  <si>
    <r>
      <t>简单说一下，几个指标是利润表中最重要的数据，怎么看？</t>
    </r>
    <r>
      <rPr>
        <b/>
        <sz val="10"/>
        <color theme="1"/>
        <rFont val="宋体"/>
        <family val="3"/>
        <charset val="134"/>
      </rPr>
      <t>一是查看同一指标的逐年变化情况；二是看每一年的几个指标之间相差了多少</t>
    </r>
    <r>
      <rPr>
        <sz val="10"/>
        <color theme="1"/>
        <rFont val="宋体"/>
        <family val="3"/>
        <charset val="134"/>
      </rPr>
      <t>，从中看出这个公司净利润的组成。看这个的基础是理解利润表，理解上面这每一项之间都差了些什么（这个大家翻个几十份年报看就了解了，直接在这说不够）；营业收入和营业总收入，取哪个？归母净利和净利润之间有什么差别？计算PE用归母净利还是归母扣非净利？非经常性损益，究竟有哪些内容？带着一个个问题去看真实的财报上的利润表，再去查资料看解释，才会理解的透彻，一味的想直接知道答案是不够踏实的。</t>
    </r>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</si>
</sst>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0.0%"/>
  </numFmts>
  <fonts count="11">
    <font>
      <sz val="11"/>
      <color theme="1"/>
      <name val="Calibri"/>
      <family val="2"/>
      <scheme val="minor"/>
    </font>
    <font>
      <sz val="10"/>
      <color theme="1"/>
      <name val="Times New Roman"/>
      <family val="1"/>
    </font>
    <font>
      <sz val="11"/>
      <color theme="1"/>
      <name val="Calibri"/>
      <family val="2"/>
      <scheme val="minor"/>
    </font>
    <font>
      <b/>
      <sz val="10"/>
      <color theme="1"/>
      <name val="Times New Roman"/>
      <family val="1"/>
    </font>
    <font>
      <b/>
      <sz val="10"/>
      <name val="Times New Roman"/>
      <family val="1"/>
    </font>
    <font>
      <b/>
      <sz val="10"/>
      <color rgb="FF0070C0"/>
      <name val="Times New Roman"/>
      <family val="1"/>
    </font>
    <font>
      <sz val="9"/>
      <name val="Calibri"/>
      <family val="3"/>
      <charset val="134"/>
      <scheme val="minor"/>
    </font>
    <font>
      <sz val="10"/>
      <color rgb="FF0070C0"/>
      <name val="Times New Roman"/>
      <family val="1"/>
    </font>
    <font>
      <sz val="10"/>
      <color theme="1"/>
      <name val="宋体"/>
      <family val="3"/>
      <charset val="134"/>
    </font>
    <font>
      <b/>
      <sz val="18"/>
      <color theme="1"/>
      <name val="宋体"/>
      <family val="3"/>
      <charset val="134"/>
    </font>
    <font>
      <b/>
      <sz val="10"/>
      <color theme="1"/>
      <name val="宋体"/>
      <family val="3"/>
      <charset val="134"/>
    </font>
  </fonts>
  <fills count="7">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3" tint="0.79998168889431442"/>
        <bgColor indexed="64"/>
      </patternFill>
    </fill>
  </fills>
  <borders count="16">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s>
  <cellStyleXfs count="2">
    <xf numFmtId="0" fontId="0" fillId="0" borderId="0"/>
    <xf numFmtId="43" fontId="2" fillId="0" borderId="0" applyFont="0" applyFill="0" applyBorder="0" applyAlignment="0" applyProtection="0"/>
  </cellStyleXfs>
  <cellXfs count="78">
    <xf numFmtId="0" fontId="0" fillId="0" borderId="0" xfId="0"/>
    <xf numFmtId="0" fontId="1" fillId="0" borderId="0" xfId="0" applyFont="1"/>
    <xf numFmtId="0" fontId="1" fillId="0" borderId="4" xfId="0" applyFont="1" applyBorder="1" applyAlignment="1">
      <alignment horizontal="left" vertical="center"/>
    </xf>
    <xf numFmtId="0" fontId="1" fillId="0" borderId="0" xfId="0" applyFont="1" applyBorder="1"/>
    <xf numFmtId="0" fontId="1" fillId="0" borderId="4" xfId="0" applyFont="1" applyBorder="1" applyAlignment="1">
      <alignment horizontal="center" vertical="center" wrapText="1"/>
    </xf>
    <xf numFmtId="0" fontId="1" fillId="0" borderId="0" xfId="0" applyFont="1" applyBorder="1" applyAlignment="1">
      <alignment vertical="center" wrapText="1"/>
    </xf>
    <xf numFmtId="0" fontId="1" fillId="0" borderId="5" xfId="0" applyFont="1" applyBorder="1" applyAlignment="1">
      <alignment vertical="center" wrapText="1"/>
    </xf>
    <xf numFmtId="14" fontId="1" fillId="0" borderId="0" xfId="0" applyNumberFormat="1" applyFont="1"/>
    <xf numFmtId="0" fontId="3" fillId="3" borderId="9" xfId="0" applyFont="1" applyFill="1" applyBorder="1" applyAlignment="1">
      <alignment vertical="center"/>
    </xf>
    <xf numFmtId="164" fontId="1" fillId="3" borderId="0" xfId="1" applyNumberFormat="1" applyFont="1" applyFill="1" applyBorder="1" applyAlignment="1">
      <alignment vertical="center"/>
    </xf>
    <xf numFmtId="0" fontId="1" fillId="0" borderId="0" xfId="0" applyFont="1" applyAlignment="1">
      <alignment vertical="center"/>
    </xf>
    <xf numFmtId="49" fontId="3" fillId="0" borderId="9" xfId="0" applyNumberFormat="1" applyFont="1" applyBorder="1" applyAlignment="1">
      <alignment vertical="center"/>
    </xf>
    <xf numFmtId="0" fontId="1" fillId="0" borderId="0" xfId="0" applyFont="1" applyBorder="1" applyAlignment="1">
      <alignment vertical="center"/>
    </xf>
    <xf numFmtId="165" fontId="1" fillId="0" borderId="0" xfId="0" applyNumberFormat="1" applyFont="1" applyBorder="1" applyAlignment="1">
      <alignment vertical="center"/>
    </xf>
    <xf numFmtId="165" fontId="1" fillId="0" borderId="0" xfId="1" applyNumberFormat="1" applyFont="1" applyBorder="1" applyAlignment="1">
      <alignment vertical="center"/>
    </xf>
    <xf numFmtId="49" fontId="3" fillId="0" borderId="11" xfId="0" applyNumberFormat="1" applyFont="1" applyBorder="1" applyAlignment="1">
      <alignment vertical="center"/>
    </xf>
    <xf numFmtId="165" fontId="1" fillId="0" borderId="12" xfId="1" applyNumberFormat="1" applyFont="1" applyBorder="1" applyAlignment="1">
      <alignment vertical="center"/>
    </xf>
    <xf numFmtId="165" fontId="1" fillId="0" borderId="12" xfId="0" applyNumberFormat="1" applyFont="1" applyBorder="1" applyAlignment="1">
      <alignment vertical="center"/>
    </xf>
    <xf numFmtId="164" fontId="1" fillId="3" borderId="10" xfId="1" applyNumberFormat="1" applyFont="1" applyFill="1" applyBorder="1" applyAlignment="1">
      <alignment vertical="center"/>
    </xf>
    <xf numFmtId="165" fontId="1" fillId="0" borderId="10" xfId="0" applyNumberFormat="1" applyFont="1" applyBorder="1" applyAlignment="1">
      <alignment vertical="center"/>
    </xf>
    <xf numFmtId="165" fontId="1" fillId="0" borderId="10" xfId="1" applyNumberFormat="1" applyFont="1" applyBorder="1" applyAlignment="1">
      <alignment vertical="center"/>
    </xf>
    <xf numFmtId="165" fontId="1" fillId="0" borderId="13" xfId="0" applyNumberFormat="1" applyFont="1" applyBorder="1" applyAlignment="1">
      <alignment vertical="center"/>
    </xf>
    <xf numFmtId="14" fontId="1" fillId="0" borderId="0" xfId="0" applyNumberFormat="1" applyFont="1" applyAlignment="1">
      <alignment horizontal="right" vertical="center"/>
    </xf>
    <xf numFmtId="14" fontId="1" fillId="0" borderId="0" xfId="0" applyNumberFormat="1" applyFont="1" applyAlignment="1">
      <alignment vertical="center"/>
    </xf>
    <xf numFmtId="0" fontId="1" fillId="0" borderId="12" xfId="0" applyFont="1" applyBorder="1" applyAlignment="1">
      <alignment vertical="center"/>
    </xf>
    <xf numFmtId="164" fontId="1" fillId="3" borderId="15" xfId="1" applyNumberFormat="1" applyFont="1" applyFill="1" applyBorder="1" applyAlignment="1">
      <alignment vertical="center"/>
    </xf>
    <xf numFmtId="0" fontId="1" fillId="0" borderId="10" xfId="0" applyFont="1" applyBorder="1"/>
    <xf numFmtId="0" fontId="4" fillId="0" borderId="12" xfId="0" applyFont="1" applyFill="1" applyBorder="1" applyAlignment="1">
      <alignment horizontal="right" vertical="center"/>
    </xf>
    <xf numFmtId="0" fontId="4" fillId="0" borderId="0" xfId="0" applyFont="1" applyFill="1" applyAlignment="1">
      <alignment vertical="center"/>
    </xf>
    <xf numFmtId="0" fontId="5" fillId="2" borderId="0" xfId="0" applyFont="1" applyFill="1"/>
    <xf numFmtId="165" fontId="1" fillId="0" borderId="0" xfId="0" applyNumberFormat="1" applyFont="1"/>
    <xf numFmtId="2" fontId="1" fillId="0" borderId="0" xfId="0" applyNumberFormat="1" applyFont="1"/>
    <xf numFmtId="0" fontId="3" fillId="0" borderId="0" xfId="0" applyFont="1"/>
    <xf numFmtId="0" fontId="3" fillId="0" borderId="12" xfId="0" applyFont="1" applyBorder="1" applyAlignment="1">
      <alignment horizontal="right" vertical="center"/>
    </xf>
    <xf numFmtId="0" fontId="3" fillId="0" borderId="12" xfId="0" applyFont="1" applyBorder="1" applyAlignment="1">
      <alignment horizontal="right"/>
    </xf>
    <xf numFmtId="0" fontId="3" fillId="4" borderId="0" xfId="0" applyFont="1" applyFill="1"/>
    <xf numFmtId="0" fontId="5" fillId="5" borderId="0" xfId="0" applyFont="1" applyFill="1"/>
    <xf numFmtId="0" fontId="7" fillId="5" borderId="0" xfId="0" applyFont="1" applyFill="1" applyBorder="1" applyAlignment="1">
      <alignment vertical="center"/>
    </xf>
    <xf numFmtId="0" fontId="5" fillId="5" borderId="0" xfId="0" applyFont="1" applyFill="1" applyAlignment="1">
      <alignment vertical="center"/>
    </xf>
    <xf numFmtId="0" fontId="3" fillId="6" borderId="0" xfId="0" applyFont="1" applyFill="1"/>
    <xf numFmtId="0" fontId="8" fillId="0" borderId="4" xfId="0" applyFont="1" applyBorder="1" applyAlignment="1">
      <alignment horizontal="left" vertical="center"/>
    </xf>
    <xf numFmtId="0" fontId="1" fillId="0" borderId="0" xfId="0" applyFont="1" applyFill="1" applyBorder="1" applyAlignment="1">
      <alignment horizontal="left" vertical="center" wrapText="1"/>
    </xf>
    <xf numFmtId="0" fontId="1" fillId="0" borderId="5" xfId="0" applyFont="1" applyFill="1" applyBorder="1" applyAlignment="1">
      <alignment horizontal="left" vertical="center" wrapText="1"/>
    </xf>
    <xf numFmtId="0" fontId="8" fillId="0" borderId="4" xfId="0" applyFont="1" applyFill="1" applyBorder="1" applyAlignment="1">
      <alignment horizontal="left" vertical="center"/>
    </xf>
    <xf numFmtId="0" fontId="1" fillId="6" borderId="4" xfId="0" applyFont="1" applyFill="1" applyBorder="1" applyAlignment="1">
      <alignment horizontal="left" vertical="center"/>
    </xf>
    <xf numFmtId="0" fontId="1" fillId="6" borderId="4" xfId="0" applyFont="1" applyFill="1" applyBorder="1" applyAlignment="1">
      <alignment horizontal="left" vertical="center" wrapText="1"/>
    </xf>
    <xf numFmtId="0" fontId="1" fillId="6" borderId="0" xfId="0" applyFont="1" applyFill="1" applyBorder="1" applyAlignment="1">
      <alignment horizontal="left" vertical="center" wrapText="1"/>
    </xf>
    <xf numFmtId="0" fontId="1" fillId="6" borderId="5" xfId="0" applyFont="1" applyFill="1" applyBorder="1" applyAlignment="1">
      <alignment horizontal="left" vertical="center" wrapText="1"/>
    </xf>
    <xf numFmtId="0" fontId="9" fillId="0" borderId="0" xfId="0" applyFont="1" applyAlignment="1">
      <alignment horizontal="left" vertical="center"/>
    </xf>
    <xf numFmtId="0" fontId="1" fillId="0" borderId="0" xfId="0" applyFont="1" applyAlignment="1">
      <alignment horizontal="center" vertical="center"/>
    </xf>
    <xf numFmtId="0" fontId="1" fillId="0" borderId="0" xfId="0" applyFont="1" applyBorder="1" applyAlignment="1">
      <alignment horizontal="center" vertical="center"/>
    </xf>
    <xf numFmtId="0" fontId="1" fillId="0" borderId="5" xfId="0" applyFont="1" applyBorder="1" applyAlignment="1">
      <alignment vertical="center"/>
    </xf>
    <xf numFmtId="0" fontId="1" fillId="0" borderId="4" xfId="0" applyFont="1" applyBorder="1" applyAlignment="1">
      <alignment horizontal="center" vertical="center"/>
    </xf>
    <xf numFmtId="0" fontId="1" fillId="6" borderId="0" xfId="0" applyFont="1" applyFill="1" applyBorder="1" applyAlignment="1">
      <alignment vertical="center" wrapText="1"/>
    </xf>
    <xf numFmtId="0" fontId="1" fillId="6" borderId="5" xfId="0" applyFont="1" applyFill="1" applyBorder="1" applyAlignment="1">
      <alignment vertical="center" wrapText="1"/>
    </xf>
    <xf numFmtId="0" fontId="1" fillId="0" borderId="0" xfId="0" applyFont="1" applyBorder="1" applyAlignment="1">
      <alignment horizontal="right" vertical="center"/>
    </xf>
    <xf numFmtId="0" fontId="1" fillId="0" borderId="0" xfId="0" applyFont="1" applyBorder="1" applyAlignment="1">
      <alignment horizontal="center" vertical="center" wrapText="1"/>
    </xf>
    <xf numFmtId="0" fontId="1" fillId="0" borderId="0" xfId="0" applyFont="1" applyFill="1" applyAlignment="1">
      <alignment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7" xfId="0" applyFont="1" applyBorder="1" applyAlignment="1">
      <alignment vertical="center"/>
    </xf>
    <xf numFmtId="0" fontId="1" fillId="0" borderId="8" xfId="0" applyFont="1" applyBorder="1" applyAlignment="1">
      <alignment vertical="center"/>
    </xf>
    <xf numFmtId="0" fontId="1" fillId="6" borderId="4" xfId="0" applyFont="1" applyFill="1" applyBorder="1" applyAlignment="1">
      <alignment horizontal="left" vertical="center"/>
    </xf>
    <xf numFmtId="0" fontId="1" fillId="6" borderId="0" xfId="0" applyFont="1" applyFill="1" applyBorder="1" applyAlignment="1">
      <alignment horizontal="left" vertical="center"/>
    </xf>
    <xf numFmtId="0" fontId="1" fillId="6" borderId="5" xfId="0" applyFont="1" applyFill="1" applyBorder="1" applyAlignment="1">
      <alignment horizontal="left" vertical="center"/>
    </xf>
    <xf numFmtId="0" fontId="1" fillId="6" borderId="4" xfId="0" applyFont="1" applyFill="1" applyBorder="1" applyAlignment="1">
      <alignment horizontal="left" vertical="center" wrapText="1"/>
    </xf>
    <xf numFmtId="0" fontId="1" fillId="6" borderId="0" xfId="0" applyFont="1" applyFill="1" applyBorder="1" applyAlignment="1">
      <alignment horizontal="left" vertical="center" wrapText="1"/>
    </xf>
    <xf numFmtId="0" fontId="1" fillId="6" borderId="5" xfId="0" applyFont="1" applyFill="1" applyBorder="1" applyAlignment="1">
      <alignment horizontal="left" vertical="center" wrapText="1"/>
    </xf>
    <xf numFmtId="0" fontId="1" fillId="6" borderId="1" xfId="0" applyFont="1" applyFill="1" applyBorder="1" applyAlignment="1">
      <alignment horizontal="left" vertical="center" wrapText="1"/>
    </xf>
    <xf numFmtId="0" fontId="1" fillId="6" borderId="2" xfId="0" applyFont="1" applyFill="1" applyBorder="1" applyAlignment="1">
      <alignment horizontal="left" vertical="center" wrapText="1"/>
    </xf>
    <xf numFmtId="0" fontId="1" fillId="6" borderId="3" xfId="0" applyFont="1" applyFill="1" applyBorder="1" applyAlignment="1">
      <alignment horizontal="left" vertical="center" wrapText="1"/>
    </xf>
    <xf numFmtId="0" fontId="1" fillId="0" borderId="4" xfId="0" applyFont="1" applyBorder="1" applyAlignment="1">
      <alignment horizontal="left" vertical="center" wrapText="1"/>
    </xf>
    <xf numFmtId="0" fontId="1" fillId="0" borderId="0" xfId="0" applyFont="1" applyBorder="1" applyAlignment="1">
      <alignment horizontal="left" vertical="center" wrapText="1"/>
    </xf>
    <xf numFmtId="0" fontId="1" fillId="0" borderId="5" xfId="0" applyFont="1" applyBorder="1" applyAlignment="1">
      <alignment horizontal="left" vertical="center" wrapText="1"/>
    </xf>
    <xf numFmtId="0" fontId="8" fillId="0" borderId="4" xfId="0" applyFont="1" applyBorder="1" applyAlignment="1">
      <alignment horizontal="left" vertical="center" wrapText="1"/>
    </xf>
    <xf numFmtId="0" fontId="8" fillId="0" borderId="0" xfId="0" applyFont="1" applyBorder="1" applyAlignment="1">
      <alignment horizontal="left" vertical="center" wrapText="1"/>
    </xf>
    <xf numFmtId="0" fontId="8" fillId="0" borderId="5" xfId="0" applyFont="1" applyBorder="1" applyAlignment="1">
      <alignment horizontal="left" vertical="center" wrapText="1"/>
    </xf>
    <xf numFmtId="0" fontId="3" fillId="0" borderId="14" xfId="0" applyFont="1" applyBorder="1" applyAlignment="1">
      <alignment horizontal="center"/>
    </xf>
  </cellXfs>
  <cellStyles count="2">
    <cellStyle name="千位分隔" xfId="1" builtinId="3"/>
    <cellStyle name="常规"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em.rtf">
      <tp>
        <v>1175062776.98</v>
        <stp/>
        <stp>EM_S_STM07_IS</stp>
        <stp>4</stp>
        <stp>601636.SH</stp>
        <stp>9</stp>
        <stp>12/31/2009</stp>
        <stp>1</stp>
        <tr r="C7" s="2"/>
        <tr r="C5" s="2"/>
      </tp>
      <tp>
        <v>2035818327.97</v>
        <stp/>
        <stp>EM_S_STM07_IS</stp>
        <stp>4</stp>
        <stp>601636.SH</stp>
        <stp>9</stp>
        <stp>12/31/2011</stp>
        <stp>1</stp>
        <tr r="E7" s="2"/>
        <tr r="E5" s="2"/>
      </tp>
      <tp>
        <v>1905030825.1300001</v>
        <stp/>
        <stp>EM_S_STM07_IS</stp>
        <stp>4</stp>
        <stp>601636.SH</stp>
        <stp>9</stp>
        <stp>12/31/2010</stp>
        <stp>1</stp>
        <tr r="D7" s="2"/>
        <tr r="D5" s="2"/>
      </tp>
      <tp>
        <v>3525953681.6399999</v>
        <stp/>
        <stp>EM_S_STM07_IS</stp>
        <stp>4</stp>
        <stp>601636.SH</stp>
        <stp>9</stp>
        <stp>12/31/2013</stp>
        <stp>1</stp>
        <tr r="G5" s="2"/>
        <tr r="G7" s="2"/>
      </tp>
      <tp>
        <v>2684535646.4000001</v>
        <stp/>
        <stp>EM_S_STM07_IS</stp>
        <stp>4</stp>
        <stp>601636.SH</stp>
        <stp>9</stp>
        <stp>12/31/2012</stp>
        <stp>1</stp>
        <tr r="F5" s="2"/>
        <tr r="F7" s="2"/>
      </tp>
      <tp>
        <v>5169461537.1199999</v>
        <stp/>
        <stp>EM_S_STM07_IS</stp>
        <stp>4</stp>
        <stp>601636.SH</stp>
        <stp>9</stp>
        <stp>12/31/2015</stp>
        <stp>1</stp>
        <tr r="I7" s="2"/>
        <tr r="I5" s="2"/>
      </tp>
      <tp>
        <v>3716619606.5799999</v>
        <stp/>
        <stp>EM_S_STM07_IS</stp>
        <stp>4</stp>
        <stp>601636.SH</stp>
        <stp>9</stp>
        <stp>12/31/2014</stp>
        <stp>1</stp>
        <tr r="H7" s="2"/>
        <tr r="H5" s="2"/>
      </tp>
      <tp>
        <v>740679819.01999998</v>
        <stp/>
        <stp>EM_S_QSTM07_IS</stp>
        <stp>4</stp>
        <stp>601636.SH</stp>
        <stp>9</stp>
        <stp>3/31/2015</stp>
        <stp>1</stp>
        <tr r="G7" s="3"/>
        <tr r="G5" s="3"/>
      </tp>
      <tp>
        <v>82192751.319999993</v>
        <stp/>
        <stp>EM_S_QSTM07_IS</stp>
        <stp>4</stp>
        <stp>601636.SH</stp>
        <stp>61</stp>
        <stp>12/31/2012</stp>
        <stp>1</stp>
        <tr r="V14" s="3"/>
      </tp>
      <tp>
        <v>1271008739.8900001</v>
        <stp/>
        <stp>EM_S_QSTM07_IS</stp>
        <stp>4</stp>
        <stp>601636.SH</stp>
        <stp>10</stp>
        <stp>12/31/2015</stp>
        <stp>1</stp>
        <tr r="Y7" s="3"/>
      </tp>
      <tp>
        <v>82192751.319999993</v>
        <stp/>
        <stp>EM_S_QSTM07_IS</stp>
        <stp>4</stp>
        <stp>601636.SH</stp>
        <stp>60</stp>
        <stp>12/31/2012</stp>
        <stp>1</stp>
        <tr r="V12" s="3"/>
      </tp>
      <tp>
        <v>829724747.22000003</v>
        <stp/>
        <stp>EM_S_QSTM07_IS</stp>
        <stp>4</stp>
        <stp>601636.SH</stp>
        <stp>9</stp>
        <stp>3/31/2014</stp>
        <stp>1</stp>
        <tr r="F7" s="3"/>
        <tr r="F5" s="3"/>
      </tp>
      <tp>
        <v>479760230.29000002</v>
        <stp/>
        <stp>EM_S_QSTM07_IS</stp>
        <stp>4</stp>
        <stp>601636.SH</stp>
        <stp>9</stp>
        <stp>6/30/2011</stp>
        <stp>1</stp>
        <tr r="I5" s="3"/>
        <tr r="I7" s="3"/>
      </tp>
      <tp>
        <v>69634316.719999999</v>
        <stp/>
        <stp>EM_S_QSTM07_IS</stp>
        <stp>4</stp>
        <stp>601636.SH</stp>
        <stp>48</stp>
        <stp>12/31/2011</stp>
        <stp>1</stp>
        <tr r="U10" s="3"/>
      </tp>
      <tp>
        <v>77517434.549999997</v>
        <stp/>
        <stp>EM_S_QSTM07_IS</stp>
        <stp>4</stp>
        <stp>601636.SH</stp>
        <stp>61</stp>
        <stp>12/31/2013</stp>
        <stp>1</stp>
        <tr r="W14" s="3"/>
      </tp>
      <tp>
        <v>770593803.76999998</v>
        <stp/>
        <stp>EM_S_QSTM07_IS</stp>
        <stp>4</stp>
        <stp>601636.SH</stp>
        <stp>10</stp>
        <stp>12/31/2014</stp>
        <stp>1</stp>
        <tr r="X7" s="3"/>
      </tp>
      <tp>
        <v>77517434.549999997</v>
        <stp/>
        <stp>EM_S_QSTM07_IS</stp>
        <stp>4</stp>
        <stp>601636.SH</stp>
        <stp>60</stp>
        <stp>12/31/2013</stp>
        <stp>1</stp>
        <tr r="W12" s="3"/>
      </tp>
      <tp>
        <v>513914987.29000002</v>
        <stp/>
        <stp>EM_S_QSTM07_IS</stp>
        <stp>4</stp>
        <stp>601636.SH</stp>
        <stp>9</stp>
        <stp>6/30/2012</stp>
        <stp>1</stp>
        <tr r="J5" s="3"/>
        <tr r="J7" s="3"/>
      </tp>
      <tp>
        <v>78327432.439999998</v>
        <stp/>
        <stp>EM_S_QSTM07_IS</stp>
        <stp>4</stp>
        <stp>601636.SH</stp>
        <stp>48</stp>
        <stp>12/31/2012</stp>
        <stp>1</stp>
        <tr r="V10" s="3"/>
      </tp>
      <tp>
        <v>1227885207.6600001</v>
        <stp/>
        <stp>EM_S_QSTM07_IS</stp>
        <stp>4</stp>
        <stp>601636.SH</stp>
        <stp>9</stp>
        <stp>3/31/2016</stp>
        <stp>1</stp>
        <tr r="H7" s="3"/>
        <tr r="H5" s="3"/>
      </tp>
      <tp>
        <v>914216438.03999996</v>
        <stp/>
        <stp>EM_S_QSTM07_IS</stp>
        <stp>4</stp>
        <stp>601636.SH</stp>
        <stp>9</stp>
        <stp>6/30/2013</stp>
        <stp>1</stp>
        <tr r="K7" s="3"/>
        <tr r="K5" s="3"/>
      </tp>
      <tp>
        <v>83944396.739999995</v>
        <stp/>
        <stp>EM_S_QSTM07_IS</stp>
        <stp>4</stp>
        <stp>601636.SH</stp>
        <stp>48</stp>
        <stp>12/31/2013</stp>
        <stp>1</stp>
        <tr r="W10" s="3"/>
      </tp>
      <tp>
        <v>87843426.239999995</v>
        <stp/>
        <stp>EM_S_QSTM07_IS</stp>
        <stp>4</stp>
        <stp>601636.SH</stp>
        <stp>61</stp>
        <stp>12/31/2011</stp>
        <stp>1</stp>
        <tr r="U14" s="3"/>
      </tp>
      <tp t="s">
        <v/>
        <stp/>
        <stp>EM_S_QSTM07_IS</stp>
        <stp>4</stp>
        <stp>601636.SH</stp>
        <stp>10</stp>
        <stp>12/31/2016</stp>
        <stp>1</stp>
        <tr r="Z7" s="3"/>
      </tp>
      <tp>
        <v>87843426.239999995</v>
        <stp/>
        <stp>EM_S_QSTM07_IS</stp>
        <stp>4</stp>
        <stp>601636.SH</stp>
        <stp>60</stp>
        <stp>12/31/2011</stp>
        <stp>1</stp>
        <tr r="U12" s="3"/>
      </tp>
      <tp>
        <v>460124784.52999997</v>
        <stp/>
        <stp>EM_S_QSTM07_IS</stp>
        <stp>4</stp>
        <stp>601636.SH</stp>
        <stp>9</stp>
        <stp>3/31/2011</stp>
        <stp>1</stp>
        <tr r="C7" s="3"/>
        <tr r="C5" s="3"/>
      </tp>
      <tp>
        <v>1090470250.0699999</v>
        <stp/>
        <stp>EM_S_QSTM07_IS</stp>
        <stp>4</stp>
        <stp>601636.SH</stp>
        <stp>9</stp>
        <stp>6/30/2014</stp>
        <stp>1</stp>
        <tr r="L5" s="3"/>
        <tr r="L7" s="3"/>
      </tp>
      <tp>
        <v>65198455.640000001</v>
        <stp/>
        <stp>EM_S_QSTM07_IS</stp>
        <stp>4</stp>
        <stp>601636.SH</stp>
        <stp>48</stp>
        <stp>12/31/2014</stp>
        <stp>1</stp>
        <tr r="X10" s="3"/>
      </tp>
      <tp t="s">
        <v/>
        <stp/>
        <stp>EM_S_QSTM07_IS</stp>
        <stp>4</stp>
        <stp>601636.SH</stp>
        <stp>61</stp>
        <stp>12/31/2016</stp>
        <stp>1</stp>
        <tr r="Z14" s="3"/>
      </tp>
      <tp>
        <v>464819761.14999998</v>
        <stp/>
        <stp>EM_S_QSTM07_IS</stp>
        <stp>4</stp>
        <stp>601636.SH</stp>
        <stp>10</stp>
        <stp>12/31/2011</stp>
        <stp>1</stp>
        <tr r="U7" s="3"/>
      </tp>
      <tp t="s">
        <v/>
        <stp/>
        <stp>EM_S_QSTM07_IS</stp>
        <stp>4</stp>
        <stp>601636.SH</stp>
        <stp>60</stp>
        <stp>12/31/2016</stp>
        <stp>1</stp>
        <tr r="Z12" s="3"/>
      </tp>
      <tp>
        <v>1581902896.5699999</v>
        <stp/>
        <stp>EM_S_QSTM07_IS</stp>
        <stp>4</stp>
        <stp>601636.SH</stp>
        <stp>9</stp>
        <stp>6/30/2015</stp>
        <stp>1</stp>
        <tr r="M7" s="3"/>
        <tr r="M5" s="3"/>
      </tp>
      <tp>
        <v>52981699.659999996</v>
        <stp/>
        <stp>EM_S_QSTM07_IS</stp>
        <stp>4</stp>
        <stp>601636.SH</stp>
        <stp>48</stp>
        <stp>12/31/2015</stp>
        <stp>1</stp>
        <tr r="Y10" s="3"/>
      </tp>
      <tp>
        <v>723503004.44000006</v>
        <stp/>
        <stp>EM_S_QSTM07_IS</stp>
        <stp>4</stp>
        <stp>601636.SH</stp>
        <stp>9</stp>
        <stp>3/31/2013</stp>
        <stp>1</stp>
        <tr r="E5" s="3"/>
        <tr r="E7" s="3"/>
      </tp>
      <tp>
        <v>1785514470.76</v>
        <stp/>
        <stp>EM_S_QSTM07_IS</stp>
        <stp>4</stp>
        <stp>601636.SH</stp>
        <stp>9</stp>
        <stp>6/30/2016</stp>
        <stp>1</stp>
        <tr r="N7" s="3"/>
        <tr r="N5" s="3"/>
      </tp>
      <tp t="s">
        <v/>
        <stp/>
        <stp>EM_S_QSTM07_IS</stp>
        <stp>4</stp>
        <stp>601636.SH</stp>
        <stp>48</stp>
        <stp>12/31/2016</stp>
        <stp>1</stp>
        <tr r="Z10" s="3"/>
      </tp>
      <tp>
        <v>53106068.090000004</v>
        <stp/>
        <stp>EM_S_QSTM07_IS</stp>
        <stp>4</stp>
        <stp>601636.SH</stp>
        <stp>61</stp>
        <stp>12/31/2014</stp>
        <stp>1</stp>
        <tr r="X14" s="3"/>
      </tp>
      <tp>
        <v>702823914.38999999</v>
        <stp/>
        <stp>EM_S_QSTM07_IS</stp>
        <stp>4</stp>
        <stp>601636.SH</stp>
        <stp>10</stp>
        <stp>12/31/2013</stp>
        <stp>1</stp>
        <tr r="W7" s="3"/>
      </tp>
      <tp>
        <v>53106068.090000004</v>
        <stp/>
        <stp>EM_S_QSTM07_IS</stp>
        <stp>4</stp>
        <stp>601636.SH</stp>
        <stp>60</stp>
        <stp>12/31/2014</stp>
        <stp>1</stp>
        <tr r="X12" s="3"/>
      </tp>
      <tp>
        <v>534776708.62</v>
        <stp/>
        <stp>EM_S_QSTM07_IS</stp>
        <stp>4</stp>
        <stp>601636.SH</stp>
        <stp>9</stp>
        <stp>3/31/2012</stp>
        <stp>1</stp>
        <tr r="D7" s="3"/>
        <tr r="D5" s="3"/>
      </tp>
      <tp>
        <v>54000171.200000003</v>
        <stp/>
        <stp>EM_S_QSTM07_IS</stp>
        <stp>4</stp>
        <stp>601636.SH</stp>
        <stp>61</stp>
        <stp>12/31/2015</stp>
        <stp>1</stp>
        <tr r="Y14" s="3"/>
      </tp>
      <tp>
        <v>730035082.61000001</v>
        <stp/>
        <stp>EM_S_QSTM07_IS</stp>
        <stp>4</stp>
        <stp>601636.SH</stp>
        <stp>10</stp>
        <stp>12/31/2012</stp>
        <stp>1</stp>
        <tr r="V7" s="3"/>
      </tp>
      <tp>
        <v>54000171.200000003</v>
        <stp/>
        <stp>EM_S_QSTM07_IS</stp>
        <stp>4</stp>
        <stp>601636.SH</stp>
        <stp>60</stp>
        <stp>12/31/2015</stp>
        <stp>1</stp>
        <tr r="Y12" s="3"/>
      </tp>
      <tp>
        <v>1726463869.1400001</v>
        <stp/>
        <stp>EM_S_QSTM07_IS</stp>
        <stp>4</stp>
        <stp>601636.SH</stp>
        <stp>9</stp>
        <stp>9/30/2016</stp>
        <stp>1</stp>
        <tr r="T7" s="3"/>
        <tr r="T5" s="3"/>
      </tp>
      <tp>
        <v>1300405547.03</v>
        <stp/>
        <stp>EM_S_QSTM07_IS</stp>
        <stp>4</stp>
        <stp>601636.SH</stp>
        <stp>9</stp>
        <stp>9/30/2015</stp>
        <stp>1</stp>
        <tr r="S5" s="3"/>
        <tr r="S7" s="3"/>
      </tp>
      <tp>
        <v>842488292.47000003</v>
        <stp/>
        <stp>EM_S_QSTM07_IS</stp>
        <stp>4</stp>
        <stp>601636.SH</stp>
        <stp>9</stp>
        <stp>9/30/2014</stp>
        <stp>1</stp>
        <tr r="R5" s="3"/>
        <tr r="R7" s="3"/>
      </tp>
      <tp>
        <v>879782744.28999996</v>
        <stp/>
        <stp>EM_S_QSTM07_IS</stp>
        <stp>4</stp>
        <stp>601636.SH</stp>
        <stp>9</stp>
        <stp>9/30/2013</stp>
        <stp>1</stp>
        <tr r="Q7" s="3"/>
        <tr r="Q5" s="3"/>
      </tp>
      <tp>
        <v>720159353.39999998</v>
        <stp/>
        <stp>EM_S_QSTM07_IS</stp>
        <stp>4</stp>
        <stp>601636.SH</stp>
        <stp>9</stp>
        <stp>9/30/2012</stp>
        <stp>1</stp>
        <tr r="P7" s="3"/>
        <tr r="P5" s="3"/>
      </tp>
      <tp>
        <v>486004306.05000001</v>
        <stp/>
        <stp>EM_S_QSTM07_IS</stp>
        <stp>4</stp>
        <stp>601636.SH</stp>
        <stp>9</stp>
        <stp>9/30/2011</stp>
        <stp>1</stp>
        <tr r="O5" s="3"/>
        <tr r="O7" s="3"/>
      </tp>
      <tp>
        <v>315867579.87</v>
        <stp/>
        <stp>EM_S_QSTM07_IS</stp>
        <stp>4</stp>
        <stp>601636.SH</stp>
        <stp>48</stp>
        <stp>9/30/2016</stp>
        <stp>1</stp>
        <tr r="T10" s="3"/>
      </tp>
      <tp>
        <v>280267377.91000003</v>
        <stp/>
        <stp>EM_S_QSTM07_IS</stp>
        <stp>4</stp>
        <stp>601636.SH</stp>
        <stp>61</stp>
        <stp>9/30/2016</stp>
        <stp>1</stp>
        <tr r="T14" s="3"/>
      </tp>
      <tp>
        <v>280267377.91000003</v>
        <stp/>
        <stp>EM_S_QSTM07_IS</stp>
        <stp>4</stp>
        <stp>601636.SH</stp>
        <stp>60</stp>
        <stp>9/30/2016</stp>
        <stp>1</stp>
        <tr r="T12" s="3"/>
      </tp>
      <tp>
        <v>1098655630.75</v>
        <stp/>
        <stp>EM_S_QSTM07_IS</stp>
        <stp>4</stp>
        <stp>601636.SH</stp>
        <stp>10</stp>
        <stp>9/30/2016</stp>
        <stp>1</stp>
        <tr r="T7" s="3"/>
      </tp>
      <tp>
        <v>64186121.850000001</v>
        <stp/>
        <stp>EM_S_QFA_DEDUCTEDPROFIT</stp>
        <stp>2</stp>
        <stp>601636.SH</stp>
        <stp>12/31/2011</stp>
        <tr r="U16" s="3"/>
      </tp>
      <tp>
        <v>75853986.980000004</v>
        <stp/>
        <stp>EM_S_QFA_DEDUCTEDPROFIT</stp>
        <stp>2</stp>
        <stp>601636.SH</stp>
        <stp>12/31/2012</stp>
        <tr r="V16" s="3"/>
      </tp>
      <tp>
        <v>78036762.180000007</v>
        <stp/>
        <stp>EM_S_QFA_DEDUCTEDPROFIT</stp>
        <stp>2</stp>
        <stp>601636.SH</stp>
        <stp>12/31/2013</stp>
        <tr r="W16" s="3"/>
      </tp>
      <tp>
        <v>43500111.189999998</v>
        <stp/>
        <stp>EM_S_QFA_DEDUCTEDPROFIT</stp>
        <stp>2</stp>
        <stp>601636.SH</stp>
        <stp>12/31/2014</stp>
        <tr r="X16" s="3"/>
      </tp>
      <tp>
        <v>32092203.960000001</v>
        <stp/>
        <stp>EM_S_QFA_DEDUCTEDPROFIT</stp>
        <stp>2</stp>
        <stp>601636.SH</stp>
        <stp>12/31/2015</stp>
        <tr r="Y16" s="3"/>
      </tp>
      <tp t="s">
        <v/>
        <stp/>
        <stp>EM_S_QFA_DEDUCTEDPROFIT</stp>
        <stp>2</stp>
        <stp>601636.SH</stp>
        <stp>12/31/2016</stp>
        <tr r="Z16" s="3"/>
      </tp>
      <tp>
        <v>-51220141.07</v>
        <stp/>
        <stp>EM_S_QSTM07_IS</stp>
        <stp>4</stp>
        <stp>601636.SH</stp>
        <stp>48</stp>
        <stp>9/30/2014</stp>
        <stp>1</stp>
        <tr r="R10" s="3"/>
      </tp>
      <tp>
        <v>50035429.619999997</v>
        <stp/>
        <stp>EM_S_QSTM07_IS</stp>
        <stp>4</stp>
        <stp>601636.SH</stp>
        <stp>61</stp>
        <stp>9/30/2014</stp>
        <stp>1</stp>
        <tr r="R14" s="3"/>
      </tp>
      <tp>
        <v>50035429.619999997</v>
        <stp/>
        <stp>EM_S_QSTM07_IS</stp>
        <stp>4</stp>
        <stp>601636.SH</stp>
        <stp>60</stp>
        <stp>9/30/2014</stp>
        <stp>1</stp>
        <tr r="R12" s="3"/>
      </tp>
      <tp>
        <v>671635280.19000006</v>
        <stp/>
        <stp>EM_S_QSTM07_IS</stp>
        <stp>4</stp>
        <stp>601636.SH</stp>
        <stp>10</stp>
        <stp>9/30/2014</stp>
        <stp>1</stp>
        <tr r="R7" s="3"/>
      </tp>
      <tp>
        <v>16335917.27</v>
        <stp/>
        <stp>EM_S_QSTM07_IS</stp>
        <stp>4</stp>
        <stp>601636.SH</stp>
        <stp>48</stp>
        <stp>9/30/2015</stp>
        <stp>1</stp>
        <tr r="S10" s="3"/>
      </tp>
      <tp>
        <v>23819290.309999999</v>
        <stp/>
        <stp>EM_S_QSTM07_IS</stp>
        <stp>4</stp>
        <stp>601636.SH</stp>
        <stp>61</stp>
        <stp>9/30/2015</stp>
        <stp>1</stp>
        <tr r="S14" s="3"/>
      </tp>
      <tp>
        <v>23819290.309999999</v>
        <stp/>
        <stp>EM_S_QSTM07_IS</stp>
        <stp>4</stp>
        <stp>601636.SH</stp>
        <stp>60</stp>
        <stp>9/30/2015</stp>
        <stp>1</stp>
        <tr r="S12" s="3"/>
      </tp>
      <tp>
        <v>1080627806.5</v>
        <stp/>
        <stp>EM_S_QSTM07_IS</stp>
        <stp>4</stp>
        <stp>601636.SH</stp>
        <stp>10</stp>
        <stp>9/30/2015</stp>
        <stp>1</stp>
        <tr r="S7" s="3"/>
      </tp>
      <tp>
        <v>-31145001.800000001</v>
        <stp/>
        <stp>EM_S_QSTM07_IS</stp>
        <stp>4</stp>
        <stp>601636.SH</stp>
        <stp>48</stp>
        <stp>9/30/2012</stp>
        <stp>1</stp>
        <tr r="P10" s="3"/>
      </tp>
      <tp>
        <v>-6772387.8499999996</v>
        <stp/>
        <stp>EM_S_QSTM07_IS</stp>
        <stp>4</stp>
        <stp>601636.SH</stp>
        <stp>61</stp>
        <stp>9/30/2012</stp>
        <stp>1</stp>
        <tr r="P14" s="3"/>
      </tp>
      <tp>
        <v>-6772387.8499999996</v>
        <stp/>
        <stp>EM_S_QSTM07_IS</stp>
        <stp>4</stp>
        <stp>601636.SH</stp>
        <stp>60</stp>
        <stp>9/30/2012</stp>
        <stp>1</stp>
        <tr r="P12" s="3"/>
      </tp>
      <tp>
        <v>634588642.63999999</v>
        <stp/>
        <stp>EM_S_QSTM07_IS</stp>
        <stp>4</stp>
        <stp>601636.SH</stp>
        <stp>10</stp>
        <stp>9/30/2012</stp>
        <stp>1</stp>
        <tr r="P7" s="3"/>
      </tp>
      <tp>
        <v>99978067.569999993</v>
        <stp/>
        <stp>EM_S_QSTM07_IS</stp>
        <stp>4</stp>
        <stp>601636.SH</stp>
        <stp>48</stp>
        <stp>9/30/2013</stp>
        <stp>1</stp>
        <tr r="Q10" s="3"/>
      </tp>
      <tp>
        <v>143466540.83000001</v>
        <stp/>
        <stp>EM_S_QSTM07_IS</stp>
        <stp>4</stp>
        <stp>601636.SH</stp>
        <stp>61</stp>
        <stp>9/30/2013</stp>
        <stp>1</stp>
        <tr r="Q14" s="3"/>
      </tp>
      <tp>
        <v>143466540.83000001</v>
        <stp/>
        <stp>EM_S_QSTM07_IS</stp>
        <stp>4</stp>
        <stp>601636.SH</stp>
        <stp>60</stp>
        <stp>9/30/2013</stp>
        <stp>1</stp>
        <tr r="Q12" s="3"/>
      </tp>
      <tp>
        <v>593881420.83000004</v>
        <stp/>
        <stp>EM_S_QSTM07_IS</stp>
        <stp>4</stp>
        <stp>601636.SH</stp>
        <stp>10</stp>
        <stp>9/30/2013</stp>
        <stp>1</stp>
        <tr r="Q7" s="3"/>
      </tp>
      <tp>
        <v>40021305.600000001</v>
        <stp/>
        <stp>EM_S_QSTM07_IS</stp>
        <stp>4</stp>
        <stp>601636.SH</stp>
        <stp>48</stp>
        <stp>9/30/2011</stp>
        <stp>1</stp>
        <tr r="O10" s="3"/>
      </tp>
      <tp>
        <v>39616875.859999999</v>
        <stp/>
        <stp>EM_S_QSTM07_IS</stp>
        <stp>4</stp>
        <stp>601636.SH</stp>
        <stp>61</stp>
        <stp>9/30/2011</stp>
        <stp>1</stp>
        <tr r="O14" s="3"/>
      </tp>
      <tp>
        <v>39616875.859999999</v>
        <stp/>
        <stp>EM_S_QSTM07_IS</stp>
        <stp>4</stp>
        <stp>601636.SH</stp>
        <stp>60</stp>
        <stp>9/30/2011</stp>
        <stp>1</stp>
        <tr r="O12" s="3"/>
      </tp>
      <tp>
        <v>391547247.51999998</v>
        <stp/>
        <stp>EM_S_QSTM07_IS</stp>
        <stp>4</stp>
        <stp>601636.SH</stp>
        <stp>10</stp>
        <stp>9/30/2011</stp>
        <stp>1</stp>
        <tr r="O7" s="3"/>
      </tp>
      <tp>
        <v>55414811.490000002</v>
        <stp/>
        <stp>EM_S_QSTM07_IS</stp>
        <stp>4</stp>
        <stp>601636.SH</stp>
        <stp>48</stp>
        <stp>3/31/2014</stp>
        <stp>1</stp>
        <tr r="F10" s="3"/>
      </tp>
      <tp>
        <v>41344627.439999998</v>
        <stp/>
        <stp>EM_S_QSTM07_IS</stp>
        <stp>4</stp>
        <stp>601636.SH</stp>
        <stp>48</stp>
        <stp>6/30/2011</stp>
        <stp>1</stp>
        <tr r="I10" s="3"/>
      </tp>
      <tp>
        <v>53381002.369999997</v>
        <stp/>
        <stp>EM_S_QSTM07_IS</stp>
        <stp>4</stp>
        <stp>601636.SH</stp>
        <stp>61</stp>
        <stp>3/31/2014</stp>
        <stp>1</stp>
        <tr r="F14" s="3"/>
      </tp>
      <tp>
        <v>35794647.07</v>
        <stp/>
        <stp>EM_S_QSTM07_IS</stp>
        <stp>4</stp>
        <stp>601636.SH</stp>
        <stp>61</stp>
        <stp>6/30/2011</stp>
        <stp>1</stp>
        <tr r="I14" s="3"/>
      </tp>
      <tp>
        <v>53381002.369999997</v>
        <stp/>
        <stp>EM_S_QSTM07_IS</stp>
        <stp>4</stp>
        <stp>601636.SH</stp>
        <stp>60</stp>
        <stp>3/31/2014</stp>
        <stp>1</stp>
        <tr r="F12" s="3"/>
      </tp>
      <tp>
        <v>35794647.07</v>
        <stp/>
        <stp>EM_S_QSTM07_IS</stp>
        <stp>4</stp>
        <stp>601636.SH</stp>
        <stp>60</stp>
        <stp>6/30/2011</stp>
        <stp>1</stp>
        <tr r="I12" s="3"/>
      </tp>
      <tp>
        <v>652658503.88</v>
        <stp/>
        <stp>EM_S_QSTM07_IS</stp>
        <stp>4</stp>
        <stp>601636.SH</stp>
        <stp>10</stp>
        <stp>3/31/2014</stp>
        <stp>1</stp>
        <tr r="F7" s="3"/>
      </tp>
      <tp>
        <v>381702845.06999999</v>
        <stp/>
        <stp>EM_S_QSTM07_IS</stp>
        <stp>4</stp>
        <stp>601636.SH</stp>
        <stp>10</stp>
        <stp>6/30/2011</stp>
        <stp>1</stp>
        <tr r="I7" s="3"/>
      </tp>
      <tp t="s">
        <v/>
        <stp/>
        <stp>EM_S_QSTM07_IS</stp>
        <stp>4</stp>
        <stp>601636.SH</stp>
        <stp>9</stp>
        <stp>12/31/2016</stp>
        <stp>1</stp>
        <tr r="Z5" s="3"/>
        <tr r="Z7" s="3"/>
      </tp>
      <tp>
        <v>32721357.109999999</v>
        <stp/>
        <stp>EM_S_QSTM07_IS</stp>
        <stp>4</stp>
        <stp>601636.SH</stp>
        <stp>48</stp>
        <stp>3/31/2015</stp>
        <stp>1</stp>
        <tr r="G10" s="3"/>
      </tp>
      <tp>
        <v>34306807.030000001</v>
        <stp/>
        <stp>EM_S_QSTM07_IS</stp>
        <stp>4</stp>
        <stp>601636.SH</stp>
        <stp>61</stp>
        <stp>3/31/2015</stp>
        <stp>1</stp>
        <tr r="G14" s="3"/>
      </tp>
      <tp>
        <v>34306807.030000001</v>
        <stp/>
        <stp>EM_S_QSTM07_IS</stp>
        <stp>4</stp>
        <stp>601636.SH</stp>
        <stp>60</stp>
        <stp>3/31/2015</stp>
        <stp>1</stp>
        <tr r="G12" s="3"/>
      </tp>
      <tp>
        <v>580445059.99000001</v>
        <stp/>
        <stp>EM_S_QSTM07_IS</stp>
        <stp>4</stp>
        <stp>601636.SH</stp>
        <stp>10</stp>
        <stp>3/31/2015</stp>
        <stp>1</stp>
        <tr r="G7" s="3"/>
      </tp>
      <tp>
        <v>29279340.18</v>
        <stp/>
        <stp>EM_S_QSTM07_IS</stp>
        <stp>4</stp>
        <stp>601636.SH</stp>
        <stp>48</stp>
        <stp>3/31/2016</stp>
        <stp>1</stp>
        <tr r="H10" s="3"/>
      </tp>
      <tp>
        <v>119211405.38</v>
        <stp/>
        <stp>EM_S_QSTM07_IS</stp>
        <stp>4</stp>
        <stp>601636.SH</stp>
        <stp>48</stp>
        <stp>6/30/2013</stp>
        <stp>1</stp>
        <tr r="K10" s="3"/>
      </tp>
      <tp>
        <v>32977927.609999999</v>
        <stp/>
        <stp>EM_S_QSTM07_IS</stp>
        <stp>4</stp>
        <stp>601636.SH</stp>
        <stp>61</stp>
        <stp>3/31/2016</stp>
        <stp>1</stp>
        <tr r="H14" s="3"/>
      </tp>
      <tp>
        <v>104712234.51000001</v>
        <stp/>
        <stp>EM_S_QSTM07_IS</stp>
        <stp>4</stp>
        <stp>601636.SH</stp>
        <stp>61</stp>
        <stp>6/30/2013</stp>
        <stp>1</stp>
        <tr r="K14" s="3"/>
      </tp>
      <tp>
        <v>32977927.609999999</v>
        <stp/>
        <stp>EM_S_QSTM07_IS</stp>
        <stp>4</stp>
        <stp>601636.SH</stp>
        <stp>60</stp>
        <stp>3/31/2016</stp>
        <stp>1</stp>
        <tr r="H12" s="3"/>
      </tp>
      <tp>
        <v>104712234.51000001</v>
        <stp/>
        <stp>EM_S_QSTM07_IS</stp>
        <stp>4</stp>
        <stp>601636.SH</stp>
        <stp>60</stp>
        <stp>6/30/2013</stp>
        <stp>1</stp>
        <tr r="K12" s="3"/>
      </tp>
      <tp>
        <v>966669797.11000001</v>
        <stp/>
        <stp>EM_S_QSTM07_IS</stp>
        <stp>4</stp>
        <stp>601636.SH</stp>
        <stp>10</stp>
        <stp>3/31/2016</stp>
        <stp>1</stp>
        <tr r="H7" s="3"/>
      </tp>
      <tp>
        <v>672114926.90999997</v>
        <stp/>
        <stp>EM_S_QSTM07_IS</stp>
        <stp>4</stp>
        <stp>601636.SH</stp>
        <stp>10</stp>
        <stp>6/30/2013</stp>
        <stp>1</stp>
        <tr r="K7" s="3"/>
      </tp>
      <tp>
        <v>953936316.82000005</v>
        <stp/>
        <stp>EM_S_QSTM07_IS</stp>
        <stp>4</stp>
        <stp>601636.SH</stp>
        <stp>9</stp>
        <stp>12/31/2014</stp>
        <stp>1</stp>
        <tr r="X7" s="3"/>
        <tr r="X5" s="3"/>
      </tp>
      <tp>
        <v>958113.54</v>
        <stp/>
        <stp>EM_S_QSTM07_IS</stp>
        <stp>4</stp>
        <stp>601636.SH</stp>
        <stp>48</stp>
        <stp>6/30/2012</stp>
        <stp>1</stp>
        <tr r="J10" s="3"/>
      </tp>
      <tp>
        <v>2586353.31</v>
        <stp/>
        <stp>EM_S_QSTM07_IS</stp>
        <stp>4</stp>
        <stp>601636.SH</stp>
        <stp>61</stp>
        <stp>6/30/2012</stp>
        <stp>1</stp>
        <tr r="J14" s="3"/>
      </tp>
      <tp>
        <v>2586353.31</v>
        <stp/>
        <stp>EM_S_QSTM07_IS</stp>
        <stp>4</stp>
        <stp>601636.SH</stp>
        <stp>60</stp>
        <stp>6/30/2012</stp>
        <stp>1</stp>
        <tr r="J12" s="3"/>
      </tp>
      <tp>
        <v>438664726.31</v>
        <stp/>
        <stp>EM_S_QSTM07_IS</stp>
        <stp>4</stp>
        <stp>601636.SH</stp>
        <stp>10</stp>
        <stp>6/30/2012</stp>
        <stp>1</stp>
        <tr r="J7" s="3"/>
      </tp>
      <tp>
        <v>1546473274.5</v>
        <stp/>
        <stp>EM_S_QSTM07_IS</stp>
        <stp>4</stp>
        <stp>601636.SH</stp>
        <stp>9</stp>
        <stp>12/31/2015</stp>
        <stp>1</stp>
        <tr r="Y5" s="3"/>
        <tr r="Y7" s="3"/>
      </tp>
      <tp>
        <v>33582703.520000003</v>
        <stp/>
        <stp>EM_S_QSTM07_IS</stp>
        <stp>4</stp>
        <stp>601636.SH</stp>
        <stp>48</stp>
        <stp>6/30/2015</stp>
        <stp>1</stp>
        <tr r="M10" s="3"/>
      </tp>
      <tp>
        <v>59206309.020000003</v>
        <stp/>
        <stp>EM_S_QSTM07_IS</stp>
        <stp>4</stp>
        <stp>601636.SH</stp>
        <stp>61</stp>
        <stp>6/30/2015</stp>
        <stp>1</stp>
        <tr r="M14" s="3"/>
      </tp>
      <tp>
        <v>59206309.020000003</v>
        <stp/>
        <stp>EM_S_QSTM07_IS</stp>
        <stp>4</stp>
        <stp>601636.SH</stp>
        <stp>60</stp>
        <stp>6/30/2015</stp>
        <stp>1</stp>
        <tr r="M12" s="3"/>
      </tp>
      <tp>
        <v>1306959196.6500001</v>
        <stp/>
        <stp>EM_S_QSTM07_IS</stp>
        <stp>4</stp>
        <stp>601636.SH</stp>
        <stp>10</stp>
        <stp>6/30/2015</stp>
        <stp>1</stp>
        <tr r="M7" s="3"/>
      </tp>
      <tp>
        <v>915684597.09000003</v>
        <stp/>
        <stp>EM_S_QSTM07_IS</stp>
        <stp>4</stp>
        <stp>601636.SH</stp>
        <stp>9</stp>
        <stp>12/31/2012</stp>
        <stp>1</stp>
        <tr r="V7" s="3"/>
        <tr r="V5" s="3"/>
      </tp>
      <tp>
        <v>53029136.079999998</v>
        <stp/>
        <stp>EM_S_QSTM07_IS</stp>
        <stp>4</stp>
        <stp>601636.SH</stp>
        <stp>48</stp>
        <stp>3/31/2011</stp>
        <stp>1</stp>
        <tr r="C10" s="3"/>
      </tp>
      <tp>
        <v>75948596.599999994</v>
        <stp/>
        <stp>EM_S_QSTM07_IS</stp>
        <stp>4</stp>
        <stp>601636.SH</stp>
        <stp>48</stp>
        <stp>6/30/2014</stp>
        <stp>1</stp>
        <tr r="L10" s="3"/>
      </tp>
      <tp>
        <v>44981297.630000003</v>
        <stp/>
        <stp>EM_S_QSTM07_IS</stp>
        <stp>4</stp>
        <stp>601636.SH</stp>
        <stp>61</stp>
        <stp>3/31/2011</stp>
        <stp>1</stp>
        <tr r="C14" s="3"/>
      </tp>
      <tp>
        <v>64536148.939999998</v>
        <stp/>
        <stp>EM_S_QSTM07_IS</stp>
        <stp>4</stp>
        <stp>601636.SH</stp>
        <stp>61</stp>
        <stp>6/30/2014</stp>
        <stp>1</stp>
        <tr r="L14" s="3"/>
      </tp>
      <tp>
        <v>44981297.630000003</v>
        <stp/>
        <stp>EM_S_QSTM07_IS</stp>
        <stp>4</stp>
        <stp>601636.SH</stp>
        <stp>60</stp>
        <stp>3/31/2011</stp>
        <stp>1</stp>
        <tr r="C12" s="3"/>
      </tp>
      <tp>
        <v>64536148.939999998</v>
        <stp/>
        <stp>EM_S_QSTM07_IS</stp>
        <stp>4</stp>
        <stp>601636.SH</stp>
        <stp>60</stp>
        <stp>6/30/2014</stp>
        <stp>1</stp>
        <tr r="L12" s="3"/>
      </tp>
      <tp>
        <v>355847044.95999998</v>
        <stp/>
        <stp>EM_S_QSTM07_IS</stp>
        <stp>4</stp>
        <stp>601636.SH</stp>
        <stp>10</stp>
        <stp>3/31/2011</stp>
        <stp>1</stp>
        <tr r="C7" s="3"/>
      </tp>
      <tp>
        <v>869608178.00999999</v>
        <stp/>
        <stp>EM_S_QSTM07_IS</stp>
        <stp>4</stp>
        <stp>601636.SH</stp>
        <stp>10</stp>
        <stp>6/30/2014</stp>
        <stp>1</stp>
        <tr r="L7" s="3"/>
      </tp>
      <tp>
        <v>1008451494.87</v>
        <stp/>
        <stp>EM_S_QSTM07_IS</stp>
        <stp>4</stp>
        <stp>601636.SH</stp>
        <stp>9</stp>
        <stp>12/31/2013</stp>
        <stp>1</stp>
        <tr r="W7" s="3"/>
        <tr r="W5" s="3"/>
      </tp>
      <tp>
        <v>3287759.41</v>
        <stp/>
        <stp>EM_S_QSTM07_IS</stp>
        <stp>4</stp>
        <stp>601636.SH</stp>
        <stp>48</stp>
        <stp>3/31/2012</stp>
        <stp>1</stp>
        <tr r="D10" s="3"/>
      </tp>
      <tp>
        <v>119323433.84</v>
        <stp/>
        <stp>EM_S_QSTM07_IS</stp>
        <stp>4</stp>
        <stp>601636.SH</stp>
        <stp>61</stp>
        <stp>3/31/2012</stp>
        <stp>1</stp>
        <tr r="D14" s="3"/>
      </tp>
      <tp>
        <v>119323433.84</v>
        <stp/>
        <stp>EM_S_QSTM07_IS</stp>
        <stp>4</stp>
        <stp>601636.SH</stp>
        <stp>60</stp>
        <stp>3/31/2012</stp>
        <stp>1</stp>
        <tr r="D12" s="3"/>
      </tp>
      <tp>
        <v>458032952.42000002</v>
        <stp/>
        <stp>EM_S_QSTM07_IS</stp>
        <stp>4</stp>
        <stp>601636.SH</stp>
        <stp>10</stp>
        <stp>3/31/2012</stp>
        <stp>1</stp>
        <tr r="D7" s="3"/>
      </tp>
      <tp>
        <v>72036628.980000004</v>
        <stp/>
        <stp>EM_S_QSTM07_IS</stp>
        <stp>4</stp>
        <stp>601636.SH</stp>
        <stp>48</stp>
        <stp>3/31/2013</stp>
        <stp>1</stp>
        <tr r="E10" s="3"/>
      </tp>
      <tp>
        <v>126422839.65000001</v>
        <stp/>
        <stp>EM_S_QSTM07_IS</stp>
        <stp>4</stp>
        <stp>601636.SH</stp>
        <stp>48</stp>
        <stp>6/30/2016</stp>
        <stp>1</stp>
        <tr r="N10" s="3"/>
      </tp>
      <tp>
        <v>61442211.82</v>
        <stp/>
        <stp>EM_S_QSTM07_IS</stp>
        <stp>4</stp>
        <stp>601636.SH</stp>
        <stp>61</stp>
        <stp>3/31/2013</stp>
        <stp>1</stp>
        <tr r="E14" s="3"/>
      </tp>
      <tp>
        <v>118902700.08</v>
        <stp/>
        <stp>EM_S_QSTM07_IS</stp>
        <stp>4</stp>
        <stp>601636.SH</stp>
        <stp>61</stp>
        <stp>6/30/2016</stp>
        <stp>1</stp>
        <tr r="N14" s="3"/>
      </tp>
      <tp>
        <v>61442211.82</v>
        <stp/>
        <stp>EM_S_QSTM07_IS</stp>
        <stp>4</stp>
        <stp>601636.SH</stp>
        <stp>60</stp>
        <stp>3/31/2013</stp>
        <stp>1</stp>
        <tr r="E12" s="3"/>
      </tp>
      <tp>
        <v>118902700.08</v>
        <stp/>
        <stp>EM_S_QSTM07_IS</stp>
        <stp>4</stp>
        <stp>601636.SH</stp>
        <stp>60</stp>
        <stp>6/30/2016</stp>
        <stp>1</stp>
        <tr r="N12" s="3"/>
      </tp>
      <tp>
        <v>535438387.81999999</v>
        <stp/>
        <stp>EM_S_QSTM07_IS</stp>
        <stp>4</stp>
        <stp>601636.SH</stp>
        <stp>10</stp>
        <stp>3/31/2013</stp>
        <stp>1</stp>
        <tr r="E7" s="3"/>
      </tp>
      <tp>
        <v>1425182293.8399999</v>
        <stp/>
        <stp>EM_S_QSTM07_IS</stp>
        <stp>4</stp>
        <stp>601636.SH</stp>
        <stp>10</stp>
        <stp>6/30/2016</stp>
        <stp>1</stp>
        <tr r="N7" s="3"/>
      </tp>
      <tp>
        <v>609929007.10000002</v>
        <stp/>
        <stp>EM_S_QSTM07_IS</stp>
        <stp>4</stp>
        <stp>601636.SH</stp>
        <stp>9</stp>
        <stp>12/31/2011</stp>
        <stp>1</stp>
        <tr r="U5" s="3"/>
        <tr r="U7" s="3"/>
      </tp>
      <tp>
        <v>217498767.91999999</v>
        <stp/>
        <stp>EM_S_STM07_IS</stp>
        <stp>4</stp>
        <stp>601636.SH</stp>
        <stp>48</stp>
        <stp>12/31/2009</stp>
        <stp>1</stp>
        <tr r="C10" s="2"/>
      </tp>
      <tp>
        <v>179187769.28999999</v>
        <stp/>
        <stp>EM_S_STM07_IS</stp>
        <stp>4</stp>
        <stp>601636.SH</stp>
        <stp>60</stp>
        <stp>12/31/2009</stp>
        <stp>1</stp>
        <tr r="C12" s="2"/>
      </tp>
      <tp>
        <v>179187769.28999999</v>
        <stp/>
        <stp>EM_S_STM07_IS</stp>
        <stp>4</stp>
        <stp>601636.SH</stp>
        <stp>61</stp>
        <stp>12/31/2009</stp>
        <stp>1</stp>
        <tr r="C14" s="2"/>
      </tp>
      <tp>
        <v>813499547.07000005</v>
        <stp/>
        <stp>EM_S_STM07_IS</stp>
        <stp>4</stp>
        <stp>601636.SH</stp>
        <stp>10</stp>
        <stp>12/31/2009</stp>
        <stp>1</stp>
        <tr r="C7" s="2"/>
      </tp>
      <tp>
        <v>397782298.32999998</v>
        <stp/>
        <stp>EM_S_STM07_IS</stp>
        <stp>4</stp>
        <stp>601636.SH</stp>
        <stp>48</stp>
        <stp>12/31/2010</stp>
        <stp>1</stp>
        <tr r="D10" s="2"/>
      </tp>
      <tp>
        <v>4239040803.0300002</v>
        <stp/>
        <stp>EM_S_STM07_IS</stp>
        <stp>4</stp>
        <stp>601636.SH</stp>
        <stp>10</stp>
        <stp>12/31/2015</stp>
        <stp>1</stp>
        <tr r="I7" s="2"/>
      </tp>
      <tp>
        <v>197330150.62</v>
        <stp/>
        <stp>EM_S_STM07_IS</stp>
        <stp>4</stp>
        <stp>601636.SH</stp>
        <stp>60</stp>
        <stp>12/31/2012</stp>
        <stp>1</stp>
        <tr r="F12" s="2"/>
      </tp>
      <tp>
        <v>197330150.62</v>
        <stp/>
        <stp>EM_S_STM07_IS</stp>
        <stp>4</stp>
        <stp>601636.SH</stp>
        <stp>61</stp>
        <stp>12/31/2012</stp>
        <stp>1</stp>
        <tr r="F14" s="2"/>
      </tp>
      <tp>
        <v>204029385.84</v>
        <stp/>
        <stp>EM_S_STM07_IS</stp>
        <stp>4</stp>
        <stp>601636.SH</stp>
        <stp>48</stp>
        <stp>12/31/2011</stp>
        <stp>1</stp>
        <tr r="E10" s="2"/>
      </tp>
      <tp>
        <v>2964495765.8499999</v>
        <stp/>
        <stp>EM_S_STM07_IS</stp>
        <stp>4</stp>
        <stp>601636.SH</stp>
        <stp>10</stp>
        <stp>12/31/2014</stp>
        <stp>1</stp>
        <tr r="H7" s="2"/>
      </tp>
      <tp>
        <v>387138421.70999998</v>
        <stp/>
        <stp>EM_S_STM07_IS</stp>
        <stp>4</stp>
        <stp>601636.SH</stp>
        <stp>60</stp>
        <stp>12/31/2013</stp>
        <stp>1</stp>
        <tr r="G12" s="2"/>
      </tp>
      <tp>
        <v>387138421.70999998</v>
        <stp/>
        <stp>EM_S_STM07_IS</stp>
        <stp>4</stp>
        <stp>601636.SH</stp>
        <stp>61</stp>
        <stp>12/31/2013</stp>
        <stp>1</stp>
        <tr r="G14" s="2"/>
      </tp>
      <tp>
        <v>51428303.590000004</v>
        <stp/>
        <stp>EM_S_STM07_IS</stp>
        <stp>4</stp>
        <stp>601636.SH</stp>
        <stp>48</stp>
        <stp>12/31/2012</stp>
        <stp>1</stp>
        <tr r="F10" s="2"/>
      </tp>
      <tp>
        <v>328275818.41000003</v>
        <stp/>
        <stp>EM_S_STM07_IS</stp>
        <stp>4</stp>
        <stp>601636.SH</stp>
        <stp>60</stp>
        <stp>12/31/2010</stp>
        <stp>1</stp>
        <tr r="D12" s="2"/>
      </tp>
      <tp>
        <v>328275818.41000003</v>
        <stp/>
        <stp>EM_S_STM07_IS</stp>
        <stp>4</stp>
        <stp>601636.SH</stp>
        <stp>61</stp>
        <stp>12/31/2010</stp>
        <stp>1</stp>
        <tr r="D14" s="2"/>
      </tp>
      <tp>
        <v>375170498.67000002</v>
        <stp/>
        <stp>EM_S_STM07_IS</stp>
        <stp>4</stp>
        <stp>601636.SH</stp>
        <stp>48</stp>
        <stp>12/31/2013</stp>
        <stp>1</stp>
        <tr r="G10" s="2"/>
      </tp>
      <tp>
        <v>208236246.80000001</v>
        <stp/>
        <stp>EM_S_STM07_IS</stp>
        <stp>4</stp>
        <stp>601636.SH</stp>
        <stp>60</stp>
        <stp>12/31/2011</stp>
        <stp>1</stp>
        <tr r="E12" s="2"/>
      </tp>
      <tp>
        <v>208236246.80000001</v>
        <stp/>
        <stp>EM_S_STM07_IS</stp>
        <stp>4</stp>
        <stp>601636.SH</stp>
        <stp>61</stp>
        <stp>12/31/2011</stp>
        <stp>1</stp>
        <tr r="E14" s="2"/>
      </tp>
      <tp>
        <v>145341722.66</v>
        <stp/>
        <stp>EM_S_STM07_IS</stp>
        <stp>4</stp>
        <stp>601636.SH</stp>
        <stp>48</stp>
        <stp>12/31/2014</stp>
        <stp>1</stp>
        <tr r="H10" s="2"/>
      </tp>
      <tp>
        <v>1593916898.7</v>
        <stp/>
        <stp>EM_S_STM07_IS</stp>
        <stp>4</stp>
        <stp>601636.SH</stp>
        <stp>10</stp>
        <stp>12/31/2011</stp>
        <stp>1</stp>
        <tr r="E7" s="2"/>
      </tp>
      <tp>
        <v>135621677.56</v>
        <stp/>
        <stp>EM_S_STM07_IS</stp>
        <stp>4</stp>
        <stp>601636.SH</stp>
        <stp>48</stp>
        <stp>12/31/2015</stp>
        <stp>1</stp>
        <tr r="I10" s="2"/>
      </tp>
      <tp>
        <v>1265856921.5</v>
        <stp/>
        <stp>EM_S_STM07_IS</stp>
        <stp>4</stp>
        <stp>601636.SH</stp>
        <stp>10</stp>
        <stp>12/31/2010</stp>
        <stp>1</stp>
        <tr r="D7" s="2"/>
      </tp>
      <tp>
        <v>2504258649.9499998</v>
        <stp/>
        <stp>EM_S_STM07_IS</stp>
        <stp>4</stp>
        <stp>601636.SH</stp>
        <stp>10</stp>
        <stp>12/31/2013</stp>
        <stp>1</stp>
        <tr r="G7" s="2"/>
      </tp>
      <tp>
        <v>221058649.02000001</v>
        <stp/>
        <stp>EM_S_STM07_IS</stp>
        <stp>4</stp>
        <stp>601636.SH</stp>
        <stp>60</stp>
        <stp>12/31/2014</stp>
        <stp>1</stp>
        <tr r="H12" s="2"/>
      </tp>
      <tp>
        <v>221058649.02000001</v>
        <stp/>
        <stp>EM_S_STM07_IS</stp>
        <stp>4</stp>
        <stp>601636.SH</stp>
        <stp>61</stp>
        <stp>12/31/2014</stp>
        <stp>1</stp>
        <tr r="H14" s="2"/>
      </tp>
      <tp>
        <v>2261321403.98</v>
        <stp/>
        <stp>EM_S_STM07_IS</stp>
        <stp>4</stp>
        <stp>601636.SH</stp>
        <stp>10</stp>
        <stp>12/31/2012</stp>
        <stp>1</stp>
        <tr r="F7" s="2"/>
      </tp>
      <tp>
        <v>171332577.56</v>
        <stp/>
        <stp>EM_S_STM07_IS</stp>
        <stp>4</stp>
        <stp>601636.SH</stp>
        <stp>60</stp>
        <stp>12/31/2015</stp>
        <stp>1</stp>
        <tr r="I12" s="2"/>
      </tp>
      <tp>
        <v>171332577.56</v>
        <stp/>
        <stp>EM_S_STM07_IS</stp>
        <stp>4</stp>
        <stp>601636.SH</stp>
        <stp>61</stp>
        <stp>12/31/2015</stp>
        <stp>1</stp>
        <tr r="I14" s="2"/>
      </tp>
      <tp>
        <v>98995096.560000002</v>
        <stp/>
        <stp>EM_S_QFA_DEDUCTEDPROFIT</stp>
        <stp>2</stp>
        <stp>601636.SH</stp>
        <stp>6/30/2016</stp>
        <tr r="N16" s="3"/>
      </tp>
      <tp>
        <v>34715620.869999997</v>
        <stp/>
        <stp>EM_S_QFA_DEDUCTEDPROFIT</stp>
        <stp>2</stp>
        <stp>601636.SH</stp>
        <stp>6/30/2015</stp>
        <tr r="M16" s="3"/>
      </tp>
      <tp>
        <v>65423931.630000003</v>
        <stp/>
        <stp>EM_S_QFA_DEDUCTEDPROFIT</stp>
        <stp>2</stp>
        <stp>601636.SH</stp>
        <stp>6/30/2014</stp>
        <tr r="L16" s="3"/>
      </tp>
      <tp>
        <v>97704049.150000006</v>
        <stp/>
        <stp>EM_S_QFA_DEDUCTEDPROFIT</stp>
        <stp>2</stp>
        <stp>601636.SH</stp>
        <stp>6/30/2013</stp>
        <tr r="K16" s="3"/>
      </tp>
      <tp>
        <v>2397672.98999999</v>
        <stp/>
        <stp>EM_S_QFA_DEDUCTEDPROFIT</stp>
        <stp>2</stp>
        <stp>601636.SH</stp>
        <stp>6/30/2012</stp>
        <tr r="J16" s="3"/>
      </tp>
      <tp t="s">
        <v/>
        <stp/>
        <stp>EM_S_QFA_DEDUCTEDPROFIT</stp>
        <stp>2</stp>
        <stp>601636.SH</stp>
        <stp>6/30/2011</stp>
        <tr r="I16" s="3"/>
      </tp>
      <tp>
        <v>34438296.719999999</v>
        <stp/>
        <stp>EM_S_QFA_DEDUCTEDPROFIT</stp>
        <stp>2</stp>
        <stp>601636.SH</stp>
        <stp>9/30/2011</stp>
        <tr r="O16" s="3"/>
      </tp>
      <tp>
        <v>-33224702.559999999</v>
        <stp/>
        <stp>EM_S_QFA_DEDUCTEDPROFIT</stp>
        <stp>2</stp>
        <stp>601636.SH</stp>
        <stp>9/30/2012</stp>
        <tr r="P16" s="3"/>
      </tp>
      <tp>
        <v>81541091.989999995</v>
        <stp/>
        <stp>EM_S_QFA_DEDUCTEDPROFIT</stp>
        <stp>2</stp>
        <stp>601636.SH</stp>
        <stp>9/30/2013</stp>
        <tr r="Q16" s="3"/>
      </tp>
      <tp>
        <v>37712904.350000001</v>
        <stp/>
        <stp>EM_S_QFA_DEDUCTEDPROFIT</stp>
        <stp>2</stp>
        <stp>601636.SH</stp>
        <stp>9/30/2014</stp>
        <tr r="R16" s="3"/>
      </tp>
      <tp>
        <v>8664976.9799999893</v>
        <stp/>
        <stp>EM_S_QFA_DEDUCTEDPROFIT</stp>
        <stp>2</stp>
        <stp>601636.SH</stp>
        <stp>9/30/2015</stp>
        <tr r="S16" s="3"/>
      </tp>
      <tp>
        <v>248827463.80000001</v>
        <stp/>
        <stp>EM_S_QFA_DEDUCTEDPROFIT</stp>
        <stp>2</stp>
        <stp>601636.SH</stp>
        <stp>9/30/2016</stp>
        <tr r="T16" s="3"/>
      </tp>
      <tp>
        <v>606227.76000000502</v>
        <stp/>
        <stp>EM_S_QFA_DEDUCTEDPROFIT</stp>
        <stp>2</stp>
        <stp>601636.SH</stp>
        <stp>3/31/2012</stp>
        <tr r="D16" s="3"/>
      </tp>
      <tp>
        <v>61112785.799999997</v>
        <stp/>
        <stp>EM_S_QFA_DEDUCTEDPROFIT</stp>
        <stp>2</stp>
        <stp>601636.SH</stp>
        <stp>3/31/2013</stp>
        <tr r="E16" s="3"/>
      </tp>
      <tp t="s">
        <v/>
        <stp/>
        <stp>EM_S_QFA_DEDUCTEDPROFIT</stp>
        <stp>2</stp>
        <stp>601636.SH</stp>
        <stp>3/31/2011</stp>
        <tr r="C16" s="3"/>
      </tp>
      <tp>
        <v>25792410.920000002</v>
        <stp/>
        <stp>EM_S_QFA_DEDUCTEDPROFIT</stp>
        <stp>2</stp>
        <stp>601636.SH</stp>
        <stp>3/31/2016</stp>
        <tr r="H16" s="3"/>
      </tp>
      <tp>
        <v>44543854.799999997</v>
        <stp/>
        <stp>EM_S_QFA_DEDUCTEDPROFIT</stp>
        <stp>2</stp>
        <stp>601636.SH</stp>
        <stp>3/31/2014</stp>
        <tr r="F16" s="3"/>
      </tp>
      <tp>
        <v>27713254.440000001</v>
        <stp/>
        <stp>EM_S_QFA_DEDUCTEDPROFIT</stp>
        <stp>2</stp>
        <stp>601636.SH</stp>
        <stp>3/31/2015</stp>
        <tr r="G16" s="3"/>
      </tp>
      <tp>
        <v>176919175.25999999</v>
        <stp/>
        <stp>EM_S_FA_DEDUCTEDPROFIT</stp>
        <stp>2</stp>
        <stp>601636.SH</stp>
        <stp>12/31/2009</stp>
        <tr r="C16" s="2"/>
      </tp>
      <tp>
        <v>191180801.97</v>
        <stp/>
        <stp>EM_S_FA_DEDUCTEDPROFIT</stp>
        <stp>2</stp>
        <stp>601636.SH</stp>
        <stp>12/31/2014</stp>
        <tr r="H16" s="2"/>
      </tp>
      <tp>
        <v>103186056.25</v>
        <stp/>
        <stp>EM_S_FA_DEDUCTEDPROFIT</stp>
        <stp>2</stp>
        <stp>601636.SH</stp>
        <stp>12/31/2015</stp>
        <tr r="I16" s="2"/>
      </tp>
      <tp>
        <v>323455250.56</v>
        <stp/>
        <stp>EM_S_FA_DEDUCTEDPROFIT</stp>
        <stp>2</stp>
        <stp>601636.SH</stp>
        <stp>12/31/2010</stp>
        <tr r="D16" s="2"/>
      </tp>
      <tp>
        <v>179052694.09</v>
        <stp/>
        <stp>EM_S_FA_DEDUCTEDPROFIT</stp>
        <stp>2</stp>
        <stp>601636.SH</stp>
        <stp>12/31/2011</stp>
        <tr r="E16" s="2"/>
      </tp>
      <tp>
        <v>45633185.170000002</v>
        <stp/>
        <stp>EM_S_FA_DEDUCTEDPROFIT</stp>
        <stp>2</stp>
        <stp>601636.SH</stp>
        <stp>12/31/2012</stp>
        <tr r="F16" s="2"/>
      </tp>
      <tp>
        <v>318394689.12</v>
        <stp/>
        <stp>EM_S_FA_DEDUCTEDPROFIT</stp>
        <stp>2</stp>
        <stp>601636.SH</stp>
        <stp>12/31/2013</stp>
        <tr r="G16" s="2"/>
      </tp>
    </main>
  </volType>
</volTypes>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volatileDependencies" Target="volatileDependenci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zh-CN" altLang="en-US" b="1"/>
              <a:t>毛利率与净利率变化图</a:t>
            </a:r>
            <a:endParaRPr lang="ja-JP" alt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按季度重新排序并作图!$B$50</c:f>
              <c:strCache>
                <c:ptCount val="1"/>
                <c:pt idx="0">
                  <c:v>毛利率</c:v>
                </c:pt>
              </c:strCache>
            </c:strRef>
          </c:tx>
          <c:spPr>
            <a:ln w="28575" cap="rnd">
              <a:solidFill>
                <a:schemeClr val="tx2">
                  <a:lumMod val="50000"/>
                </a:schemeClr>
              </a:solidFill>
              <a:round/>
            </a:ln>
            <a:effectLst/>
          </c:spPr>
          <c:marker>
            <c:symbol val="none"/>
          </c:marker>
          <c:cat>
            <c:strRef>
              <c:f>按季度重新排序并作图!$C$49:$Z$49</c:f>
              <c:strCache>
                <c:ptCount val="24"/>
                <c:pt idx="0">
                  <c:v>2011Q1</c:v>
                </c:pt>
                <c:pt idx="1">
                  <c:v>2011Q2</c:v>
                </c:pt>
                <c:pt idx="2">
                  <c:v>2011Q3</c:v>
                </c:pt>
                <c:pt idx="3">
                  <c:v>2011Q4</c:v>
                </c:pt>
                <c:pt idx="4">
                  <c:v>2012Q1</c:v>
                </c:pt>
                <c:pt idx="5">
                  <c:v>2012Q2</c:v>
                </c:pt>
                <c:pt idx="6">
                  <c:v>2012Q3</c:v>
                </c:pt>
                <c:pt idx="7">
                  <c:v>2012Q4</c:v>
                </c:pt>
                <c:pt idx="8">
                  <c:v>2013Q1</c:v>
                </c:pt>
                <c:pt idx="9">
                  <c:v>2013Q2</c:v>
                </c:pt>
                <c:pt idx="10">
                  <c:v>2013Q3</c:v>
                </c:pt>
                <c:pt idx="11">
                  <c:v>2013Q4</c:v>
                </c:pt>
                <c:pt idx="12">
                  <c:v>2014Q1</c:v>
                </c:pt>
                <c:pt idx="13">
                  <c:v>2014Q2</c:v>
                </c:pt>
                <c:pt idx="14">
                  <c:v>2014Q3</c:v>
                </c:pt>
                <c:pt idx="15">
                  <c:v>2014Q4</c:v>
                </c:pt>
                <c:pt idx="16">
                  <c:v>2015Q1</c:v>
                </c:pt>
                <c:pt idx="17">
                  <c:v>2015Q2</c:v>
                </c:pt>
                <c:pt idx="18">
                  <c:v>2015Q3</c:v>
                </c:pt>
                <c:pt idx="19">
                  <c:v>2015Q4</c:v>
                </c:pt>
                <c:pt idx="20">
                  <c:v>2016Q1</c:v>
                </c:pt>
                <c:pt idx="21">
                  <c:v>2016Q2</c:v>
                </c:pt>
                <c:pt idx="22">
                  <c:v>2016Q3</c:v>
                </c:pt>
                <c:pt idx="23">
                  <c:v>2016Q4</c:v>
                </c:pt>
              </c:strCache>
            </c:strRef>
          </c:cat>
          <c:val>
            <c:numRef>
              <c:f>按季度重新排序并作图!$C$50:$Z$50</c:f>
              <c:numCache>
                <c:formatCode>0.0%</c:formatCode>
                <c:ptCount val="24"/>
                <c:pt idx="0">
                  <c:v>0.22662926031362501</c:v>
                </c:pt>
                <c:pt idx="1">
                  <c:v>0.20438831530643434</c:v>
                </c:pt>
                <c:pt idx="2">
                  <c:v>0.19435436549461832</c:v>
                </c:pt>
                <c:pt idx="3">
                  <c:v>0.23791169834657311</c:v>
                </c:pt>
                <c:pt idx="4">
                  <c:v>0.14350616801924398</c:v>
                </c:pt>
                <c:pt idx="5">
                  <c:v>0.14642550390836648</c:v>
                </c:pt>
                <c:pt idx="6">
                  <c:v>0.11882191122840452</c:v>
                </c:pt>
                <c:pt idx="7">
                  <c:v>0.20274395252468469</c:v>
                </c:pt>
                <c:pt idx="8">
                  <c:v>0.25993619303013715</c:v>
                </c:pt>
                <c:pt idx="9">
                  <c:v>0.26481859333993646</c:v>
                </c:pt>
                <c:pt idx="10">
                  <c:v>0.32496809617552491</c:v>
                </c:pt>
                <c:pt idx="11">
                  <c:v>0.30306621789419691</c:v>
                </c:pt>
                <c:pt idx="12">
                  <c:v>0.21340359430433045</c:v>
                </c:pt>
                <c:pt idx="13">
                  <c:v>0.20253837465609206</c:v>
                </c:pt>
                <c:pt idx="14">
                  <c:v>0.20279571099925273</c:v>
                </c:pt>
                <c:pt idx="15">
                  <c:v>0.19219575753356627</c:v>
                </c:pt>
                <c:pt idx="16">
                  <c:v>0.21633471699284043</c:v>
                </c:pt>
                <c:pt idx="17">
                  <c:v>0.17380567449250722</c:v>
                </c:pt>
                <c:pt idx="18">
                  <c:v>0.16900707708602988</c:v>
                </c:pt>
                <c:pt idx="19">
                  <c:v>0.17812434210934688</c:v>
                </c:pt>
                <c:pt idx="20">
                  <c:v>0.21273601874217735</c:v>
                </c:pt>
                <c:pt idx="21">
                  <c:v>0.20180860072594406</c:v>
                </c:pt>
                <c:pt idx="22">
                  <c:v>0.36363821427825704</c:v>
                </c:pt>
                <c:pt idx="23">
                  <c:v>0</c:v>
                </c:pt>
              </c:numCache>
            </c:numRef>
          </c:val>
          <c:smooth val="0"/>
          <c:extLst xmlns:c16r2="http://schemas.microsoft.com/office/drawing/2015/06/chart">
            <c:ext xmlns:c16="http://schemas.microsoft.com/office/drawing/2014/chart" uri="{C3380CC4-5D6E-409C-BE32-E72D297353CC}">
              <c16:uniqueId val="{00000000-034B-41DF-B274-B98042A165A4}"/>
            </c:ext>
          </c:extLst>
        </c:ser>
        <c:ser>
          <c:idx val="1"/>
          <c:order val="1"/>
          <c:tx>
            <c:strRef>
              <c:f>按季度重新排序并作图!$B$51</c:f>
              <c:strCache>
                <c:ptCount val="1"/>
                <c:pt idx="0">
                  <c:v>净利率</c:v>
                </c:pt>
              </c:strCache>
            </c:strRef>
          </c:tx>
          <c:spPr>
            <a:ln w="28575" cap="rnd">
              <a:solidFill>
                <a:schemeClr val="accent2">
                  <a:lumMod val="50000"/>
                </a:schemeClr>
              </a:solidFill>
              <a:round/>
            </a:ln>
            <a:effectLst/>
          </c:spPr>
          <c:marker>
            <c:symbol val="none"/>
          </c:marker>
          <c:cat>
            <c:strRef>
              <c:f>按季度重新排序并作图!$C$49:$Z$49</c:f>
              <c:strCache>
                <c:ptCount val="24"/>
                <c:pt idx="0">
                  <c:v>2011Q1</c:v>
                </c:pt>
                <c:pt idx="1">
                  <c:v>2011Q2</c:v>
                </c:pt>
                <c:pt idx="2">
                  <c:v>2011Q3</c:v>
                </c:pt>
                <c:pt idx="3">
                  <c:v>2011Q4</c:v>
                </c:pt>
                <c:pt idx="4">
                  <c:v>2012Q1</c:v>
                </c:pt>
                <c:pt idx="5">
                  <c:v>2012Q2</c:v>
                </c:pt>
                <c:pt idx="6">
                  <c:v>2012Q3</c:v>
                </c:pt>
                <c:pt idx="7">
                  <c:v>2012Q4</c:v>
                </c:pt>
                <c:pt idx="8">
                  <c:v>2013Q1</c:v>
                </c:pt>
                <c:pt idx="9">
                  <c:v>2013Q2</c:v>
                </c:pt>
                <c:pt idx="10">
                  <c:v>2013Q3</c:v>
                </c:pt>
                <c:pt idx="11">
                  <c:v>2013Q4</c:v>
                </c:pt>
                <c:pt idx="12">
                  <c:v>2014Q1</c:v>
                </c:pt>
                <c:pt idx="13">
                  <c:v>2014Q2</c:v>
                </c:pt>
                <c:pt idx="14">
                  <c:v>2014Q3</c:v>
                </c:pt>
                <c:pt idx="15">
                  <c:v>2014Q4</c:v>
                </c:pt>
                <c:pt idx="16">
                  <c:v>2015Q1</c:v>
                </c:pt>
                <c:pt idx="17">
                  <c:v>2015Q2</c:v>
                </c:pt>
                <c:pt idx="18">
                  <c:v>2015Q3</c:v>
                </c:pt>
                <c:pt idx="19">
                  <c:v>2015Q4</c:v>
                </c:pt>
                <c:pt idx="20">
                  <c:v>2016Q1</c:v>
                </c:pt>
                <c:pt idx="21">
                  <c:v>2016Q2</c:v>
                </c:pt>
                <c:pt idx="22">
                  <c:v>2016Q3</c:v>
                </c:pt>
                <c:pt idx="23">
                  <c:v>2016Q4</c:v>
                </c:pt>
              </c:strCache>
            </c:strRef>
          </c:cat>
          <c:val>
            <c:numRef>
              <c:f>按季度重新排序并作图!$C$51:$Z$51</c:f>
              <c:numCache>
                <c:formatCode>0.0%</c:formatCode>
                <c:ptCount val="24"/>
                <c:pt idx="0">
                  <c:v>9.7758910500651885E-2</c:v>
                </c:pt>
                <c:pt idx="1">
                  <c:v>7.4609450325557949E-2</c:v>
                </c:pt>
                <c:pt idx="2">
                  <c:v>8.1515483230974142E-2</c:v>
                </c:pt>
                <c:pt idx="3">
                  <c:v>0.14402237837099255</c:v>
                </c:pt>
                <c:pt idx="4">
                  <c:v>0.22312758187976447</c:v>
                </c:pt>
                <c:pt idx="5">
                  <c:v>5.0326481499177065E-3</c:v>
                </c:pt>
                <c:pt idx="6">
                  <c:v>-9.4040129007925202E-3</c:v>
                </c:pt>
                <c:pt idx="7">
                  <c:v>8.9760984929968757E-2</c:v>
                </c:pt>
                <c:pt idx="8">
                  <c:v>8.4923229679684603E-2</c:v>
                </c:pt>
                <c:pt idx="9">
                  <c:v>0.11453768511808196</c:v>
                </c:pt>
                <c:pt idx="10">
                  <c:v>0.16307041910191136</c:v>
                </c:pt>
                <c:pt idx="11">
                  <c:v>7.6867786843821173E-2</c:v>
                </c:pt>
                <c:pt idx="12">
                  <c:v>6.4335796357591485E-2</c:v>
                </c:pt>
                <c:pt idx="13">
                  <c:v>5.9181943694344041E-2</c:v>
                </c:pt>
                <c:pt idx="14">
                  <c:v>5.9390059265163851E-2</c:v>
                </c:pt>
                <c:pt idx="15">
                  <c:v>5.5670454257399533E-2</c:v>
                </c:pt>
                <c:pt idx="16">
                  <c:v>4.6317998882960849E-2</c:v>
                </c:pt>
                <c:pt idx="17">
                  <c:v>3.7427271388386446E-2</c:v>
                </c:pt>
                <c:pt idx="18">
                  <c:v>1.8316816907157113E-2</c:v>
                </c:pt>
                <c:pt idx="19">
                  <c:v>3.4918269905090435E-2</c:v>
                </c:pt>
                <c:pt idx="20">
                  <c:v>2.6857500525514555E-2</c:v>
                </c:pt>
                <c:pt idx="21">
                  <c:v>6.6592963555982473E-2</c:v>
                </c:pt>
                <c:pt idx="22">
                  <c:v>0.16233608065577942</c:v>
                </c:pt>
                <c:pt idx="23">
                  <c:v>0</c:v>
                </c:pt>
              </c:numCache>
            </c:numRef>
          </c:val>
          <c:smooth val="0"/>
          <c:extLst xmlns:c16r2="http://schemas.microsoft.com/office/drawing/2015/06/chart">
            <c:ext xmlns:c16="http://schemas.microsoft.com/office/drawing/2014/chart" uri="{C3380CC4-5D6E-409C-BE32-E72D297353CC}">
              <c16:uniqueId val="{00000001-034B-41DF-B274-B98042A165A4}"/>
            </c:ext>
          </c:extLst>
        </c:ser>
        <c:dLbls>
          <c:showLegendKey val="0"/>
          <c:showVal val="0"/>
          <c:showCatName val="0"/>
          <c:showSerName val="0"/>
          <c:showPercent val="0"/>
          <c:showBubbleSize val="0"/>
        </c:dLbls>
        <c:smooth val="0"/>
        <c:axId val="536608264"/>
        <c:axId val="536608656"/>
      </c:lineChart>
      <c:catAx>
        <c:axId val="536608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08656"/>
        <c:crosses val="autoZero"/>
        <c:auto val="1"/>
        <c:lblAlgn val="ctr"/>
        <c:lblOffset val="100"/>
        <c:noMultiLvlLbl val="0"/>
      </c:catAx>
      <c:valAx>
        <c:axId val="53660865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082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zh-CN" altLang="en-US" b="1"/>
              <a:t>营收和净利同比增速图</a:t>
            </a:r>
            <a:endParaRPr lang="ja-JP" altLang="en-US" b="1"/>
          </a:p>
        </c:rich>
      </c:tx>
      <c:layout/>
      <c:overlay val="0"/>
      <c:spPr>
        <a:noFill/>
        <a:ln>
          <a:noFill/>
        </a:ln>
        <a:effectLst/>
      </c:spPr>
    </c:title>
    <c:autoTitleDeleted val="0"/>
    <c:plotArea>
      <c:layout/>
      <c:lineChart>
        <c:grouping val="stacked"/>
        <c:varyColors val="0"/>
        <c:ser>
          <c:idx val="0"/>
          <c:order val="0"/>
          <c:tx>
            <c:strRef>
              <c:f>按季度重新排序并作图!$B$25</c:f>
              <c:strCache>
                <c:ptCount val="1"/>
                <c:pt idx="0">
                  <c:v>营收同比增速</c:v>
                </c:pt>
              </c:strCache>
            </c:strRef>
          </c:tx>
          <c:spPr>
            <a:ln w="28575" cap="rnd">
              <a:solidFill>
                <a:schemeClr val="accent2">
                  <a:lumMod val="50000"/>
                </a:schemeClr>
              </a:solidFill>
              <a:round/>
            </a:ln>
            <a:effectLst/>
          </c:spPr>
          <c:marker>
            <c:symbol val="none"/>
          </c:marker>
          <c:cat>
            <c:strRef>
              <c:f>按季度重新排序并作图!$C$24:$V$24</c:f>
              <c:strCache>
                <c:ptCount val="20"/>
                <c:pt idx="0">
                  <c:v>2012Q1</c:v>
                </c:pt>
                <c:pt idx="1">
                  <c:v>2012Q2</c:v>
                </c:pt>
                <c:pt idx="2">
                  <c:v>2012Q3</c:v>
                </c:pt>
                <c:pt idx="3">
                  <c:v>2012Q4</c:v>
                </c:pt>
                <c:pt idx="4">
                  <c:v>2013Q1</c:v>
                </c:pt>
                <c:pt idx="5">
                  <c:v>2013Q2</c:v>
                </c:pt>
                <c:pt idx="6">
                  <c:v>2013Q3</c:v>
                </c:pt>
                <c:pt idx="7">
                  <c:v>2013Q4</c:v>
                </c:pt>
                <c:pt idx="8">
                  <c:v>2014Q1</c:v>
                </c:pt>
                <c:pt idx="9">
                  <c:v>2014Q2</c:v>
                </c:pt>
                <c:pt idx="10">
                  <c:v>2014Q3</c:v>
                </c:pt>
                <c:pt idx="11">
                  <c:v>2014Q4</c:v>
                </c:pt>
                <c:pt idx="12">
                  <c:v>2015Q1</c:v>
                </c:pt>
                <c:pt idx="13">
                  <c:v>2015Q2</c:v>
                </c:pt>
                <c:pt idx="14">
                  <c:v>2015Q3</c:v>
                </c:pt>
                <c:pt idx="15">
                  <c:v>2015Q4</c:v>
                </c:pt>
                <c:pt idx="16">
                  <c:v>2016Q1</c:v>
                </c:pt>
                <c:pt idx="17">
                  <c:v>2016Q2</c:v>
                </c:pt>
                <c:pt idx="18">
                  <c:v>2016Q3</c:v>
                </c:pt>
                <c:pt idx="19">
                  <c:v>2016Q4</c:v>
                </c:pt>
              </c:strCache>
            </c:strRef>
          </c:cat>
          <c:val>
            <c:numRef>
              <c:f>按季度重新排序并作图!$C$25:$V$25</c:f>
              <c:numCache>
                <c:formatCode>0.0%</c:formatCode>
                <c:ptCount val="20"/>
                <c:pt idx="0">
                  <c:v>0.16224277978473634</c:v>
                </c:pt>
                <c:pt idx="1">
                  <c:v>7.1191305247111591E-2</c:v>
                </c:pt>
                <c:pt idx="2">
                  <c:v>0.48179624014670797</c:v>
                </c:pt>
                <c:pt idx="3">
                  <c:v>0.50129701396521753</c:v>
                </c:pt>
                <c:pt idx="4">
                  <c:v>0.3529067230826326</c:v>
                </c:pt>
                <c:pt idx="5">
                  <c:v>0.77892542667589404</c:v>
                </c:pt>
                <c:pt idx="6">
                  <c:v>0.22165009749077025</c:v>
                </c:pt>
                <c:pt idx="7">
                  <c:v>0.1013087891560136</c:v>
                </c:pt>
                <c:pt idx="8">
                  <c:v>0.14681589727774091</c:v>
                </c:pt>
                <c:pt idx="9">
                  <c:v>0.1927922149462471</c:v>
                </c:pt>
                <c:pt idx="10">
                  <c:v>-4.2390524322112322E-2</c:v>
                </c:pt>
                <c:pt idx="11">
                  <c:v>-5.4058304566277249E-2</c:v>
                </c:pt>
                <c:pt idx="12">
                  <c:v>-0.10731863608786629</c:v>
                </c:pt>
                <c:pt idx="13">
                  <c:v>0.45066121379143875</c:v>
                </c:pt>
                <c:pt idx="14">
                  <c:v>0.54352951685237305</c:v>
                </c:pt>
                <c:pt idx="15">
                  <c:v>0.62114938621401361</c:v>
                </c:pt>
                <c:pt idx="16">
                  <c:v>0.65778137344774135</c:v>
                </c:pt>
                <c:pt idx="17">
                  <c:v>0.12871306742751787</c:v>
                </c:pt>
                <c:pt idx="18">
                  <c:v>0.327634962095537</c:v>
                </c:pt>
                <c:pt idx="19">
                  <c:v>0</c:v>
                </c:pt>
              </c:numCache>
            </c:numRef>
          </c:val>
          <c:smooth val="0"/>
          <c:extLst xmlns:c16r2="http://schemas.microsoft.com/office/drawing/2015/06/chart">
            <c:ext xmlns:c16="http://schemas.microsoft.com/office/drawing/2014/chart" uri="{C3380CC4-5D6E-409C-BE32-E72D297353CC}">
              <c16:uniqueId val="{00000000-6D3E-41F1-B98B-12FC78DCD376}"/>
            </c:ext>
          </c:extLst>
        </c:ser>
        <c:ser>
          <c:idx val="1"/>
          <c:order val="1"/>
          <c:tx>
            <c:strRef>
              <c:f>按季度重新排序并作图!$B$26</c:f>
              <c:strCache>
                <c:ptCount val="1"/>
                <c:pt idx="0">
                  <c:v>净利同比增速</c:v>
                </c:pt>
              </c:strCache>
            </c:strRef>
          </c:tx>
          <c:spPr>
            <a:ln w="28575" cap="rnd">
              <a:solidFill>
                <a:schemeClr val="tx2">
                  <a:lumMod val="75000"/>
                </a:schemeClr>
              </a:solidFill>
              <a:round/>
            </a:ln>
            <a:effectLst/>
          </c:spPr>
          <c:marker>
            <c:symbol val="none"/>
          </c:marker>
          <c:cat>
            <c:strRef>
              <c:f>按季度重新排序并作图!$C$24:$V$24</c:f>
              <c:strCache>
                <c:ptCount val="20"/>
                <c:pt idx="0">
                  <c:v>2012Q1</c:v>
                </c:pt>
                <c:pt idx="1">
                  <c:v>2012Q2</c:v>
                </c:pt>
                <c:pt idx="2">
                  <c:v>2012Q3</c:v>
                </c:pt>
                <c:pt idx="3">
                  <c:v>2012Q4</c:v>
                </c:pt>
                <c:pt idx="4">
                  <c:v>2013Q1</c:v>
                </c:pt>
                <c:pt idx="5">
                  <c:v>2013Q2</c:v>
                </c:pt>
                <c:pt idx="6">
                  <c:v>2013Q3</c:v>
                </c:pt>
                <c:pt idx="7">
                  <c:v>2013Q4</c:v>
                </c:pt>
                <c:pt idx="8">
                  <c:v>2014Q1</c:v>
                </c:pt>
                <c:pt idx="9">
                  <c:v>2014Q2</c:v>
                </c:pt>
                <c:pt idx="10">
                  <c:v>2014Q3</c:v>
                </c:pt>
                <c:pt idx="11">
                  <c:v>2014Q4</c:v>
                </c:pt>
                <c:pt idx="12">
                  <c:v>2015Q1</c:v>
                </c:pt>
                <c:pt idx="13">
                  <c:v>2015Q2</c:v>
                </c:pt>
                <c:pt idx="14">
                  <c:v>2015Q3</c:v>
                </c:pt>
                <c:pt idx="15">
                  <c:v>2015Q4</c:v>
                </c:pt>
                <c:pt idx="16">
                  <c:v>2016Q1</c:v>
                </c:pt>
                <c:pt idx="17">
                  <c:v>2016Q2</c:v>
                </c:pt>
                <c:pt idx="18">
                  <c:v>2016Q3</c:v>
                </c:pt>
                <c:pt idx="19">
                  <c:v>2016Q4</c:v>
                </c:pt>
              </c:strCache>
            </c:strRef>
          </c:cat>
          <c:val>
            <c:numRef>
              <c:f>按季度重新排序并作图!$C$26:$V$26</c:f>
              <c:numCache>
                <c:formatCode>0.0%</c:formatCode>
                <c:ptCount val="20"/>
                <c:pt idx="0">
                  <c:v>1.6527343613230485</c:v>
                </c:pt>
                <c:pt idx="1">
                  <c:v>-0.92774469029008366</c:v>
                </c:pt>
                <c:pt idx="2">
                  <c:v>-1.170947044737515</c:v>
                </c:pt>
                <c:pt idx="3">
                  <c:v>-6.4326668048689264E-2</c:v>
                </c:pt>
                <c:pt idx="4">
                  <c:v>-0.48507841383120565</c:v>
                </c:pt>
                <c:pt idx="5">
                  <c:v>39.486438610353659</c:v>
                </c:pt>
                <c:pt idx="6">
                  <c:v>22.184040844618789</c:v>
                </c:pt>
                <c:pt idx="7">
                  <c:v>-5.6882349050437035E-2</c:v>
                </c:pt>
                <c:pt idx="8">
                  <c:v>-0.13119985773975673</c:v>
                </c:pt>
                <c:pt idx="9">
                  <c:v>-0.38368091138541399</c:v>
                </c:pt>
                <c:pt idx="10">
                  <c:v>-0.6512397292739549</c:v>
                </c:pt>
                <c:pt idx="11">
                  <c:v>-0.31491452989526203</c:v>
                </c:pt>
                <c:pt idx="12">
                  <c:v>-0.35732179039634615</c:v>
                </c:pt>
                <c:pt idx="13">
                  <c:v>-8.2586891339847548E-2</c:v>
                </c:pt>
                <c:pt idx="14">
                  <c:v>-0.52395151813628016</c:v>
                </c:pt>
                <c:pt idx="15">
                  <c:v>1.6836176018242346E-2</c:v>
                </c:pt>
                <c:pt idx="16">
                  <c:v>-3.8735153021904521E-2</c:v>
                </c:pt>
                <c:pt idx="17">
                  <c:v>1.0082775306907654</c:v>
                </c:pt>
                <c:pt idx="18">
                  <c:v>10.766403375684792</c:v>
                </c:pt>
                <c:pt idx="19">
                  <c:v>0</c:v>
                </c:pt>
              </c:numCache>
            </c:numRef>
          </c:val>
          <c:smooth val="0"/>
          <c:extLst xmlns:c16r2="http://schemas.microsoft.com/office/drawing/2015/06/chart">
            <c:ext xmlns:c16="http://schemas.microsoft.com/office/drawing/2014/chart" uri="{C3380CC4-5D6E-409C-BE32-E72D297353CC}">
              <c16:uniqueId val="{00000001-6D3E-41F1-B98B-12FC78DCD376}"/>
            </c:ext>
          </c:extLst>
        </c:ser>
        <c:dLbls>
          <c:showLegendKey val="0"/>
          <c:showVal val="0"/>
          <c:showCatName val="0"/>
          <c:showSerName val="0"/>
          <c:showPercent val="0"/>
          <c:showBubbleSize val="0"/>
        </c:dLbls>
        <c:smooth val="0"/>
        <c:axId val="533997328"/>
        <c:axId val="536609048"/>
      </c:lineChart>
      <c:catAx>
        <c:axId val="53399732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09048"/>
        <c:crosses val="autoZero"/>
        <c:auto val="1"/>
        <c:lblAlgn val="ctr"/>
        <c:lblOffset val="100"/>
        <c:noMultiLvlLbl val="0"/>
      </c:catAx>
      <c:valAx>
        <c:axId val="536609048"/>
        <c:scaling>
          <c:orientation val="minMax"/>
          <c:max val="2"/>
          <c:min val="-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9973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宋体" panose="02010600030101010101" pitchFamily="2" charset="-122"/>
                <a:ea typeface="+mn-ea"/>
                <a:cs typeface="+mn-cs"/>
              </a:defRPr>
            </a:pPr>
            <a:r>
              <a:rPr lang="zh-CN" altLang="en-US" b="1" baseline="0">
                <a:latin typeface="宋体" panose="02010600030101010101" pitchFamily="2" charset="-122"/>
              </a:rPr>
              <a:t>营收及净利同比增速图</a:t>
            </a:r>
            <a:endParaRPr lang="ja-JP" altLang="en-US" b="1" baseline="0">
              <a:latin typeface="宋体" panose="02010600030101010101" pitchFamily="2" charset="-122"/>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宋体" panose="02010600030101010101" pitchFamily="2" charset="-122"/>
              <a:ea typeface="+mn-ea"/>
              <a:cs typeface="+mn-cs"/>
            </a:defRPr>
          </a:pPr>
          <a:endParaRPr lang="en-US"/>
        </a:p>
      </c:txPr>
    </c:title>
    <c:autoTitleDeleted val="0"/>
    <c:plotArea>
      <c:layout/>
      <c:lineChart>
        <c:grouping val="stacked"/>
        <c:varyColors val="0"/>
        <c:ser>
          <c:idx val="0"/>
          <c:order val="0"/>
          <c:tx>
            <c:strRef>
              <c:f>按季度重新排序并作图!$B$25</c:f>
              <c:strCache>
                <c:ptCount val="1"/>
                <c:pt idx="0">
                  <c:v>营收同比增速</c:v>
                </c:pt>
              </c:strCache>
            </c:strRef>
          </c:tx>
          <c:spPr>
            <a:ln w="28575" cap="rnd">
              <a:solidFill>
                <a:schemeClr val="accent1"/>
              </a:solidFill>
              <a:round/>
            </a:ln>
            <a:effectLst/>
          </c:spPr>
          <c:marker>
            <c:symbol val="none"/>
          </c:marker>
          <c:cat>
            <c:strRef>
              <c:f>按季度重新排序并作图!$C$24:$V$24</c:f>
              <c:strCache>
                <c:ptCount val="20"/>
                <c:pt idx="0">
                  <c:v>2012Q1</c:v>
                </c:pt>
                <c:pt idx="1">
                  <c:v>2012Q2</c:v>
                </c:pt>
                <c:pt idx="2">
                  <c:v>2012Q3</c:v>
                </c:pt>
                <c:pt idx="3">
                  <c:v>2012Q4</c:v>
                </c:pt>
                <c:pt idx="4">
                  <c:v>2013Q1</c:v>
                </c:pt>
                <c:pt idx="5">
                  <c:v>2013Q2</c:v>
                </c:pt>
                <c:pt idx="6">
                  <c:v>2013Q3</c:v>
                </c:pt>
                <c:pt idx="7">
                  <c:v>2013Q4</c:v>
                </c:pt>
                <c:pt idx="8">
                  <c:v>2014Q1</c:v>
                </c:pt>
                <c:pt idx="9">
                  <c:v>2014Q2</c:v>
                </c:pt>
                <c:pt idx="10">
                  <c:v>2014Q3</c:v>
                </c:pt>
                <c:pt idx="11">
                  <c:v>2014Q4</c:v>
                </c:pt>
                <c:pt idx="12">
                  <c:v>2015Q1</c:v>
                </c:pt>
                <c:pt idx="13">
                  <c:v>2015Q2</c:v>
                </c:pt>
                <c:pt idx="14">
                  <c:v>2015Q3</c:v>
                </c:pt>
                <c:pt idx="15">
                  <c:v>2015Q4</c:v>
                </c:pt>
                <c:pt idx="16">
                  <c:v>2016Q1</c:v>
                </c:pt>
                <c:pt idx="17">
                  <c:v>2016Q2</c:v>
                </c:pt>
                <c:pt idx="18">
                  <c:v>2016Q3</c:v>
                </c:pt>
                <c:pt idx="19">
                  <c:v>2016Q4</c:v>
                </c:pt>
              </c:strCache>
            </c:strRef>
          </c:cat>
          <c:val>
            <c:numRef>
              <c:f>按季度重新排序并作图!$C$25:$V$25</c:f>
              <c:numCache>
                <c:formatCode>0.0%</c:formatCode>
                <c:ptCount val="20"/>
                <c:pt idx="0">
                  <c:v>0.16224277978473634</c:v>
                </c:pt>
                <c:pt idx="1">
                  <c:v>7.1191305247111591E-2</c:v>
                </c:pt>
                <c:pt idx="2">
                  <c:v>0.48179624014670797</c:v>
                </c:pt>
                <c:pt idx="3">
                  <c:v>0.50129701396521753</c:v>
                </c:pt>
                <c:pt idx="4">
                  <c:v>0.3529067230826326</c:v>
                </c:pt>
                <c:pt idx="5">
                  <c:v>0.77892542667589404</c:v>
                </c:pt>
                <c:pt idx="6">
                  <c:v>0.22165009749077025</c:v>
                </c:pt>
                <c:pt idx="7">
                  <c:v>0.1013087891560136</c:v>
                </c:pt>
                <c:pt idx="8">
                  <c:v>0.14681589727774091</c:v>
                </c:pt>
                <c:pt idx="9">
                  <c:v>0.1927922149462471</c:v>
                </c:pt>
                <c:pt idx="10">
                  <c:v>-4.2390524322112322E-2</c:v>
                </c:pt>
                <c:pt idx="11">
                  <c:v>-5.4058304566277249E-2</c:v>
                </c:pt>
                <c:pt idx="12">
                  <c:v>-0.10731863608786629</c:v>
                </c:pt>
                <c:pt idx="13">
                  <c:v>0.45066121379143875</c:v>
                </c:pt>
                <c:pt idx="14">
                  <c:v>0.54352951685237305</c:v>
                </c:pt>
                <c:pt idx="15">
                  <c:v>0.62114938621401361</c:v>
                </c:pt>
                <c:pt idx="16">
                  <c:v>0.65778137344774135</c:v>
                </c:pt>
                <c:pt idx="17">
                  <c:v>0.12871306742751787</c:v>
                </c:pt>
                <c:pt idx="18">
                  <c:v>0.327634962095537</c:v>
                </c:pt>
                <c:pt idx="19">
                  <c:v>0</c:v>
                </c:pt>
              </c:numCache>
            </c:numRef>
          </c:val>
          <c:smooth val="0"/>
          <c:extLst xmlns:c16r2="http://schemas.microsoft.com/office/drawing/2015/06/chart">
            <c:ext xmlns:c16="http://schemas.microsoft.com/office/drawing/2014/chart" uri="{C3380CC4-5D6E-409C-BE32-E72D297353CC}">
              <c16:uniqueId val="{00000000-751C-4BBC-9A65-E5B99EB2CF31}"/>
            </c:ext>
          </c:extLst>
        </c:ser>
        <c:ser>
          <c:idx val="1"/>
          <c:order val="1"/>
          <c:tx>
            <c:strRef>
              <c:f>按季度重新排序并作图!$B$26</c:f>
              <c:strCache>
                <c:ptCount val="1"/>
                <c:pt idx="0">
                  <c:v>净利同比增速</c:v>
                </c:pt>
              </c:strCache>
            </c:strRef>
          </c:tx>
          <c:spPr>
            <a:ln w="28575" cap="rnd">
              <a:solidFill>
                <a:schemeClr val="accent2"/>
              </a:solidFill>
              <a:round/>
            </a:ln>
            <a:effectLst/>
          </c:spPr>
          <c:marker>
            <c:symbol val="none"/>
          </c:marker>
          <c:cat>
            <c:strRef>
              <c:f>按季度重新排序并作图!$C$24:$V$24</c:f>
              <c:strCache>
                <c:ptCount val="20"/>
                <c:pt idx="0">
                  <c:v>2012Q1</c:v>
                </c:pt>
                <c:pt idx="1">
                  <c:v>2012Q2</c:v>
                </c:pt>
                <c:pt idx="2">
                  <c:v>2012Q3</c:v>
                </c:pt>
                <c:pt idx="3">
                  <c:v>2012Q4</c:v>
                </c:pt>
                <c:pt idx="4">
                  <c:v>2013Q1</c:v>
                </c:pt>
                <c:pt idx="5">
                  <c:v>2013Q2</c:v>
                </c:pt>
                <c:pt idx="6">
                  <c:v>2013Q3</c:v>
                </c:pt>
                <c:pt idx="7">
                  <c:v>2013Q4</c:v>
                </c:pt>
                <c:pt idx="8">
                  <c:v>2014Q1</c:v>
                </c:pt>
                <c:pt idx="9">
                  <c:v>2014Q2</c:v>
                </c:pt>
                <c:pt idx="10">
                  <c:v>2014Q3</c:v>
                </c:pt>
                <c:pt idx="11">
                  <c:v>2014Q4</c:v>
                </c:pt>
                <c:pt idx="12">
                  <c:v>2015Q1</c:v>
                </c:pt>
                <c:pt idx="13">
                  <c:v>2015Q2</c:v>
                </c:pt>
                <c:pt idx="14">
                  <c:v>2015Q3</c:v>
                </c:pt>
                <c:pt idx="15">
                  <c:v>2015Q4</c:v>
                </c:pt>
                <c:pt idx="16">
                  <c:v>2016Q1</c:v>
                </c:pt>
                <c:pt idx="17">
                  <c:v>2016Q2</c:v>
                </c:pt>
                <c:pt idx="18">
                  <c:v>2016Q3</c:v>
                </c:pt>
                <c:pt idx="19">
                  <c:v>2016Q4</c:v>
                </c:pt>
              </c:strCache>
            </c:strRef>
          </c:cat>
          <c:val>
            <c:numRef>
              <c:f>按季度重新排序并作图!$C$26:$V$26</c:f>
              <c:numCache>
                <c:formatCode>0.0%</c:formatCode>
                <c:ptCount val="20"/>
                <c:pt idx="0">
                  <c:v>1.6527343613230485</c:v>
                </c:pt>
                <c:pt idx="1">
                  <c:v>-0.92774469029008366</c:v>
                </c:pt>
                <c:pt idx="2">
                  <c:v>-1.170947044737515</c:v>
                </c:pt>
                <c:pt idx="3">
                  <c:v>-6.4326668048689264E-2</c:v>
                </c:pt>
                <c:pt idx="4">
                  <c:v>-0.48507841383120565</c:v>
                </c:pt>
                <c:pt idx="5">
                  <c:v>39.486438610353659</c:v>
                </c:pt>
                <c:pt idx="6">
                  <c:v>22.184040844618789</c:v>
                </c:pt>
                <c:pt idx="7">
                  <c:v>-5.6882349050437035E-2</c:v>
                </c:pt>
                <c:pt idx="8">
                  <c:v>-0.13119985773975673</c:v>
                </c:pt>
                <c:pt idx="9">
                  <c:v>-0.38368091138541399</c:v>
                </c:pt>
                <c:pt idx="10">
                  <c:v>-0.6512397292739549</c:v>
                </c:pt>
                <c:pt idx="11">
                  <c:v>-0.31491452989526203</c:v>
                </c:pt>
                <c:pt idx="12">
                  <c:v>-0.35732179039634615</c:v>
                </c:pt>
                <c:pt idx="13">
                  <c:v>-8.2586891339847548E-2</c:v>
                </c:pt>
                <c:pt idx="14">
                  <c:v>-0.52395151813628016</c:v>
                </c:pt>
                <c:pt idx="15">
                  <c:v>1.6836176018242346E-2</c:v>
                </c:pt>
                <c:pt idx="16">
                  <c:v>-3.8735153021904521E-2</c:v>
                </c:pt>
                <c:pt idx="17">
                  <c:v>1.0082775306907654</c:v>
                </c:pt>
                <c:pt idx="18">
                  <c:v>10.766403375684792</c:v>
                </c:pt>
                <c:pt idx="19">
                  <c:v>0</c:v>
                </c:pt>
              </c:numCache>
            </c:numRef>
          </c:val>
          <c:smooth val="0"/>
          <c:extLst xmlns:c16r2="http://schemas.microsoft.com/office/drawing/2015/06/chart">
            <c:ext xmlns:c16="http://schemas.microsoft.com/office/drawing/2014/chart" uri="{C3380CC4-5D6E-409C-BE32-E72D297353CC}">
              <c16:uniqueId val="{00000001-751C-4BBC-9A65-E5B99EB2CF31}"/>
            </c:ext>
          </c:extLst>
        </c:ser>
        <c:dLbls>
          <c:showLegendKey val="0"/>
          <c:showVal val="0"/>
          <c:showCatName val="0"/>
          <c:showSerName val="0"/>
          <c:showPercent val="0"/>
          <c:showBubbleSize val="0"/>
        </c:dLbls>
        <c:smooth val="0"/>
        <c:axId val="536610224"/>
        <c:axId val="536610616"/>
      </c:lineChart>
      <c:catAx>
        <c:axId val="53661022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10616"/>
        <c:crosses val="autoZero"/>
        <c:auto val="1"/>
        <c:lblAlgn val="ctr"/>
        <c:lblOffset val="100"/>
        <c:noMultiLvlLbl val="0"/>
      </c:catAx>
      <c:valAx>
        <c:axId val="53661061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536610224"/>
        <c:crosses val="autoZero"/>
        <c:crossBetween val="between"/>
      </c:valAx>
      <c:spPr>
        <a:noFill/>
        <a:ln>
          <a:noFill/>
        </a:ln>
        <a:effectLst/>
      </c:spPr>
    </c:plotArea>
    <c:legend>
      <c:legendPos val="b"/>
      <c:layout>
        <c:manualLayout>
          <c:xMode val="edge"/>
          <c:yMode val="edge"/>
          <c:x val="0.64787882051935819"/>
          <c:y val="0.18717464536458461"/>
          <c:w val="0.32415606514371964"/>
          <c:h val="0.1611790260640335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宋体" panose="02010600030101010101" pitchFamily="2" charset="-122"/>
              <a:ea typeface="+mn-ea"/>
              <a:cs typeface="+mn-cs"/>
            </a:defRPr>
          </a:pPr>
          <a:endParaRPr lang="en-US"/>
        </a:p>
      </c:txPr>
    </c:legend>
    <c:plotVisOnly val="1"/>
    <c:dispBlanksAs val="zero"/>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宋体" panose="02010600030101010101" pitchFamily="2" charset="-122"/>
                <a:ea typeface="+mn-ea"/>
                <a:cs typeface="+mn-cs"/>
              </a:defRPr>
            </a:pPr>
            <a:r>
              <a:rPr lang="zh-CN" altLang="en-US" b="1" baseline="0">
                <a:latin typeface="宋体" panose="02010600030101010101" pitchFamily="2" charset="-122"/>
              </a:rPr>
              <a:t>毛利率与净利率变化图</a:t>
            </a:r>
            <a:endParaRPr lang="ja-JP" altLang="en-US" b="1" baseline="0">
              <a:latin typeface="宋体" panose="02010600030101010101" pitchFamily="2" charset="-122"/>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宋体" panose="02010600030101010101" pitchFamily="2" charset="-122"/>
              <a:ea typeface="+mn-ea"/>
              <a:cs typeface="+mn-cs"/>
            </a:defRPr>
          </a:pPr>
          <a:endParaRPr lang="en-US"/>
        </a:p>
      </c:txPr>
    </c:title>
    <c:autoTitleDeleted val="0"/>
    <c:plotArea>
      <c:layout/>
      <c:lineChart>
        <c:grouping val="stacked"/>
        <c:varyColors val="0"/>
        <c:ser>
          <c:idx val="0"/>
          <c:order val="0"/>
          <c:tx>
            <c:strRef>
              <c:f>按季度重新排序并作图!$B$50</c:f>
              <c:strCache>
                <c:ptCount val="1"/>
                <c:pt idx="0">
                  <c:v>毛利率</c:v>
                </c:pt>
              </c:strCache>
            </c:strRef>
          </c:tx>
          <c:spPr>
            <a:ln w="28575" cap="rnd">
              <a:solidFill>
                <a:schemeClr val="accent1"/>
              </a:solidFill>
              <a:round/>
            </a:ln>
            <a:effectLst/>
          </c:spPr>
          <c:marker>
            <c:symbol val="none"/>
          </c:marker>
          <c:cat>
            <c:strRef>
              <c:f>按季度重新排序并作图!$C$49:$Z$49</c:f>
              <c:strCache>
                <c:ptCount val="24"/>
                <c:pt idx="0">
                  <c:v>2011Q1</c:v>
                </c:pt>
                <c:pt idx="1">
                  <c:v>2011Q2</c:v>
                </c:pt>
                <c:pt idx="2">
                  <c:v>2011Q3</c:v>
                </c:pt>
                <c:pt idx="3">
                  <c:v>2011Q4</c:v>
                </c:pt>
                <c:pt idx="4">
                  <c:v>2012Q1</c:v>
                </c:pt>
                <c:pt idx="5">
                  <c:v>2012Q2</c:v>
                </c:pt>
                <c:pt idx="6">
                  <c:v>2012Q3</c:v>
                </c:pt>
                <c:pt idx="7">
                  <c:v>2012Q4</c:v>
                </c:pt>
                <c:pt idx="8">
                  <c:v>2013Q1</c:v>
                </c:pt>
                <c:pt idx="9">
                  <c:v>2013Q2</c:v>
                </c:pt>
                <c:pt idx="10">
                  <c:v>2013Q3</c:v>
                </c:pt>
                <c:pt idx="11">
                  <c:v>2013Q4</c:v>
                </c:pt>
                <c:pt idx="12">
                  <c:v>2014Q1</c:v>
                </c:pt>
                <c:pt idx="13">
                  <c:v>2014Q2</c:v>
                </c:pt>
                <c:pt idx="14">
                  <c:v>2014Q3</c:v>
                </c:pt>
                <c:pt idx="15">
                  <c:v>2014Q4</c:v>
                </c:pt>
                <c:pt idx="16">
                  <c:v>2015Q1</c:v>
                </c:pt>
                <c:pt idx="17">
                  <c:v>2015Q2</c:v>
                </c:pt>
                <c:pt idx="18">
                  <c:v>2015Q3</c:v>
                </c:pt>
                <c:pt idx="19">
                  <c:v>2015Q4</c:v>
                </c:pt>
                <c:pt idx="20">
                  <c:v>2016Q1</c:v>
                </c:pt>
                <c:pt idx="21">
                  <c:v>2016Q2</c:v>
                </c:pt>
                <c:pt idx="22">
                  <c:v>2016Q3</c:v>
                </c:pt>
                <c:pt idx="23">
                  <c:v>2016Q4</c:v>
                </c:pt>
              </c:strCache>
            </c:strRef>
          </c:cat>
          <c:val>
            <c:numRef>
              <c:f>按季度重新排序并作图!$C$50:$Z$50</c:f>
              <c:numCache>
                <c:formatCode>0.0%</c:formatCode>
                <c:ptCount val="24"/>
                <c:pt idx="0">
                  <c:v>0.22662926031362501</c:v>
                </c:pt>
                <c:pt idx="1">
                  <c:v>0.20438831530643434</c:v>
                </c:pt>
                <c:pt idx="2">
                  <c:v>0.19435436549461832</c:v>
                </c:pt>
                <c:pt idx="3">
                  <c:v>0.23791169834657311</c:v>
                </c:pt>
                <c:pt idx="4">
                  <c:v>0.14350616801924398</c:v>
                </c:pt>
                <c:pt idx="5">
                  <c:v>0.14642550390836648</c:v>
                </c:pt>
                <c:pt idx="6">
                  <c:v>0.11882191122840452</c:v>
                </c:pt>
                <c:pt idx="7">
                  <c:v>0.20274395252468469</c:v>
                </c:pt>
                <c:pt idx="8">
                  <c:v>0.25993619303013715</c:v>
                </c:pt>
                <c:pt idx="9">
                  <c:v>0.26481859333993646</c:v>
                </c:pt>
                <c:pt idx="10">
                  <c:v>0.32496809617552491</c:v>
                </c:pt>
                <c:pt idx="11">
                  <c:v>0.30306621789419691</c:v>
                </c:pt>
                <c:pt idx="12">
                  <c:v>0.21340359430433045</c:v>
                </c:pt>
                <c:pt idx="13">
                  <c:v>0.20253837465609206</c:v>
                </c:pt>
                <c:pt idx="14">
                  <c:v>0.20279571099925273</c:v>
                </c:pt>
                <c:pt idx="15">
                  <c:v>0.19219575753356627</c:v>
                </c:pt>
                <c:pt idx="16">
                  <c:v>0.21633471699284043</c:v>
                </c:pt>
                <c:pt idx="17">
                  <c:v>0.17380567449250722</c:v>
                </c:pt>
                <c:pt idx="18">
                  <c:v>0.16900707708602988</c:v>
                </c:pt>
                <c:pt idx="19">
                  <c:v>0.17812434210934688</c:v>
                </c:pt>
                <c:pt idx="20">
                  <c:v>0.21273601874217735</c:v>
                </c:pt>
                <c:pt idx="21">
                  <c:v>0.20180860072594406</c:v>
                </c:pt>
                <c:pt idx="22">
                  <c:v>0.36363821427825704</c:v>
                </c:pt>
                <c:pt idx="23">
                  <c:v>0</c:v>
                </c:pt>
              </c:numCache>
            </c:numRef>
          </c:val>
          <c:smooth val="0"/>
          <c:extLst xmlns:c16r2="http://schemas.microsoft.com/office/drawing/2015/06/chart">
            <c:ext xmlns:c16="http://schemas.microsoft.com/office/drawing/2014/chart" uri="{C3380CC4-5D6E-409C-BE32-E72D297353CC}">
              <c16:uniqueId val="{00000000-5A25-4FB8-9DFD-06C0481CFC56}"/>
            </c:ext>
          </c:extLst>
        </c:ser>
        <c:ser>
          <c:idx val="1"/>
          <c:order val="1"/>
          <c:tx>
            <c:strRef>
              <c:f>按季度重新排序并作图!$B$51</c:f>
              <c:strCache>
                <c:ptCount val="1"/>
                <c:pt idx="0">
                  <c:v>净利率</c:v>
                </c:pt>
              </c:strCache>
            </c:strRef>
          </c:tx>
          <c:spPr>
            <a:ln w="28575" cap="rnd">
              <a:solidFill>
                <a:schemeClr val="accent2"/>
              </a:solidFill>
              <a:round/>
            </a:ln>
            <a:effectLst/>
          </c:spPr>
          <c:marker>
            <c:symbol val="none"/>
          </c:marker>
          <c:cat>
            <c:strRef>
              <c:f>按季度重新排序并作图!$C$49:$Z$49</c:f>
              <c:strCache>
                <c:ptCount val="24"/>
                <c:pt idx="0">
                  <c:v>2011Q1</c:v>
                </c:pt>
                <c:pt idx="1">
                  <c:v>2011Q2</c:v>
                </c:pt>
                <c:pt idx="2">
                  <c:v>2011Q3</c:v>
                </c:pt>
                <c:pt idx="3">
                  <c:v>2011Q4</c:v>
                </c:pt>
                <c:pt idx="4">
                  <c:v>2012Q1</c:v>
                </c:pt>
                <c:pt idx="5">
                  <c:v>2012Q2</c:v>
                </c:pt>
                <c:pt idx="6">
                  <c:v>2012Q3</c:v>
                </c:pt>
                <c:pt idx="7">
                  <c:v>2012Q4</c:v>
                </c:pt>
                <c:pt idx="8">
                  <c:v>2013Q1</c:v>
                </c:pt>
                <c:pt idx="9">
                  <c:v>2013Q2</c:v>
                </c:pt>
                <c:pt idx="10">
                  <c:v>2013Q3</c:v>
                </c:pt>
                <c:pt idx="11">
                  <c:v>2013Q4</c:v>
                </c:pt>
                <c:pt idx="12">
                  <c:v>2014Q1</c:v>
                </c:pt>
                <c:pt idx="13">
                  <c:v>2014Q2</c:v>
                </c:pt>
                <c:pt idx="14">
                  <c:v>2014Q3</c:v>
                </c:pt>
                <c:pt idx="15">
                  <c:v>2014Q4</c:v>
                </c:pt>
                <c:pt idx="16">
                  <c:v>2015Q1</c:v>
                </c:pt>
                <c:pt idx="17">
                  <c:v>2015Q2</c:v>
                </c:pt>
                <c:pt idx="18">
                  <c:v>2015Q3</c:v>
                </c:pt>
                <c:pt idx="19">
                  <c:v>2015Q4</c:v>
                </c:pt>
                <c:pt idx="20">
                  <c:v>2016Q1</c:v>
                </c:pt>
                <c:pt idx="21">
                  <c:v>2016Q2</c:v>
                </c:pt>
                <c:pt idx="22">
                  <c:v>2016Q3</c:v>
                </c:pt>
                <c:pt idx="23">
                  <c:v>2016Q4</c:v>
                </c:pt>
              </c:strCache>
            </c:strRef>
          </c:cat>
          <c:val>
            <c:numRef>
              <c:f>按季度重新排序并作图!$C$51:$Z$51</c:f>
              <c:numCache>
                <c:formatCode>0.0%</c:formatCode>
                <c:ptCount val="24"/>
                <c:pt idx="0">
                  <c:v>9.7758910500651885E-2</c:v>
                </c:pt>
                <c:pt idx="1">
                  <c:v>7.4609450325557949E-2</c:v>
                </c:pt>
                <c:pt idx="2">
                  <c:v>8.1515483230974142E-2</c:v>
                </c:pt>
                <c:pt idx="3">
                  <c:v>0.14402237837099255</c:v>
                </c:pt>
                <c:pt idx="4">
                  <c:v>0.22312758187976447</c:v>
                </c:pt>
                <c:pt idx="5">
                  <c:v>5.0326481499177065E-3</c:v>
                </c:pt>
                <c:pt idx="6">
                  <c:v>-9.4040129007925202E-3</c:v>
                </c:pt>
                <c:pt idx="7">
                  <c:v>8.9760984929968757E-2</c:v>
                </c:pt>
                <c:pt idx="8">
                  <c:v>8.4923229679684603E-2</c:v>
                </c:pt>
                <c:pt idx="9">
                  <c:v>0.11453768511808196</c:v>
                </c:pt>
                <c:pt idx="10">
                  <c:v>0.16307041910191136</c:v>
                </c:pt>
                <c:pt idx="11">
                  <c:v>7.6867786843821173E-2</c:v>
                </c:pt>
                <c:pt idx="12">
                  <c:v>6.4335796357591485E-2</c:v>
                </c:pt>
                <c:pt idx="13">
                  <c:v>5.9181943694344041E-2</c:v>
                </c:pt>
                <c:pt idx="14">
                  <c:v>5.9390059265163851E-2</c:v>
                </c:pt>
                <c:pt idx="15">
                  <c:v>5.5670454257399533E-2</c:v>
                </c:pt>
                <c:pt idx="16">
                  <c:v>4.6317998882960849E-2</c:v>
                </c:pt>
                <c:pt idx="17">
                  <c:v>3.7427271388386446E-2</c:v>
                </c:pt>
                <c:pt idx="18">
                  <c:v>1.8316816907157113E-2</c:v>
                </c:pt>
                <c:pt idx="19">
                  <c:v>3.4918269905090435E-2</c:v>
                </c:pt>
                <c:pt idx="20">
                  <c:v>2.6857500525514555E-2</c:v>
                </c:pt>
                <c:pt idx="21">
                  <c:v>6.6592963555982473E-2</c:v>
                </c:pt>
                <c:pt idx="22">
                  <c:v>0.16233608065577942</c:v>
                </c:pt>
                <c:pt idx="23">
                  <c:v>0</c:v>
                </c:pt>
              </c:numCache>
            </c:numRef>
          </c:val>
          <c:smooth val="0"/>
          <c:extLst xmlns:c16r2="http://schemas.microsoft.com/office/drawing/2015/06/chart">
            <c:ext xmlns:c16="http://schemas.microsoft.com/office/drawing/2014/chart" uri="{C3380CC4-5D6E-409C-BE32-E72D297353CC}">
              <c16:uniqueId val="{00000001-5A25-4FB8-9DFD-06C0481CFC56}"/>
            </c:ext>
          </c:extLst>
        </c:ser>
        <c:dLbls>
          <c:showLegendKey val="0"/>
          <c:showVal val="0"/>
          <c:showCatName val="0"/>
          <c:showSerName val="0"/>
          <c:showPercent val="0"/>
          <c:showBubbleSize val="0"/>
        </c:dLbls>
        <c:smooth val="0"/>
        <c:axId val="537938088"/>
        <c:axId val="537938480"/>
      </c:lineChart>
      <c:catAx>
        <c:axId val="537938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537938480"/>
        <c:crosses val="autoZero"/>
        <c:auto val="1"/>
        <c:lblAlgn val="ctr"/>
        <c:lblOffset val="100"/>
        <c:noMultiLvlLbl val="0"/>
      </c:catAx>
      <c:valAx>
        <c:axId val="5379384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537938088"/>
        <c:crosses val="autoZero"/>
        <c:crossBetween val="between"/>
      </c:valAx>
      <c:spPr>
        <a:noFill/>
        <a:ln>
          <a:noFill/>
        </a:ln>
        <a:effectLst/>
      </c:spPr>
    </c:plotArea>
    <c:legend>
      <c:legendPos val="b"/>
      <c:layout>
        <c:manualLayout>
          <c:xMode val="edge"/>
          <c:yMode val="edge"/>
          <c:x val="0.73515160728882112"/>
          <c:y val="0.16406661952872001"/>
          <c:w val="0.21194819644012439"/>
          <c:h val="0.12420618472665025"/>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宋体" panose="02010600030101010101" pitchFamily="2" charset="-122"/>
              <a:ea typeface="+mn-ea"/>
              <a:cs typeface="+mn-cs"/>
            </a:defRPr>
          </a:pPr>
          <a:endParaRPr lang="en-US"/>
        </a:p>
      </c:txPr>
    </c:legend>
    <c:plotVisOnly val="1"/>
    <c:dispBlanksAs val="zero"/>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5</xdr:colOff>
      <xdr:row>54</xdr:row>
      <xdr:rowOff>9525</xdr:rowOff>
    </xdr:from>
    <xdr:to>
      <xdr:col>11</xdr:col>
      <xdr:colOff>203030</xdr:colOff>
      <xdr:row>69</xdr:row>
      <xdr:rowOff>100650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28581</xdr:colOff>
      <xdr:row>27</xdr:row>
      <xdr:rowOff>19050</xdr:rowOff>
    </xdr:from>
    <xdr:to>
      <xdr:col>11</xdr:col>
      <xdr:colOff>231606</xdr:colOff>
      <xdr:row>42</xdr:row>
      <xdr:rowOff>110175</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1181105</xdr:colOff>
      <xdr:row>30</xdr:row>
      <xdr:rowOff>4761</xdr:rowOff>
    </xdr:from>
    <xdr:to>
      <xdr:col>13</xdr:col>
      <xdr:colOff>600075</xdr:colOff>
      <xdr:row>46</xdr:row>
      <xdr:rowOff>161924</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9530</xdr:colOff>
      <xdr:row>55</xdr:row>
      <xdr:rowOff>14287</xdr:rowOff>
    </xdr:from>
    <xdr:to>
      <xdr:col>14</xdr:col>
      <xdr:colOff>9525</xdr:colOff>
      <xdr:row>72</xdr:row>
      <xdr:rowOff>9525</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astmoney/Choice/Office/Excel/EM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definedNames>
      <definedName name="EM_S_FA_DEDUCTEDPROFIT"/>
      <definedName name="EM_S_QFA_DEDUCTEDPROFIT"/>
      <definedName name="EM_S_QSTM07_IS"/>
      <definedName name="EM_S_STM07_IS"/>
    </definedNames>
    <sheetDataSet>
      <sheetData sheetId="0"/>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CCE8C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60"/>
  <sheetViews>
    <sheetView showGridLines="0" tabSelected="1" workbookViewId="0">
      <pane xSplit="1" ySplit="2" topLeftCell="B18" activePane="bottomRight" state="frozen"/>
      <selection pane="topRight" activeCell="B1" sqref="B1"/>
      <selection pane="bottomLeft" activeCell="A3" sqref="A3"/>
      <selection pane="bottomRight" activeCell="B19" sqref="B19:L22"/>
    </sheetView>
  </sheetViews>
  <sheetFormatPr defaultColWidth="9.140625" defaultRowHeight="12.75"/>
  <cols>
    <col min="1" max="1" width="9.140625" style="10"/>
    <col min="2" max="2" width="9.140625" style="49"/>
    <col min="3" max="4" width="12" style="49" customWidth="1"/>
    <col min="5" max="5" width="14.7109375" style="10" customWidth="1"/>
    <col min="6" max="7" width="9.140625" style="10"/>
    <col min="8" max="8" width="7.28515625" style="10" customWidth="1"/>
    <col min="9" max="9" width="8.5703125" style="10" customWidth="1"/>
    <col min="10" max="10" width="9.7109375" style="10" customWidth="1"/>
    <col min="11" max="12" width="7.28515625" style="10" customWidth="1"/>
    <col min="13" max="16384" width="9.140625" style="10"/>
  </cols>
  <sheetData>
    <row r="2" spans="2:12" ht="22.5">
      <c r="B2" s="48" t="s">
        <v>84</v>
      </c>
    </row>
    <row r="3" spans="2:12" ht="13.5" thickBot="1"/>
    <row r="4" spans="2:12" ht="12.75" customHeight="1">
      <c r="B4" s="68" t="s">
        <v>1</v>
      </c>
      <c r="C4" s="69"/>
      <c r="D4" s="69"/>
      <c r="E4" s="69"/>
      <c r="F4" s="69"/>
      <c r="G4" s="69"/>
      <c r="H4" s="69"/>
      <c r="I4" s="69"/>
      <c r="J4" s="69"/>
      <c r="K4" s="69"/>
      <c r="L4" s="70"/>
    </row>
    <row r="5" spans="2:12">
      <c r="B5" s="40" t="s">
        <v>87</v>
      </c>
      <c r="C5" s="50"/>
      <c r="D5" s="50"/>
      <c r="E5" s="12"/>
      <c r="F5" s="12"/>
      <c r="G5" s="12"/>
      <c r="H5" s="12"/>
      <c r="I5" s="12"/>
      <c r="J5" s="12"/>
      <c r="K5" s="12"/>
      <c r="L5" s="51"/>
    </row>
    <row r="6" spans="2:12">
      <c r="B6" s="52"/>
      <c r="C6" s="50"/>
      <c r="D6" s="50"/>
      <c r="E6" s="12"/>
      <c r="F6" s="12"/>
      <c r="G6" s="12"/>
      <c r="H6" s="12"/>
      <c r="I6" s="12"/>
      <c r="J6" s="12"/>
      <c r="K6" s="12"/>
      <c r="L6" s="51"/>
    </row>
    <row r="7" spans="2:12">
      <c r="B7" s="52"/>
      <c r="C7" s="50"/>
      <c r="D7" s="50"/>
      <c r="E7" s="12"/>
      <c r="F7" s="12"/>
      <c r="G7" s="12"/>
      <c r="H7" s="12"/>
      <c r="I7" s="12"/>
      <c r="J7" s="12"/>
      <c r="K7" s="12"/>
      <c r="L7" s="51"/>
    </row>
    <row r="8" spans="2:12" ht="12.75" customHeight="1">
      <c r="B8" s="65" t="s">
        <v>2</v>
      </c>
      <c r="C8" s="66"/>
      <c r="D8" s="66"/>
      <c r="E8" s="66"/>
      <c r="F8" s="66"/>
      <c r="G8" s="66"/>
      <c r="H8" s="66"/>
      <c r="I8" s="66"/>
      <c r="J8" s="66"/>
      <c r="K8" s="66"/>
      <c r="L8" s="67"/>
    </row>
    <row r="9" spans="2:12">
      <c r="B9" s="65"/>
      <c r="C9" s="66"/>
      <c r="D9" s="66"/>
      <c r="E9" s="66"/>
      <c r="F9" s="66"/>
      <c r="G9" s="66"/>
      <c r="H9" s="66"/>
      <c r="I9" s="66"/>
      <c r="J9" s="66"/>
      <c r="K9" s="66"/>
      <c r="L9" s="67"/>
    </row>
    <row r="10" spans="2:12">
      <c r="B10" s="44" t="s">
        <v>3</v>
      </c>
      <c r="C10" s="53"/>
      <c r="D10" s="53"/>
      <c r="E10" s="53"/>
      <c r="F10" s="53"/>
      <c r="G10" s="53"/>
      <c r="H10" s="53"/>
      <c r="I10" s="53"/>
      <c r="J10" s="53"/>
      <c r="K10" s="53"/>
      <c r="L10" s="54"/>
    </row>
    <row r="11" spans="2:12">
      <c r="B11" s="44" t="s">
        <v>4</v>
      </c>
      <c r="C11" s="53"/>
      <c r="D11" s="53"/>
      <c r="E11" s="53"/>
      <c r="F11" s="53"/>
      <c r="G11" s="53"/>
      <c r="H11" s="53"/>
      <c r="I11" s="53"/>
      <c r="J11" s="53"/>
      <c r="K11" s="53"/>
      <c r="L11" s="54"/>
    </row>
    <row r="12" spans="2:12">
      <c r="B12" s="44" t="s">
        <v>5</v>
      </c>
      <c r="C12" s="53"/>
      <c r="D12" s="53"/>
      <c r="E12" s="53"/>
      <c r="F12" s="53"/>
      <c r="G12" s="53"/>
      <c r="H12" s="53"/>
      <c r="I12" s="53"/>
      <c r="J12" s="53"/>
      <c r="K12" s="53"/>
      <c r="L12" s="54"/>
    </row>
    <row r="13" spans="2:12">
      <c r="B13" s="44" t="s">
        <v>6</v>
      </c>
      <c r="C13" s="53"/>
      <c r="D13" s="53"/>
      <c r="E13" s="53"/>
      <c r="F13" s="53"/>
      <c r="G13" s="53"/>
      <c r="H13" s="53"/>
      <c r="I13" s="53"/>
      <c r="J13" s="53"/>
      <c r="K13" s="53"/>
      <c r="L13" s="54"/>
    </row>
    <row r="14" spans="2:12">
      <c r="B14" s="44" t="s">
        <v>7</v>
      </c>
      <c r="C14" s="53"/>
      <c r="D14" s="53"/>
      <c r="E14" s="53"/>
      <c r="F14" s="53"/>
      <c r="G14" s="53"/>
      <c r="H14" s="53"/>
      <c r="I14" s="53"/>
      <c r="J14" s="53"/>
      <c r="K14" s="53"/>
      <c r="L14" s="54"/>
    </row>
    <row r="15" spans="2:12">
      <c r="B15" s="44" t="s">
        <v>8</v>
      </c>
      <c r="C15" s="53"/>
      <c r="D15" s="53"/>
      <c r="E15" s="53"/>
      <c r="F15" s="53"/>
      <c r="G15" s="53"/>
      <c r="H15" s="53"/>
      <c r="I15" s="53"/>
      <c r="J15" s="53"/>
      <c r="K15" s="53"/>
      <c r="L15" s="54"/>
    </row>
    <row r="16" spans="2:12">
      <c r="B16" s="71" t="s">
        <v>78</v>
      </c>
      <c r="C16" s="72"/>
      <c r="D16" s="72"/>
      <c r="E16" s="72"/>
      <c r="F16" s="72"/>
      <c r="G16" s="72"/>
      <c r="H16" s="72"/>
      <c r="I16" s="72"/>
      <c r="J16" s="72"/>
      <c r="K16" s="72"/>
      <c r="L16" s="73"/>
    </row>
    <row r="17" spans="2:12">
      <c r="B17" s="71"/>
      <c r="C17" s="72"/>
      <c r="D17" s="72"/>
      <c r="E17" s="72"/>
      <c r="F17" s="72"/>
      <c r="G17" s="72"/>
      <c r="H17" s="72"/>
      <c r="I17" s="72"/>
      <c r="J17" s="72"/>
      <c r="K17" s="72"/>
      <c r="L17" s="73"/>
    </row>
    <row r="18" spans="2:12">
      <c r="B18" s="52"/>
      <c r="C18" s="50"/>
      <c r="D18" s="50"/>
      <c r="E18" s="12"/>
      <c r="F18" s="12"/>
      <c r="G18" s="12"/>
      <c r="H18" s="12"/>
      <c r="I18" s="12"/>
      <c r="J18" s="12"/>
      <c r="K18" s="12"/>
      <c r="L18" s="51"/>
    </row>
    <row r="19" spans="2:12">
      <c r="B19" s="74" t="s">
        <v>89</v>
      </c>
      <c r="C19" s="75"/>
      <c r="D19" s="75"/>
      <c r="E19" s="75"/>
      <c r="F19" s="75"/>
      <c r="G19" s="75"/>
      <c r="H19" s="75"/>
      <c r="I19" s="75"/>
      <c r="J19" s="75"/>
      <c r="K19" s="75"/>
      <c r="L19" s="76"/>
    </row>
    <row r="20" spans="2:12">
      <c r="B20" s="74"/>
      <c r="C20" s="75"/>
      <c r="D20" s="75"/>
      <c r="E20" s="75"/>
      <c r="F20" s="75"/>
      <c r="G20" s="75"/>
      <c r="H20" s="75"/>
      <c r="I20" s="75"/>
      <c r="J20" s="75"/>
      <c r="K20" s="75"/>
      <c r="L20" s="76"/>
    </row>
    <row r="21" spans="2:12">
      <c r="B21" s="74"/>
      <c r="C21" s="75"/>
      <c r="D21" s="75"/>
      <c r="E21" s="75"/>
      <c r="F21" s="75"/>
      <c r="G21" s="75"/>
      <c r="H21" s="75"/>
      <c r="I21" s="75"/>
      <c r="J21" s="75"/>
      <c r="K21" s="75"/>
      <c r="L21" s="76"/>
    </row>
    <row r="22" spans="2:12" ht="33" customHeight="1">
      <c r="B22" s="74"/>
      <c r="C22" s="75"/>
      <c r="D22" s="75"/>
      <c r="E22" s="75"/>
      <c r="F22" s="75"/>
      <c r="G22" s="75"/>
      <c r="H22" s="75"/>
      <c r="I22" s="75"/>
      <c r="J22" s="75"/>
      <c r="K22" s="75"/>
      <c r="L22" s="76"/>
    </row>
    <row r="23" spans="2:12">
      <c r="B23" s="52"/>
      <c r="C23" s="50"/>
      <c r="D23" s="50"/>
      <c r="E23" s="12"/>
      <c r="F23" s="12"/>
      <c r="G23" s="12"/>
      <c r="H23" s="12"/>
      <c r="I23" s="12"/>
      <c r="J23" s="12"/>
      <c r="K23" s="12"/>
      <c r="L23" s="51"/>
    </row>
    <row r="24" spans="2:12">
      <c r="B24" s="65" t="s">
        <v>9</v>
      </c>
      <c r="C24" s="66"/>
      <c r="D24" s="66"/>
      <c r="E24" s="66"/>
      <c r="F24" s="66"/>
      <c r="G24" s="66"/>
      <c r="H24" s="66"/>
      <c r="I24" s="66"/>
      <c r="J24" s="66"/>
      <c r="K24" s="66"/>
      <c r="L24" s="67"/>
    </row>
    <row r="25" spans="2:12">
      <c r="B25" s="44" t="s">
        <v>10</v>
      </c>
      <c r="C25" s="46"/>
      <c r="D25" s="46"/>
      <c r="E25" s="46"/>
      <c r="F25" s="46"/>
      <c r="G25" s="46"/>
      <c r="H25" s="46"/>
      <c r="I25" s="46"/>
      <c r="J25" s="46"/>
      <c r="K25" s="46"/>
      <c r="L25" s="47"/>
    </row>
    <row r="26" spans="2:12">
      <c r="B26" s="44" t="s">
        <v>11</v>
      </c>
      <c r="C26" s="46"/>
      <c r="D26" s="46"/>
      <c r="E26" s="46"/>
      <c r="F26" s="46"/>
      <c r="G26" s="46"/>
      <c r="H26" s="46"/>
      <c r="I26" s="46"/>
      <c r="J26" s="46"/>
      <c r="K26" s="46"/>
      <c r="L26" s="47"/>
    </row>
    <row r="27" spans="2:12">
      <c r="B27" s="44" t="s">
        <v>12</v>
      </c>
      <c r="C27" s="46"/>
      <c r="D27" s="46"/>
      <c r="E27" s="46"/>
      <c r="F27" s="46"/>
      <c r="G27" s="46"/>
      <c r="H27" s="46"/>
      <c r="I27" s="46"/>
      <c r="J27" s="46"/>
      <c r="K27" s="46"/>
      <c r="L27" s="47"/>
    </row>
    <row r="28" spans="2:12">
      <c r="B28" s="44" t="s">
        <v>13</v>
      </c>
      <c r="C28" s="46"/>
      <c r="D28" s="46"/>
      <c r="E28" s="46"/>
      <c r="F28" s="46"/>
      <c r="G28" s="46"/>
      <c r="H28" s="46"/>
      <c r="I28" s="46"/>
      <c r="J28" s="46"/>
      <c r="K28" s="46"/>
      <c r="L28" s="47"/>
    </row>
    <row r="29" spans="2:12">
      <c r="B29" s="44" t="s">
        <v>14</v>
      </c>
      <c r="C29" s="46"/>
      <c r="D29" s="46"/>
      <c r="E29" s="46"/>
      <c r="F29" s="46"/>
      <c r="G29" s="46"/>
      <c r="H29" s="46"/>
      <c r="I29" s="46"/>
      <c r="J29" s="46"/>
      <c r="K29" s="46"/>
      <c r="L29" s="47"/>
    </row>
    <row r="30" spans="2:12">
      <c r="B30" s="44" t="s">
        <v>15</v>
      </c>
      <c r="C30" s="46"/>
      <c r="D30" s="46"/>
      <c r="E30" s="46"/>
      <c r="F30" s="46"/>
      <c r="G30" s="46"/>
      <c r="H30" s="46"/>
      <c r="I30" s="46"/>
      <c r="J30" s="46"/>
      <c r="K30" s="46"/>
      <c r="L30" s="47"/>
    </row>
    <row r="31" spans="2:12">
      <c r="B31" s="2" t="s">
        <v>79</v>
      </c>
      <c r="D31" s="50"/>
      <c r="E31" s="55"/>
      <c r="F31" s="55"/>
      <c r="G31" s="12"/>
      <c r="H31" s="12"/>
      <c r="I31" s="12"/>
      <c r="J31" s="12"/>
      <c r="K31" s="12"/>
      <c r="L31" s="51"/>
    </row>
    <row r="32" spans="2:12">
      <c r="B32" s="52"/>
      <c r="C32" s="50"/>
      <c r="D32" s="50"/>
      <c r="E32" s="12"/>
      <c r="F32" s="12"/>
      <c r="G32" s="12"/>
      <c r="H32" s="12"/>
      <c r="I32" s="12"/>
      <c r="J32" s="12"/>
      <c r="K32" s="12"/>
      <c r="L32" s="51"/>
    </row>
    <row r="33" spans="2:12">
      <c r="B33" s="65" t="s">
        <v>16</v>
      </c>
      <c r="C33" s="66"/>
      <c r="D33" s="66"/>
      <c r="E33" s="66"/>
      <c r="F33" s="66"/>
      <c r="G33" s="66"/>
      <c r="H33" s="66"/>
      <c r="I33" s="66"/>
      <c r="J33" s="66"/>
      <c r="K33" s="66"/>
      <c r="L33" s="67"/>
    </row>
    <row r="34" spans="2:12">
      <c r="B34" s="65"/>
      <c r="C34" s="66"/>
      <c r="D34" s="66"/>
      <c r="E34" s="66"/>
      <c r="F34" s="66"/>
      <c r="G34" s="66"/>
      <c r="H34" s="66"/>
      <c r="I34" s="66"/>
      <c r="J34" s="66"/>
      <c r="K34" s="66"/>
      <c r="L34" s="67"/>
    </row>
    <row r="35" spans="2:12">
      <c r="B35" s="71" t="s">
        <v>80</v>
      </c>
      <c r="C35" s="72"/>
      <c r="D35" s="72"/>
      <c r="E35" s="72"/>
      <c r="F35" s="72"/>
      <c r="G35" s="72"/>
      <c r="H35" s="72"/>
      <c r="I35" s="72"/>
      <c r="J35" s="72"/>
      <c r="K35" s="72"/>
      <c r="L35" s="73"/>
    </row>
    <row r="36" spans="2:12">
      <c r="B36" s="71"/>
      <c r="C36" s="72"/>
      <c r="D36" s="72"/>
      <c r="E36" s="72"/>
      <c r="F36" s="72"/>
      <c r="G36" s="72"/>
      <c r="H36" s="72"/>
      <c r="I36" s="72"/>
      <c r="J36" s="72"/>
      <c r="K36" s="72"/>
      <c r="L36" s="73"/>
    </row>
    <row r="37" spans="2:12">
      <c r="B37" s="52"/>
      <c r="C37" s="50"/>
      <c r="D37" s="50"/>
      <c r="E37" s="12"/>
      <c r="F37" s="12"/>
      <c r="G37" s="12"/>
      <c r="H37" s="12"/>
      <c r="I37" s="12"/>
      <c r="J37" s="12"/>
      <c r="K37" s="12"/>
      <c r="L37" s="51"/>
    </row>
    <row r="38" spans="2:12" ht="12.75" customHeight="1">
      <c r="B38" s="65" t="s">
        <v>17</v>
      </c>
      <c r="C38" s="66"/>
      <c r="D38" s="66"/>
      <c r="E38" s="66"/>
      <c r="F38" s="66"/>
      <c r="G38" s="66"/>
      <c r="H38" s="66"/>
      <c r="I38" s="66"/>
      <c r="J38" s="66"/>
      <c r="K38" s="66"/>
      <c r="L38" s="67"/>
    </row>
    <row r="39" spans="2:12" ht="12.75" customHeight="1">
      <c r="B39" s="71" t="s">
        <v>81</v>
      </c>
      <c r="C39" s="72"/>
      <c r="D39" s="72"/>
      <c r="E39" s="72"/>
      <c r="F39" s="72"/>
      <c r="G39" s="72"/>
      <c r="H39" s="72"/>
      <c r="I39" s="72"/>
      <c r="J39" s="72"/>
      <c r="K39" s="72"/>
      <c r="L39" s="73"/>
    </row>
    <row r="40" spans="2:12">
      <c r="B40" s="71"/>
      <c r="C40" s="72"/>
      <c r="D40" s="72"/>
      <c r="E40" s="72"/>
      <c r="F40" s="72"/>
      <c r="G40" s="72"/>
      <c r="H40" s="72"/>
      <c r="I40" s="72"/>
      <c r="J40" s="72"/>
      <c r="K40" s="72"/>
      <c r="L40" s="73"/>
    </row>
    <row r="41" spans="2:12">
      <c r="B41" s="71"/>
      <c r="C41" s="72"/>
      <c r="D41" s="72"/>
      <c r="E41" s="72"/>
      <c r="F41" s="72"/>
      <c r="G41" s="72"/>
      <c r="H41" s="72"/>
      <c r="I41" s="72"/>
      <c r="J41" s="72"/>
      <c r="K41" s="72"/>
      <c r="L41" s="73"/>
    </row>
    <row r="42" spans="2:12">
      <c r="B42" s="4"/>
      <c r="C42" s="50"/>
      <c r="D42" s="50"/>
      <c r="E42" s="12"/>
      <c r="F42" s="12"/>
      <c r="G42" s="12"/>
      <c r="H42" s="12"/>
      <c r="I42" s="12"/>
      <c r="J42" s="12"/>
      <c r="K42" s="12"/>
      <c r="L42" s="51"/>
    </row>
    <row r="43" spans="2:12">
      <c r="B43" s="62" t="s">
        <v>18</v>
      </c>
      <c r="C43" s="63"/>
      <c r="D43" s="63"/>
      <c r="E43" s="63"/>
      <c r="F43" s="63"/>
      <c r="G43" s="63"/>
      <c r="H43" s="63"/>
      <c r="I43" s="63"/>
      <c r="J43" s="63"/>
      <c r="K43" s="63"/>
      <c r="L43" s="64"/>
    </row>
    <row r="44" spans="2:12">
      <c r="B44" s="2" t="s">
        <v>82</v>
      </c>
      <c r="D44" s="50"/>
      <c r="E44" s="55"/>
      <c r="F44" s="55"/>
      <c r="G44" s="55"/>
      <c r="H44" s="12"/>
      <c r="I44" s="12"/>
      <c r="J44" s="12"/>
      <c r="K44" s="12"/>
      <c r="L44" s="51"/>
    </row>
    <row r="45" spans="2:12">
      <c r="B45" s="52"/>
      <c r="C45" s="50"/>
      <c r="D45" s="50"/>
      <c r="E45" s="12"/>
      <c r="F45" s="12"/>
      <c r="G45" s="12"/>
      <c r="H45" s="12"/>
      <c r="I45" s="12"/>
      <c r="J45" s="12"/>
      <c r="K45" s="12"/>
      <c r="L45" s="51"/>
    </row>
    <row r="46" spans="2:12">
      <c r="B46" s="62" t="s">
        <v>19</v>
      </c>
      <c r="C46" s="63"/>
      <c r="D46" s="63"/>
      <c r="E46" s="63"/>
      <c r="F46" s="63"/>
      <c r="G46" s="63"/>
      <c r="H46" s="63"/>
      <c r="I46" s="63"/>
      <c r="J46" s="63"/>
      <c r="K46" s="63"/>
      <c r="L46" s="64"/>
    </row>
    <row r="47" spans="2:12">
      <c r="B47" s="2" t="s">
        <v>83</v>
      </c>
      <c r="C47" s="56"/>
      <c r="D47" s="56"/>
      <c r="E47" s="5"/>
      <c r="F47" s="5"/>
      <c r="G47" s="5"/>
      <c r="H47" s="5"/>
      <c r="I47" s="5"/>
      <c r="J47" s="5"/>
      <c r="K47" s="5"/>
      <c r="L47" s="6"/>
    </row>
    <row r="48" spans="2:12">
      <c r="B48" s="52"/>
      <c r="C48" s="50"/>
      <c r="D48" s="50"/>
      <c r="E48" s="12"/>
      <c r="F48" s="12"/>
      <c r="G48" s="12"/>
      <c r="H48" s="12"/>
      <c r="I48" s="12"/>
      <c r="J48" s="12"/>
      <c r="K48" s="12"/>
      <c r="L48" s="51"/>
    </row>
    <row r="49" spans="2:12">
      <c r="B49" s="65" t="s">
        <v>20</v>
      </c>
      <c r="C49" s="66"/>
      <c r="D49" s="66"/>
      <c r="E49" s="66"/>
      <c r="F49" s="66"/>
      <c r="G49" s="66"/>
      <c r="H49" s="66"/>
      <c r="I49" s="66"/>
      <c r="J49" s="66"/>
      <c r="K49" s="66"/>
      <c r="L49" s="67"/>
    </row>
    <row r="50" spans="2:12">
      <c r="B50" s="45"/>
      <c r="C50" s="46"/>
      <c r="D50" s="46"/>
      <c r="E50" s="46"/>
      <c r="F50" s="46"/>
      <c r="G50" s="46"/>
      <c r="H50" s="46"/>
      <c r="I50" s="46"/>
      <c r="J50" s="46"/>
      <c r="K50" s="46"/>
      <c r="L50" s="47"/>
    </row>
    <row r="51" spans="2:12" s="57" customFormat="1">
      <c r="B51" s="43" t="s">
        <v>85</v>
      </c>
      <c r="C51" s="41"/>
      <c r="D51" s="41"/>
      <c r="E51" s="41"/>
      <c r="F51" s="41"/>
      <c r="G51" s="41"/>
      <c r="H51" s="41"/>
      <c r="I51" s="41"/>
      <c r="J51" s="41"/>
      <c r="K51" s="41"/>
      <c r="L51" s="42"/>
    </row>
    <row r="52" spans="2:12" s="57" customFormat="1">
      <c r="B52" s="43"/>
      <c r="C52" s="41"/>
      <c r="D52" s="41"/>
      <c r="E52" s="41"/>
      <c r="F52" s="41"/>
      <c r="G52" s="41"/>
      <c r="H52" s="41"/>
      <c r="I52" s="41"/>
      <c r="J52" s="41"/>
      <c r="K52" s="41"/>
      <c r="L52" s="42"/>
    </row>
    <row r="53" spans="2:12">
      <c r="B53" s="74" t="s">
        <v>88</v>
      </c>
      <c r="C53" s="75"/>
      <c r="D53" s="75"/>
      <c r="E53" s="75"/>
      <c r="F53" s="75"/>
      <c r="G53" s="75"/>
      <c r="H53" s="75"/>
      <c r="I53" s="75"/>
      <c r="J53" s="75"/>
      <c r="K53" s="75"/>
      <c r="L53" s="76"/>
    </row>
    <row r="54" spans="2:12">
      <c r="B54" s="74"/>
      <c r="C54" s="75"/>
      <c r="D54" s="75"/>
      <c r="E54" s="75"/>
      <c r="F54" s="75"/>
      <c r="G54" s="75"/>
      <c r="H54" s="75"/>
      <c r="I54" s="75"/>
      <c r="J54" s="75"/>
      <c r="K54" s="75"/>
      <c r="L54" s="76"/>
    </row>
    <row r="55" spans="2:12">
      <c r="B55" s="74"/>
      <c r="C55" s="75"/>
      <c r="D55" s="75"/>
      <c r="E55" s="75"/>
      <c r="F55" s="75"/>
      <c r="G55" s="75"/>
      <c r="H55" s="75"/>
      <c r="I55" s="75"/>
      <c r="J55" s="75"/>
      <c r="K55" s="75"/>
      <c r="L55" s="76"/>
    </row>
    <row r="56" spans="2:12">
      <c r="B56" s="52"/>
      <c r="C56" s="50"/>
      <c r="D56" s="50"/>
      <c r="E56" s="12"/>
      <c r="F56" s="12"/>
      <c r="G56" s="12"/>
      <c r="H56" s="12"/>
      <c r="I56" s="12"/>
      <c r="J56" s="12"/>
      <c r="K56" s="12"/>
      <c r="L56" s="51"/>
    </row>
    <row r="57" spans="2:12">
      <c r="B57" s="65" t="s">
        <v>0</v>
      </c>
      <c r="C57" s="66"/>
      <c r="D57" s="66"/>
      <c r="E57" s="66"/>
      <c r="F57" s="66"/>
      <c r="G57" s="66"/>
      <c r="H57" s="66"/>
      <c r="I57" s="66"/>
      <c r="J57" s="66"/>
      <c r="K57" s="66"/>
      <c r="L57" s="67"/>
    </row>
    <row r="58" spans="2:12">
      <c r="B58" s="2"/>
      <c r="C58" s="5"/>
      <c r="D58" s="5"/>
      <c r="E58" s="5"/>
      <c r="F58" s="5"/>
      <c r="G58" s="5"/>
      <c r="H58" s="5"/>
      <c r="I58" s="5"/>
      <c r="J58" s="5"/>
      <c r="K58" s="5"/>
      <c r="L58" s="6"/>
    </row>
    <row r="59" spans="2:12">
      <c r="B59" s="40" t="s">
        <v>86</v>
      </c>
      <c r="C59" s="5"/>
      <c r="D59" s="5"/>
      <c r="E59" s="5"/>
      <c r="F59" s="5"/>
      <c r="G59" s="5"/>
      <c r="H59" s="5"/>
      <c r="I59" s="5"/>
      <c r="J59" s="5"/>
      <c r="K59" s="5"/>
      <c r="L59" s="6"/>
    </row>
    <row r="60" spans="2:12" ht="13.5" thickBot="1">
      <c r="B60" s="58"/>
      <c r="C60" s="59"/>
      <c r="D60" s="59"/>
      <c r="E60" s="60"/>
      <c r="F60" s="60"/>
      <c r="G60" s="60"/>
      <c r="H60" s="60"/>
      <c r="I60" s="60"/>
      <c r="J60" s="60"/>
      <c r="K60" s="60"/>
      <c r="L60" s="61"/>
    </row>
  </sheetData>
  <mergeCells count="14">
    <mergeCell ref="B46:L46"/>
    <mergeCell ref="B49:L49"/>
    <mergeCell ref="B57:L57"/>
    <mergeCell ref="B8:L9"/>
    <mergeCell ref="B4:L4"/>
    <mergeCell ref="B24:L24"/>
    <mergeCell ref="B33:L34"/>
    <mergeCell ref="B38:L38"/>
    <mergeCell ref="B43:L43"/>
    <mergeCell ref="B16:L17"/>
    <mergeCell ref="B35:L36"/>
    <mergeCell ref="B39:L41"/>
    <mergeCell ref="B53:L55"/>
    <mergeCell ref="B19:L22"/>
  </mergeCells>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7"/>
  <sheetViews>
    <sheetView showGridLines="0" workbookViewId="0">
      <pane xSplit="2" ySplit="3" topLeftCell="C4" activePane="bottomRight" state="frozen"/>
      <selection pane="topRight" activeCell="C1" sqref="C1"/>
      <selection pane="bottomLeft" activeCell="A4" sqref="A4"/>
      <selection pane="bottomRight" activeCell="E9" sqref="E9"/>
    </sheetView>
  </sheetViews>
  <sheetFormatPr defaultColWidth="9.140625" defaultRowHeight="12.75"/>
  <cols>
    <col min="1" max="1" width="9.140625" style="1"/>
    <col min="2" max="2" width="16.5703125" style="1" bestFit="1" customWidth="1"/>
    <col min="3" max="3" width="9.42578125" style="1" customWidth="1"/>
    <col min="4" max="16384" width="9.140625" style="1"/>
  </cols>
  <sheetData>
    <row r="1" spans="2:9">
      <c r="C1" s="7">
        <f t="shared" ref="C1:I1" si="0">DATE(C4,12,31)</f>
        <v>40178</v>
      </c>
      <c r="D1" s="7">
        <f t="shared" si="0"/>
        <v>40543</v>
      </c>
      <c r="E1" s="7">
        <f t="shared" si="0"/>
        <v>40908</v>
      </c>
      <c r="F1" s="7">
        <f t="shared" si="0"/>
        <v>41274</v>
      </c>
      <c r="G1" s="7">
        <f t="shared" si="0"/>
        <v>41639</v>
      </c>
      <c r="H1" s="7">
        <f t="shared" si="0"/>
        <v>42004</v>
      </c>
      <c r="I1" s="7">
        <f t="shared" si="0"/>
        <v>42369</v>
      </c>
    </row>
    <row r="2" spans="2:9">
      <c r="C2" s="7"/>
      <c r="D2" s="7"/>
      <c r="E2" s="7"/>
      <c r="F2" s="7"/>
      <c r="G2" s="7"/>
      <c r="H2" s="7"/>
      <c r="I2" s="7"/>
    </row>
    <row r="3" spans="2:9">
      <c r="B3" s="29" t="s">
        <v>37</v>
      </c>
    </row>
    <row r="4" spans="2:9">
      <c r="B4" s="1" t="s">
        <v>21</v>
      </c>
      <c r="C4" s="29">
        <v>2009</v>
      </c>
      <c r="D4" s="1">
        <f>C4+1</f>
        <v>2010</v>
      </c>
      <c r="E4" s="1">
        <f t="shared" ref="E4:I4" si="1">D4+1</f>
        <v>2011</v>
      </c>
      <c r="F4" s="1">
        <f t="shared" si="1"/>
        <v>2012</v>
      </c>
      <c r="G4" s="1">
        <f t="shared" si="1"/>
        <v>2013</v>
      </c>
      <c r="H4" s="1">
        <f t="shared" si="1"/>
        <v>2014</v>
      </c>
      <c r="I4" s="1">
        <f t="shared" si="1"/>
        <v>2015</v>
      </c>
    </row>
    <row r="5" spans="2:9" s="10" customFormat="1" ht="15.75" customHeight="1">
      <c r="B5" s="8" t="s">
        <v>22</v>
      </c>
      <c r="C5" s="9">
        <f>IFERROR([1]!EM_S_STM07_IS($B$3,"9",C1,"1")/1000000,"")</f>
        <v>1175.0627769800001</v>
      </c>
      <c r="D5" s="9">
        <f>IFERROR([1]!EM_S_STM07_IS($B$3,"9",D1,"1")/1000000,"")</f>
        <v>1905.03082513</v>
      </c>
      <c r="E5" s="9">
        <f>IFERROR([1]!EM_S_STM07_IS($B$3,"9",E1,"1")/1000000,"")</f>
        <v>2035.8183279699999</v>
      </c>
      <c r="F5" s="9">
        <f>IFERROR([1]!EM_S_STM07_IS($B$3,"9",F1,"1")/1000000,"")</f>
        <v>2684.5356464000001</v>
      </c>
      <c r="G5" s="9">
        <f>IFERROR([1]!EM_S_STM07_IS($B$3,"9",G1,"1")/1000000,"")</f>
        <v>3525.95368164</v>
      </c>
      <c r="H5" s="9">
        <f>IFERROR([1]!EM_S_STM07_IS($B$3,"9",H1,"1")/1000000,"")</f>
        <v>3716.61960658</v>
      </c>
      <c r="I5" s="18">
        <f>IFERROR([1]!EM_S_STM07_IS($B$3,"9",I1,"1")/1000000,"")</f>
        <v>5169.4615371199998</v>
      </c>
    </row>
    <row r="6" spans="2:9" s="10" customFormat="1" ht="15.75" customHeight="1">
      <c r="B6" s="11" t="s">
        <v>23</v>
      </c>
      <c r="C6" s="12"/>
      <c r="D6" s="13">
        <f>IFERROR(D5/C5-1,"")</f>
        <v>0.62121621282743122</v>
      </c>
      <c r="E6" s="13">
        <f t="shared" ref="E6:I6" si="2">IFERROR(E5/D5-1,"")</f>
        <v>6.8653746235877833E-2</v>
      </c>
      <c r="F6" s="13">
        <f t="shared" si="2"/>
        <v>0.31865187061011646</v>
      </c>
      <c r="G6" s="13">
        <f t="shared" si="2"/>
        <v>0.31343150029255651</v>
      </c>
      <c r="H6" s="13">
        <f t="shared" si="2"/>
        <v>5.4074994215839167E-2</v>
      </c>
      <c r="I6" s="19">
        <f t="shared" si="2"/>
        <v>0.39090412372787653</v>
      </c>
    </row>
    <row r="7" spans="2:9" s="10" customFormat="1" ht="15.75" customHeight="1">
      <c r="B7" s="8" t="s">
        <v>24</v>
      </c>
      <c r="C7" s="9">
        <f>IFERROR([1]!EM_S_STM07_IS($B$3,"9",C1,"1")/1000000-[1]!EM_S_STM07_IS($B$3,"10",C1,"1")/1000000,"")</f>
        <v>361.56322991000002</v>
      </c>
      <c r="D7" s="9">
        <f>IFERROR([1]!EM_S_STM07_IS($B$3,"9",D1,"1")/1000000-[1]!EM_S_STM07_IS($B$3,"10",D1,"1")/1000000,"")</f>
        <v>639.17390363000004</v>
      </c>
      <c r="E7" s="9">
        <f>IFERROR([1]!EM_S_STM07_IS($B$3,"9",E1,"1")/1000000-[1]!EM_S_STM07_IS($B$3,"10",E1,"1")/1000000,"")</f>
        <v>441.90142926999988</v>
      </c>
      <c r="F7" s="9">
        <f>IFERROR([1]!EM_S_STM07_IS($B$3,"9",F1,"1")/1000000-[1]!EM_S_STM07_IS($B$3,"10",F1,"1")/1000000,"")</f>
        <v>423.21424242000012</v>
      </c>
      <c r="G7" s="9">
        <f>IFERROR([1]!EM_S_STM07_IS($B$3,"9",G1,"1")/1000000-[1]!EM_S_STM07_IS($B$3,"10",G1,"1")/1000000,"")</f>
        <v>1021.6950316900002</v>
      </c>
      <c r="H7" s="9">
        <f>IFERROR([1]!EM_S_STM07_IS($B$3,"9",H1,"1")/1000000-[1]!EM_S_STM07_IS($B$3,"10",H1,"1")/1000000,"")</f>
        <v>752.12384073000021</v>
      </c>
      <c r="I7" s="18">
        <f>IFERROR([1]!EM_S_STM07_IS($B$3,"9",I1,"1")/1000000-[1]!EM_S_STM07_IS($B$3,"10",I1,"1")/1000000,"")</f>
        <v>930.42073408999931</v>
      </c>
    </row>
    <row r="8" spans="2:9" s="10" customFormat="1" ht="15.75" customHeight="1">
      <c r="B8" s="11" t="s">
        <v>75</v>
      </c>
      <c r="C8" s="13">
        <f>IFERROR(C7/C5,"")</f>
        <v>0.30769694776584172</v>
      </c>
      <c r="D8" s="13">
        <f t="shared" ref="D8:I8" si="3">IFERROR(D7/D5,"")</f>
        <v>0.33551892977184899</v>
      </c>
      <c r="E8" s="13">
        <f t="shared" si="3"/>
        <v>0.21706329253388654</v>
      </c>
      <c r="F8" s="13">
        <f t="shared" si="3"/>
        <v>0.15764895615654662</v>
      </c>
      <c r="G8" s="13">
        <f t="shared" si="3"/>
        <v>0.28976416707061986</v>
      </c>
      <c r="H8" s="13">
        <f t="shared" si="3"/>
        <v>0.2023677213020188</v>
      </c>
      <c r="I8" s="19">
        <f t="shared" si="3"/>
        <v>0.1799840713406978</v>
      </c>
    </row>
    <row r="9" spans="2:9" s="10" customFormat="1" ht="15.75" customHeight="1">
      <c r="B9" s="11" t="s">
        <v>23</v>
      </c>
      <c r="C9" s="13"/>
      <c r="D9" s="13">
        <f>IFERROR((D7-C7)/ABS(C7),"")</f>
        <v>0.76780670918639216</v>
      </c>
      <c r="E9" s="13">
        <f t="shared" ref="E9:I9" si="4">IFERROR((E7-D7)/ABS(D7),"")</f>
        <v>-0.30863662180143653</v>
      </c>
      <c r="F9" s="13">
        <f t="shared" si="4"/>
        <v>-4.228813398696199E-2</v>
      </c>
      <c r="G9" s="13">
        <f t="shared" si="4"/>
        <v>1.4141319674115893</v>
      </c>
      <c r="H9" s="13">
        <f t="shared" si="4"/>
        <v>-0.26384702146794081</v>
      </c>
      <c r="I9" s="19">
        <f t="shared" si="4"/>
        <v>0.23705789353379197</v>
      </c>
    </row>
    <row r="10" spans="2:9" s="10" customFormat="1" ht="15.75" customHeight="1">
      <c r="B10" s="8" t="s">
        <v>25</v>
      </c>
      <c r="C10" s="9">
        <f>IFERROR([1]!EM_S_STM07_IS($B$3,"48",C1,"1")/1000000,"")</f>
        <v>217.49876791999998</v>
      </c>
      <c r="D10" s="9">
        <f>IFERROR([1]!EM_S_STM07_IS($B$3,"48",D1,"1")/1000000,"")</f>
        <v>397.78229833</v>
      </c>
      <c r="E10" s="9">
        <f>IFERROR([1]!EM_S_STM07_IS($B$3,"48",E1,"1")/1000000,"")</f>
        <v>204.02938584</v>
      </c>
      <c r="F10" s="9">
        <f>IFERROR([1]!EM_S_STM07_IS($B$3,"48",F1,"1")/1000000,"")</f>
        <v>51.428303590000006</v>
      </c>
      <c r="G10" s="9">
        <f>IFERROR([1]!EM_S_STM07_IS($B$3,"48",G1,"1")/1000000,"")</f>
        <v>375.17049867000003</v>
      </c>
      <c r="H10" s="9">
        <f>IFERROR([1]!EM_S_STM07_IS($B$3,"48",H1,"1")/1000000,"")</f>
        <v>145.34172265999999</v>
      </c>
      <c r="I10" s="18">
        <f>IFERROR([1]!EM_S_STM07_IS($B$3,"48",I1,"1")/1000000,"")</f>
        <v>135.62167755999999</v>
      </c>
    </row>
    <row r="11" spans="2:9" s="10" customFormat="1" ht="15.75" customHeight="1">
      <c r="B11" s="11" t="s">
        <v>26</v>
      </c>
      <c r="C11" s="14">
        <f>IFERROR(C10/C5,"")</f>
        <v>0.18509544526547611</v>
      </c>
      <c r="D11" s="14">
        <f t="shared" ref="D11:I11" si="5">IFERROR(D10/D5,"")</f>
        <v>0.20880622669339494</v>
      </c>
      <c r="E11" s="14">
        <f t="shared" si="5"/>
        <v>0.10021983938195815</v>
      </c>
      <c r="F11" s="14">
        <f t="shared" si="5"/>
        <v>1.9157243696490335E-2</v>
      </c>
      <c r="G11" s="14">
        <f t="shared" si="5"/>
        <v>0.10640256014239524</v>
      </c>
      <c r="H11" s="14">
        <f t="shared" si="5"/>
        <v>3.9105891386539325E-2</v>
      </c>
      <c r="I11" s="20">
        <f t="shared" si="5"/>
        <v>2.6235165226813406E-2</v>
      </c>
    </row>
    <row r="12" spans="2:9" s="10" customFormat="1" ht="15.75" customHeight="1">
      <c r="B12" s="8" t="s">
        <v>27</v>
      </c>
      <c r="C12" s="9">
        <f>IFERROR([1]!EM_S_STM07_IS($B$3,"60",C1,"1")/1000000,"")</f>
        <v>179.18776929000001</v>
      </c>
      <c r="D12" s="9">
        <f>IFERROR([1]!EM_S_STM07_IS($B$3,"60",D1,"1")/1000000,"")</f>
        <v>328.27581841</v>
      </c>
      <c r="E12" s="9">
        <f>IFERROR([1]!EM_S_STM07_IS($B$3,"60",E1,"1")/1000000,"")</f>
        <v>208.2362468</v>
      </c>
      <c r="F12" s="9">
        <f>IFERROR([1]!EM_S_STM07_IS($B$3,"60",F1,"1")/1000000,"")</f>
        <v>197.33015062000001</v>
      </c>
      <c r="G12" s="9">
        <f>IFERROR([1]!EM_S_STM07_IS($B$3,"60",G1,"1")/1000000,"")</f>
        <v>387.13842170999999</v>
      </c>
      <c r="H12" s="9">
        <f>IFERROR([1]!EM_S_STM07_IS($B$3,"60",H1,"1")/1000000,"")</f>
        <v>221.05864902000002</v>
      </c>
      <c r="I12" s="18">
        <f>IFERROR([1]!EM_S_STM07_IS($B$3,"60",I1,"1")/1000000,"")</f>
        <v>171.33257756</v>
      </c>
    </row>
    <row r="13" spans="2:9" s="10" customFormat="1" ht="15.75" customHeight="1">
      <c r="B13" s="11" t="s">
        <v>28</v>
      </c>
      <c r="C13" s="14">
        <f>IFERROR(C12/C5,"")</f>
        <v>0.15249208195542205</v>
      </c>
      <c r="D13" s="14">
        <f t="shared" ref="D13:I13" si="6">IFERROR(D12/D5,"")</f>
        <v>0.17232047591019864</v>
      </c>
      <c r="E13" s="14">
        <f t="shared" si="6"/>
        <v>0.10228626196112554</v>
      </c>
      <c r="F13" s="14">
        <f t="shared" si="6"/>
        <v>7.3506250842533052E-2</v>
      </c>
      <c r="G13" s="14">
        <f t="shared" si="6"/>
        <v>0.10979679731071601</v>
      </c>
      <c r="H13" s="14">
        <f t="shared" si="6"/>
        <v>5.9478416523615178E-2</v>
      </c>
      <c r="I13" s="20">
        <f t="shared" si="6"/>
        <v>3.3143215464458697E-2</v>
      </c>
    </row>
    <row r="14" spans="2:9" s="10" customFormat="1" ht="15.75" customHeight="1">
      <c r="B14" s="8" t="s">
        <v>31</v>
      </c>
      <c r="C14" s="9">
        <f>IFERROR([1]!EM_S_STM07_IS($B$3,"61",C1,"1")/1000000,"")</f>
        <v>179.18776929000001</v>
      </c>
      <c r="D14" s="9">
        <f>IFERROR([1]!EM_S_STM07_IS($B$3,"61",D1,"1")/1000000,"")</f>
        <v>328.27581841</v>
      </c>
      <c r="E14" s="9">
        <f>IFERROR([1]!EM_S_STM07_IS($B$3,"61",E1,"1")/1000000,"")</f>
        <v>208.2362468</v>
      </c>
      <c r="F14" s="9">
        <f>IFERROR([1]!EM_S_STM07_IS($B$3,"61",F1,"1")/1000000,"")</f>
        <v>197.33015062000001</v>
      </c>
      <c r="G14" s="9">
        <f>IFERROR([1]!EM_S_STM07_IS($B$3,"61",G1,"1")/1000000,"")</f>
        <v>387.13842170999999</v>
      </c>
      <c r="H14" s="9">
        <f>IFERROR([1]!EM_S_STM07_IS($B$3,"61",H1,"1")/1000000,"")</f>
        <v>221.05864902000002</v>
      </c>
      <c r="I14" s="18">
        <f>IFERROR([1]!EM_S_STM07_IS($B$3,"61",I1,"1")/1000000,"")</f>
        <v>171.33257756</v>
      </c>
    </row>
    <row r="15" spans="2:9" s="10" customFormat="1" ht="15.75" customHeight="1">
      <c r="B15" s="11" t="s">
        <v>23</v>
      </c>
      <c r="C15" s="14"/>
      <c r="D15" s="13">
        <f>IFERROR((D14-C14)/ABS(C14),"")</f>
        <v>0.83202134671766459</v>
      </c>
      <c r="E15" s="13">
        <f t="shared" ref="E15:I15" si="7">IFERROR((E14-D14)/ABS(D14),"")</f>
        <v>-0.36566681088911823</v>
      </c>
      <c r="F15" s="13">
        <f t="shared" si="7"/>
        <v>-5.2373668598026189E-2</v>
      </c>
      <c r="G15" s="13">
        <f t="shared" si="7"/>
        <v>0.9618817524520874</v>
      </c>
      <c r="H15" s="13">
        <f t="shared" si="7"/>
        <v>-0.42899325764779817</v>
      </c>
      <c r="I15" s="19">
        <f t="shared" si="7"/>
        <v>-0.224945152250076</v>
      </c>
    </row>
    <row r="16" spans="2:9" s="10" customFormat="1" ht="15.75" customHeight="1">
      <c r="B16" s="8" t="s">
        <v>29</v>
      </c>
      <c r="C16" s="9">
        <f>IFERROR([1]!EM_S_FA_DEDUCTEDPROFIT($B$3,C1)/1000000,"")</f>
        <v>176.91917526</v>
      </c>
      <c r="D16" s="9">
        <f>IFERROR([1]!EM_S_FA_DEDUCTEDPROFIT($B$3,D1)/1000000,"")</f>
        <v>323.45525056000002</v>
      </c>
      <c r="E16" s="9">
        <f>IFERROR([1]!EM_S_FA_DEDUCTEDPROFIT($B$3,E1)/1000000,"")</f>
        <v>179.05269409000002</v>
      </c>
      <c r="F16" s="9">
        <f>IFERROR([1]!EM_S_FA_DEDUCTEDPROFIT($B$3,F1)/1000000,"")</f>
        <v>45.633185170000004</v>
      </c>
      <c r="G16" s="9">
        <f>IFERROR([1]!EM_S_FA_DEDUCTEDPROFIT($B$3,G1)/1000000,"")</f>
        <v>318.39468912000001</v>
      </c>
      <c r="H16" s="9">
        <f>IFERROR([1]!EM_S_FA_DEDUCTEDPROFIT($B$3,H1)/1000000,"")</f>
        <v>191.18080197</v>
      </c>
      <c r="I16" s="18">
        <f>IFERROR([1]!EM_S_FA_DEDUCTEDPROFIT($B$3,I1)/1000000,"")</f>
        <v>103.18605624999999</v>
      </c>
    </row>
    <row r="17" spans="2:9" s="10" customFormat="1" ht="15.75" customHeight="1">
      <c r="B17" s="15" t="s">
        <v>23</v>
      </c>
      <c r="C17" s="16"/>
      <c r="D17" s="17">
        <f>IFERROR((D16-C16)/ABS(C16),"")</f>
        <v>0.8282656477719329</v>
      </c>
      <c r="E17" s="17">
        <f t="shared" ref="E17:I17" si="8">IFERROR((E16-D16)/ABS(D16),"")</f>
        <v>-0.44643750942362193</v>
      </c>
      <c r="F17" s="17">
        <f t="shared" si="8"/>
        <v>-0.74514103012009014</v>
      </c>
      <c r="G17" s="17">
        <f t="shared" si="8"/>
        <v>5.9772620064513458</v>
      </c>
      <c r="H17" s="17">
        <f t="shared" si="8"/>
        <v>-0.39954776727464281</v>
      </c>
      <c r="I17" s="21">
        <f t="shared" si="8"/>
        <v>-0.46026978029838006</v>
      </c>
    </row>
  </sheetData>
  <phoneticPr fontId="6" type="noConversion"/>
  <pageMargins left="0.7" right="0.7" top="0.75" bottom="0.75" header="0.3" footer="0.3"/>
  <pageSetup paperSize="9" orientation="portrait" horizontalDpi="0" verticalDpi="0" r:id="rId1"/>
  <ignoredErrors>
    <ignoredError sqref="D16:I16"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17"/>
  <sheetViews>
    <sheetView showGridLines="0" workbookViewId="0">
      <pane xSplit="2" ySplit="3" topLeftCell="C4" activePane="bottomRight" state="frozen"/>
      <selection pane="topRight" activeCell="C1" sqref="C1"/>
      <selection pane="bottomLeft" activeCell="A4" sqref="A4"/>
      <selection pane="bottomRight" activeCell="K4" sqref="K4"/>
    </sheetView>
  </sheetViews>
  <sheetFormatPr defaultColWidth="9.140625" defaultRowHeight="12.75"/>
  <cols>
    <col min="1" max="1" width="9.140625" style="1"/>
    <col min="2" max="2" width="17.85546875" style="1" bestFit="1" customWidth="1"/>
    <col min="3" max="3" width="9.42578125" style="1" customWidth="1"/>
    <col min="4" max="16384" width="9.140625" style="1"/>
  </cols>
  <sheetData>
    <row r="1" spans="2:26">
      <c r="C1" s="7">
        <f>DATE(C4,3,31)</f>
        <v>40633</v>
      </c>
      <c r="D1" s="7">
        <f t="shared" ref="D1:H1" si="0">DATE(D4,3,31)</f>
        <v>40999</v>
      </c>
      <c r="E1" s="7">
        <f t="shared" si="0"/>
        <v>41364</v>
      </c>
      <c r="F1" s="7">
        <f t="shared" si="0"/>
        <v>41729</v>
      </c>
      <c r="G1" s="7">
        <f t="shared" si="0"/>
        <v>42094</v>
      </c>
      <c r="H1" s="7">
        <f t="shared" si="0"/>
        <v>42460</v>
      </c>
      <c r="I1" s="7">
        <f>DATE(I4,6,30)</f>
        <v>40724</v>
      </c>
      <c r="J1" s="7">
        <f t="shared" ref="J1:N1" si="1">DATE(J4,6,30)</f>
        <v>41090</v>
      </c>
      <c r="K1" s="7">
        <f t="shared" si="1"/>
        <v>41455</v>
      </c>
      <c r="L1" s="7">
        <f t="shared" si="1"/>
        <v>41820</v>
      </c>
      <c r="M1" s="7">
        <f t="shared" si="1"/>
        <v>42185</v>
      </c>
      <c r="N1" s="7">
        <f t="shared" si="1"/>
        <v>42551</v>
      </c>
      <c r="O1" s="7">
        <f>DATE(O4,9,30)</f>
        <v>40816</v>
      </c>
      <c r="P1" s="7">
        <f t="shared" ref="P1:T1" si="2">DATE(P4,9,30)</f>
        <v>41182</v>
      </c>
      <c r="Q1" s="7">
        <f t="shared" si="2"/>
        <v>41547</v>
      </c>
      <c r="R1" s="7">
        <f t="shared" si="2"/>
        <v>41912</v>
      </c>
      <c r="S1" s="7">
        <f t="shared" si="2"/>
        <v>42277</v>
      </c>
      <c r="T1" s="7">
        <f t="shared" si="2"/>
        <v>42643</v>
      </c>
      <c r="U1" s="7">
        <f>DATE(U4,12,31)</f>
        <v>40908</v>
      </c>
      <c r="V1" s="7">
        <f t="shared" ref="V1:Z1" si="3">DATE(V4,12,31)</f>
        <v>41274</v>
      </c>
      <c r="W1" s="7">
        <f t="shared" si="3"/>
        <v>41639</v>
      </c>
      <c r="X1" s="7">
        <f t="shared" si="3"/>
        <v>42004</v>
      </c>
      <c r="Y1" s="7">
        <f t="shared" si="3"/>
        <v>42369</v>
      </c>
      <c r="Z1" s="7">
        <f t="shared" si="3"/>
        <v>42735</v>
      </c>
    </row>
    <row r="2" spans="2:26">
      <c r="C2" s="7"/>
      <c r="D2" s="7"/>
      <c r="E2" s="7"/>
      <c r="F2" s="7"/>
      <c r="G2" s="7"/>
      <c r="H2" s="7"/>
    </row>
    <row r="3" spans="2:26">
      <c r="B3" s="36" t="str">
        <f>模型（年度基础数据）!B3</f>
        <v>601636.SH</v>
      </c>
      <c r="C3" s="77" t="s">
        <v>33</v>
      </c>
      <c r="D3" s="77"/>
      <c r="E3" s="77"/>
      <c r="F3" s="77"/>
      <c r="G3" s="77"/>
      <c r="H3" s="77"/>
      <c r="I3" s="77" t="s">
        <v>34</v>
      </c>
      <c r="J3" s="77"/>
      <c r="K3" s="77"/>
      <c r="L3" s="77"/>
      <c r="M3" s="77"/>
      <c r="N3" s="77"/>
      <c r="O3" s="77" t="s">
        <v>35</v>
      </c>
      <c r="P3" s="77"/>
      <c r="Q3" s="77"/>
      <c r="R3" s="77"/>
      <c r="S3" s="77"/>
      <c r="T3" s="77"/>
      <c r="U3" s="77" t="s">
        <v>36</v>
      </c>
      <c r="V3" s="77"/>
      <c r="W3" s="77"/>
      <c r="X3" s="77"/>
      <c r="Y3" s="77"/>
      <c r="Z3" s="77"/>
    </row>
    <row r="4" spans="2:26">
      <c r="B4" s="1" t="s">
        <v>21</v>
      </c>
      <c r="C4" s="36">
        <f>模型（年度基础数据）!C4+2</f>
        <v>2011</v>
      </c>
      <c r="D4" s="1">
        <f>C4+1</f>
        <v>2012</v>
      </c>
      <c r="E4" s="1">
        <f t="shared" ref="E4:H4" si="4">D4+1</f>
        <v>2013</v>
      </c>
      <c r="F4" s="1">
        <f t="shared" si="4"/>
        <v>2014</v>
      </c>
      <c r="G4" s="1">
        <f t="shared" si="4"/>
        <v>2015</v>
      </c>
      <c r="H4" s="1">
        <f t="shared" si="4"/>
        <v>2016</v>
      </c>
      <c r="I4" s="1">
        <f>C4</f>
        <v>2011</v>
      </c>
      <c r="J4" s="1">
        <f t="shared" ref="J4:N4" si="5">D4</f>
        <v>2012</v>
      </c>
      <c r="K4" s="1">
        <f t="shared" si="5"/>
        <v>2013</v>
      </c>
      <c r="L4" s="1">
        <f t="shared" si="5"/>
        <v>2014</v>
      </c>
      <c r="M4" s="1">
        <f t="shared" si="5"/>
        <v>2015</v>
      </c>
      <c r="N4" s="1">
        <f t="shared" si="5"/>
        <v>2016</v>
      </c>
      <c r="O4" s="1">
        <f t="shared" ref="O4" si="6">I4</f>
        <v>2011</v>
      </c>
      <c r="P4" s="1">
        <f t="shared" ref="P4" si="7">J4</f>
        <v>2012</v>
      </c>
      <c r="Q4" s="1">
        <f t="shared" ref="Q4" si="8">K4</f>
        <v>2013</v>
      </c>
      <c r="R4" s="1">
        <f t="shared" ref="R4" si="9">L4</f>
        <v>2014</v>
      </c>
      <c r="S4" s="1">
        <f t="shared" ref="S4" si="10">M4</f>
        <v>2015</v>
      </c>
      <c r="T4" s="1">
        <f t="shared" ref="T4" si="11">N4</f>
        <v>2016</v>
      </c>
      <c r="U4" s="3">
        <f t="shared" ref="U4" si="12">O4</f>
        <v>2011</v>
      </c>
      <c r="V4" s="3">
        <f t="shared" ref="V4" si="13">P4</f>
        <v>2012</v>
      </c>
      <c r="W4" s="3">
        <f t="shared" ref="W4" si="14">Q4</f>
        <v>2013</v>
      </c>
      <c r="X4" s="3">
        <f t="shared" ref="X4" si="15">R4</f>
        <v>2014</v>
      </c>
      <c r="Y4" s="3">
        <f t="shared" ref="Y4" si="16">S4</f>
        <v>2015</v>
      </c>
      <c r="Z4" s="26">
        <f t="shared" ref="Z4" si="17">T4</f>
        <v>2016</v>
      </c>
    </row>
    <row r="5" spans="2:26" s="10" customFormat="1" ht="15" customHeight="1">
      <c r="B5" s="8" t="s">
        <v>22</v>
      </c>
      <c r="C5" s="9">
        <f>IFERROR([1]!EM_S_QSTM07_IS($B$3,"9",C1,"1")/1000000,"")</f>
        <v>460.12478453</v>
      </c>
      <c r="D5" s="9">
        <f>IFERROR([1]!EM_S_QSTM07_IS($B$3,"9",D1,"1")/1000000,"")</f>
        <v>534.77670862000002</v>
      </c>
      <c r="E5" s="9">
        <f>IFERROR([1]!EM_S_QSTM07_IS($B$3,"9",E1,"1")/1000000,"")</f>
        <v>723.50300444000004</v>
      </c>
      <c r="F5" s="9">
        <f>IFERROR([1]!EM_S_QSTM07_IS($B$3,"9",F1,"1")/1000000,"")</f>
        <v>829.72474722000004</v>
      </c>
      <c r="G5" s="9">
        <f>IFERROR([1]!EM_S_QSTM07_IS($B$3,"9",G1,"1")/1000000,"")</f>
        <v>740.67981901999997</v>
      </c>
      <c r="H5" s="9">
        <f>IFERROR([1]!EM_S_QSTM07_IS($B$3,"9",H1,"1")/1000000,"")</f>
        <v>1227.8852076600001</v>
      </c>
      <c r="I5" s="9">
        <f>IFERROR([1]!EM_S_QSTM07_IS($B$3,"9",I1,"1")/1000000,"")</f>
        <v>479.76023029000004</v>
      </c>
      <c r="J5" s="9">
        <f>IFERROR([1]!EM_S_QSTM07_IS($B$3,"9",J1,"1")/1000000,"")</f>
        <v>513.91498729</v>
      </c>
      <c r="K5" s="9">
        <f>IFERROR([1]!EM_S_QSTM07_IS($B$3,"9",K1,"1")/1000000,"")</f>
        <v>914.21643803999996</v>
      </c>
      <c r="L5" s="9">
        <f>IFERROR([1]!EM_S_QSTM07_IS($B$3,"9",L1,"1")/1000000,"")</f>
        <v>1090.47025007</v>
      </c>
      <c r="M5" s="9">
        <f>IFERROR([1]!EM_S_QSTM07_IS($B$3,"9",M1,"1")/1000000,"")</f>
        <v>1581.9028965699999</v>
      </c>
      <c r="N5" s="9">
        <f>IFERROR([1]!EM_S_QSTM07_IS($B$3,"9",N1,"1")/1000000,"")</f>
        <v>1785.51447076</v>
      </c>
      <c r="O5" s="9">
        <f>IFERROR([1]!EM_S_QSTM07_IS($B$3,"9",O1,"1")/1000000,"")</f>
        <v>486.00430605000003</v>
      </c>
      <c r="P5" s="9">
        <f>IFERROR([1]!EM_S_QSTM07_IS($B$3,"9",P1,"1")/1000000,"")</f>
        <v>720.15935339999999</v>
      </c>
      <c r="Q5" s="9">
        <f>IFERROR([1]!EM_S_QSTM07_IS($B$3,"9",Q1,"1")/1000000,"")</f>
        <v>879.78274428999998</v>
      </c>
      <c r="R5" s="9">
        <f>IFERROR([1]!EM_S_QSTM07_IS($B$3,"9",R1,"1")/1000000,"")</f>
        <v>842.48829247000003</v>
      </c>
      <c r="S5" s="9">
        <f>IFERROR([1]!EM_S_QSTM07_IS($B$3,"9",S1,"1")/1000000,"")</f>
        <v>1300.40554703</v>
      </c>
      <c r="T5" s="9">
        <f>IFERROR([1]!EM_S_QSTM07_IS($B$3,"9",T1,"1")/1000000,"")</f>
        <v>1726.46386914</v>
      </c>
      <c r="U5" s="9">
        <f>IFERROR([1]!EM_S_QSTM07_IS($B$3,"9",U1,"1")/1000000,"")</f>
        <v>609.92900710000004</v>
      </c>
      <c r="V5" s="9">
        <f>IFERROR([1]!EM_S_QSTM07_IS($B$3,"9",V1,"1")/1000000,"")</f>
        <v>915.68459709000001</v>
      </c>
      <c r="W5" s="9">
        <f>IFERROR([1]!EM_S_QSTM07_IS($B$3,"9",W1,"1")/1000000,"")</f>
        <v>1008.45149487</v>
      </c>
      <c r="X5" s="9">
        <f>IFERROR([1]!EM_S_QSTM07_IS($B$3,"9",X1,"1")/1000000,"")</f>
        <v>953.93631682</v>
      </c>
      <c r="Y5" s="9">
        <f>IFERROR([1]!EM_S_QSTM07_IS($B$3,"9",Y1,"1")/1000000,"")</f>
        <v>1546.4732744999999</v>
      </c>
      <c r="Z5" s="18" t="str">
        <f>IFERROR([1]!EM_S_QSTM07_IS($B$3,"9",Z1,"1")/1000000,"")</f>
        <v/>
      </c>
    </row>
    <row r="6" spans="2:26" s="10" customFormat="1" ht="15" customHeight="1">
      <c r="B6" s="11" t="s">
        <v>23</v>
      </c>
      <c r="C6" s="12"/>
      <c r="D6" s="13">
        <f>IFERROR(D5/C5-1,"")</f>
        <v>0.16224277978473634</v>
      </c>
      <c r="E6" s="13">
        <f t="shared" ref="E6:Z6" si="18">IFERROR(E5/D5-1,"")</f>
        <v>0.3529067230826326</v>
      </c>
      <c r="F6" s="13">
        <f t="shared" si="18"/>
        <v>0.14681589727774091</v>
      </c>
      <c r="G6" s="13">
        <f t="shared" si="18"/>
        <v>-0.10731863608786629</v>
      </c>
      <c r="H6" s="13">
        <f t="shared" si="18"/>
        <v>0.65778137344774135</v>
      </c>
      <c r="I6" s="13"/>
      <c r="J6" s="13">
        <f t="shared" si="18"/>
        <v>7.1191305247111591E-2</v>
      </c>
      <c r="K6" s="13">
        <f t="shared" si="18"/>
        <v>0.77892542667589404</v>
      </c>
      <c r="L6" s="13">
        <f t="shared" si="18"/>
        <v>0.1927922149462471</v>
      </c>
      <c r="M6" s="13">
        <f t="shared" si="18"/>
        <v>0.45066121379143875</v>
      </c>
      <c r="N6" s="13">
        <f t="shared" si="18"/>
        <v>0.12871306742751787</v>
      </c>
      <c r="O6" s="13"/>
      <c r="P6" s="13">
        <f t="shared" si="18"/>
        <v>0.48179624014670797</v>
      </c>
      <c r="Q6" s="13">
        <f t="shared" si="18"/>
        <v>0.22165009749077025</v>
      </c>
      <c r="R6" s="13">
        <f t="shared" si="18"/>
        <v>-4.2390524322112322E-2</v>
      </c>
      <c r="S6" s="13">
        <f t="shared" si="18"/>
        <v>0.54352951685237305</v>
      </c>
      <c r="T6" s="13">
        <f t="shared" si="18"/>
        <v>0.327634962095537</v>
      </c>
      <c r="U6" s="13"/>
      <c r="V6" s="13">
        <f t="shared" si="18"/>
        <v>0.50129701396521753</v>
      </c>
      <c r="W6" s="13">
        <f t="shared" si="18"/>
        <v>0.1013087891560136</v>
      </c>
      <c r="X6" s="13">
        <f t="shared" si="18"/>
        <v>-5.4058304566277249E-2</v>
      </c>
      <c r="Y6" s="13">
        <f t="shared" si="18"/>
        <v>0.62114938621401361</v>
      </c>
      <c r="Z6" s="19" t="str">
        <f t="shared" si="18"/>
        <v/>
      </c>
    </row>
    <row r="7" spans="2:26" s="10" customFormat="1" ht="15" customHeight="1">
      <c r="B7" s="8" t="s">
        <v>24</v>
      </c>
      <c r="C7" s="9">
        <f>IFERROR([1]!EM_S_QSTM07_IS($B$3,"9",C1,"1")/1000000-[1]!EM_S_QSTM07_IS($B$3,"10",C1,"1")/1000000,"")</f>
        <v>104.27773956999999</v>
      </c>
      <c r="D7" s="9">
        <f>IFERROR([1]!EM_S_QSTM07_IS($B$3,"9",D1,"1")/1000000-[1]!EM_S_QSTM07_IS($B$3,"10",D1,"1")/1000000,"")</f>
        <v>76.743756200000007</v>
      </c>
      <c r="E7" s="9">
        <f>IFERROR([1]!EM_S_QSTM07_IS($B$3,"9",E1,"1")/1000000-[1]!EM_S_QSTM07_IS($B$3,"10",E1,"1")/1000000,"")</f>
        <v>188.06461662000004</v>
      </c>
      <c r="F7" s="9">
        <f>IFERROR([1]!EM_S_QSTM07_IS($B$3,"9",F1,"1")/1000000-[1]!EM_S_QSTM07_IS($B$3,"10",F1,"1")/1000000,"")</f>
        <v>177.06624334000003</v>
      </c>
      <c r="G7" s="9">
        <f>IFERROR([1]!EM_S_QSTM07_IS($B$3,"9",G1,"1")/1000000-[1]!EM_S_QSTM07_IS($B$3,"10",G1,"1")/1000000,"")</f>
        <v>160.23475902999996</v>
      </c>
      <c r="H7" s="9">
        <f>IFERROR([1]!EM_S_QSTM07_IS($B$3,"9",H1,"1")/1000000-[1]!EM_S_QSTM07_IS($B$3,"10",H1,"1")/1000000,"")</f>
        <v>261.21541055000012</v>
      </c>
      <c r="I7" s="9">
        <f>IFERROR([1]!EM_S_QSTM07_IS($B$3,"9",I1,"1")/1000000-[1]!EM_S_QSTM07_IS($B$3,"10",I1,"1")/1000000,"")</f>
        <v>98.057385220000072</v>
      </c>
      <c r="J7" s="9">
        <f>IFERROR([1]!EM_S_QSTM07_IS($B$3,"9",J1,"1")/1000000-[1]!EM_S_QSTM07_IS($B$3,"10",J1,"1")/1000000,"")</f>
        <v>75.250260980000007</v>
      </c>
      <c r="K7" s="9">
        <f>IFERROR([1]!EM_S_QSTM07_IS($B$3,"9",K1,"1")/1000000-[1]!EM_S_QSTM07_IS($B$3,"10",K1,"1")/1000000,"")</f>
        <v>242.10151112999995</v>
      </c>
      <c r="L7" s="9">
        <f>IFERROR([1]!EM_S_QSTM07_IS($B$3,"9",L1,"1")/1000000-[1]!EM_S_QSTM07_IS($B$3,"10",L1,"1")/1000000,"")</f>
        <v>220.86207206000006</v>
      </c>
      <c r="M7" s="9">
        <f>IFERROR([1]!EM_S_QSTM07_IS($B$3,"9",M1,"1")/1000000-[1]!EM_S_QSTM07_IS($B$3,"10",M1,"1")/1000000,"")</f>
        <v>274.94369991999974</v>
      </c>
      <c r="N7" s="9">
        <f>IFERROR([1]!EM_S_QSTM07_IS($B$3,"9",N1,"1")/1000000-[1]!EM_S_QSTM07_IS($B$3,"10",N1,"1")/1000000,"")</f>
        <v>360.33217692000017</v>
      </c>
      <c r="O7" s="9">
        <f>IFERROR([1]!EM_S_QSTM07_IS($B$3,"9",O1,"1")/1000000-[1]!EM_S_QSTM07_IS($B$3,"10",O1,"1")/1000000,"")</f>
        <v>94.45705853000004</v>
      </c>
      <c r="P7" s="9">
        <f>IFERROR([1]!EM_S_QSTM07_IS($B$3,"9",P1,"1")/1000000-[1]!EM_S_QSTM07_IS($B$3,"10",P1,"1")/1000000,"")</f>
        <v>85.570710759999997</v>
      </c>
      <c r="Q7" s="9">
        <f>IFERROR([1]!EM_S_QSTM07_IS($B$3,"9",Q1,"1")/1000000-[1]!EM_S_QSTM07_IS($B$3,"10",Q1,"1")/1000000,"")</f>
        <v>285.90132345999996</v>
      </c>
      <c r="R7" s="9">
        <f>IFERROR([1]!EM_S_QSTM07_IS($B$3,"9",R1,"1")/1000000-[1]!EM_S_QSTM07_IS($B$3,"10",R1,"1")/1000000,"")</f>
        <v>170.85301228000003</v>
      </c>
      <c r="S7" s="9">
        <f>IFERROR([1]!EM_S_QSTM07_IS($B$3,"9",S1,"1")/1000000-[1]!EM_S_QSTM07_IS($B$3,"10",S1,"1")/1000000,"")</f>
        <v>219.77774053000007</v>
      </c>
      <c r="T7" s="9">
        <f>IFERROR([1]!EM_S_QSTM07_IS($B$3,"9",T1,"1")/1000000-[1]!EM_S_QSTM07_IS($B$3,"10",T1,"1")/1000000,"")</f>
        <v>627.80823839000004</v>
      </c>
      <c r="U7" s="9">
        <f>IFERROR([1]!EM_S_QSTM07_IS($B$3,"9",U1,"1")/1000000-[1]!EM_S_QSTM07_IS($B$3,"10",U1,"1")/1000000,"")</f>
        <v>145.10924595000006</v>
      </c>
      <c r="V7" s="9">
        <f>IFERROR([1]!EM_S_QSTM07_IS($B$3,"9",V1,"1")/1000000-[1]!EM_S_QSTM07_IS($B$3,"10",V1,"1")/1000000,"")</f>
        <v>185.64951447999999</v>
      </c>
      <c r="W7" s="9">
        <f>IFERROR([1]!EM_S_QSTM07_IS($B$3,"9",W1,"1")/1000000-[1]!EM_S_QSTM07_IS($B$3,"10",W1,"1")/1000000,"")</f>
        <v>305.62758048000001</v>
      </c>
      <c r="X7" s="9">
        <f>IFERROR([1]!EM_S_QSTM07_IS($B$3,"9",X1,"1")/1000000-[1]!EM_S_QSTM07_IS($B$3,"10",X1,"1")/1000000,"")</f>
        <v>183.34251304999998</v>
      </c>
      <c r="Y7" s="9">
        <f>IFERROR([1]!EM_S_QSTM07_IS($B$3,"9",Y1,"1")/1000000-[1]!EM_S_QSTM07_IS($B$3,"10",Y1,"1")/1000000,"")</f>
        <v>275.46453460999987</v>
      </c>
      <c r="Z7" s="18" t="str">
        <f>IFERROR([1]!EM_S_QSTM07_IS($B$3,"9",Z1,"1")/1000000-[1]!EM_S_QSTM07_IS($B$3,"10",Z1,"1")/1000000,"")</f>
        <v/>
      </c>
    </row>
    <row r="8" spans="2:26" s="10" customFormat="1" ht="15" customHeight="1">
      <c r="B8" s="11" t="s">
        <v>75</v>
      </c>
      <c r="C8" s="13">
        <f t="shared" ref="C8:Z8" si="19">IFERROR(C7/C5,"")</f>
        <v>0.22662926031362501</v>
      </c>
      <c r="D8" s="13">
        <f t="shared" si="19"/>
        <v>0.14350616801924398</v>
      </c>
      <c r="E8" s="13">
        <f t="shared" si="19"/>
        <v>0.25993619303013715</v>
      </c>
      <c r="F8" s="13">
        <f t="shared" si="19"/>
        <v>0.21340359430433045</v>
      </c>
      <c r="G8" s="13">
        <f t="shared" si="19"/>
        <v>0.21633471699284043</v>
      </c>
      <c r="H8" s="13">
        <f t="shared" si="19"/>
        <v>0.21273601874217735</v>
      </c>
      <c r="I8" s="13">
        <f t="shared" si="19"/>
        <v>0.20438831530643434</v>
      </c>
      <c r="J8" s="13">
        <f t="shared" si="19"/>
        <v>0.14642550390836648</v>
      </c>
      <c r="K8" s="13">
        <f t="shared" si="19"/>
        <v>0.26481859333993646</v>
      </c>
      <c r="L8" s="13">
        <f t="shared" si="19"/>
        <v>0.20253837465609206</v>
      </c>
      <c r="M8" s="13">
        <f t="shared" si="19"/>
        <v>0.17380567449250722</v>
      </c>
      <c r="N8" s="13">
        <f t="shared" si="19"/>
        <v>0.20180860072594406</v>
      </c>
      <c r="O8" s="13">
        <f t="shared" si="19"/>
        <v>0.19435436549461832</v>
      </c>
      <c r="P8" s="13">
        <f t="shared" si="19"/>
        <v>0.11882191122840452</v>
      </c>
      <c r="Q8" s="13">
        <f t="shared" si="19"/>
        <v>0.32496809617552491</v>
      </c>
      <c r="R8" s="13">
        <f t="shared" si="19"/>
        <v>0.20279571099925273</v>
      </c>
      <c r="S8" s="13">
        <f t="shared" si="19"/>
        <v>0.16900707708602988</v>
      </c>
      <c r="T8" s="13">
        <f t="shared" si="19"/>
        <v>0.36363821427825704</v>
      </c>
      <c r="U8" s="13">
        <f t="shared" si="19"/>
        <v>0.23791169834657311</v>
      </c>
      <c r="V8" s="13">
        <f t="shared" si="19"/>
        <v>0.20274395252468469</v>
      </c>
      <c r="W8" s="13">
        <f t="shared" si="19"/>
        <v>0.30306621789419691</v>
      </c>
      <c r="X8" s="13">
        <f t="shared" si="19"/>
        <v>0.19219575753356627</v>
      </c>
      <c r="Y8" s="13">
        <f t="shared" si="19"/>
        <v>0.17812434210934688</v>
      </c>
      <c r="Z8" s="19" t="str">
        <f t="shared" si="19"/>
        <v/>
      </c>
    </row>
    <row r="9" spans="2:26" s="10" customFormat="1" ht="15" customHeight="1">
      <c r="B9" s="11" t="s">
        <v>23</v>
      </c>
      <c r="C9" s="13"/>
      <c r="D9" s="13">
        <f>IFERROR((D7-C7)/ABS(C7),"")</f>
        <v>-0.2640446895333482</v>
      </c>
      <c r="E9" s="13">
        <f t="shared" ref="E9:Z9" si="20">IFERROR((E7-D7)/ABS(D7),"")</f>
        <v>1.4505526694561246</v>
      </c>
      <c r="F9" s="13">
        <f t="shared" si="20"/>
        <v>-5.848188499074828E-2</v>
      </c>
      <c r="G9" s="13">
        <f t="shared" si="20"/>
        <v>-9.5057555819267558E-2</v>
      </c>
      <c r="H9" s="13">
        <f t="shared" si="20"/>
        <v>0.6302044084023869</v>
      </c>
      <c r="I9" s="13"/>
      <c r="J9" s="13">
        <f t="shared" si="20"/>
        <v>-0.2325895616003868</v>
      </c>
      <c r="K9" s="13">
        <f t="shared" si="20"/>
        <v>2.2172846708710501</v>
      </c>
      <c r="L9" s="13">
        <f t="shared" si="20"/>
        <v>-8.7729477485975135E-2</v>
      </c>
      <c r="M9" s="13">
        <f t="shared" si="20"/>
        <v>0.24486607118902565</v>
      </c>
      <c r="N9" s="13">
        <f t="shared" si="20"/>
        <v>0.31056713438004169</v>
      </c>
      <c r="O9" s="13"/>
      <c r="P9" s="13">
        <f t="shared" si="20"/>
        <v>-9.4078175927717403E-2</v>
      </c>
      <c r="Q9" s="13">
        <f t="shared" si="20"/>
        <v>2.3411119402977363</v>
      </c>
      <c r="R9" s="13">
        <f t="shared" si="20"/>
        <v>-0.40240566146276047</v>
      </c>
      <c r="S9" s="13">
        <f t="shared" si="20"/>
        <v>0.2863556667635479</v>
      </c>
      <c r="T9" s="13">
        <f t="shared" si="20"/>
        <v>1.8565597083490948</v>
      </c>
      <c r="U9" s="13"/>
      <c r="V9" s="13">
        <f t="shared" si="20"/>
        <v>0.27937757008239705</v>
      </c>
      <c r="W9" s="13">
        <f t="shared" si="20"/>
        <v>0.64626113532295415</v>
      </c>
      <c r="X9" s="13">
        <f t="shared" si="20"/>
        <v>-0.40011136180166257</v>
      </c>
      <c r="Y9" s="13">
        <f t="shared" si="20"/>
        <v>0.50245859526795611</v>
      </c>
      <c r="Z9" s="19" t="str">
        <f t="shared" si="20"/>
        <v/>
      </c>
    </row>
    <row r="10" spans="2:26" s="10" customFormat="1" ht="15" customHeight="1">
      <c r="B10" s="8" t="s">
        <v>25</v>
      </c>
      <c r="C10" s="9">
        <f>IFERROR([1]!EM_S_QSTM07_IS($B$3,"48",C1,"1")/1000000,"")</f>
        <v>53.029136080000001</v>
      </c>
      <c r="D10" s="9">
        <f>IFERROR([1]!EM_S_QSTM07_IS($B$3,"48",D1,"1")/1000000,"")</f>
        <v>3.28775941</v>
      </c>
      <c r="E10" s="9">
        <f>IFERROR([1]!EM_S_QSTM07_IS($B$3,"48",E1,"1")/1000000,"")</f>
        <v>72.036628980000003</v>
      </c>
      <c r="F10" s="9">
        <f>IFERROR([1]!EM_S_QSTM07_IS($B$3,"48",F1,"1")/1000000,"")</f>
        <v>55.414811490000005</v>
      </c>
      <c r="G10" s="9">
        <f>IFERROR([1]!EM_S_QSTM07_IS($B$3,"48",G1,"1")/1000000,"")</f>
        <v>32.72135711</v>
      </c>
      <c r="H10" s="9">
        <f>IFERROR([1]!EM_S_QSTM07_IS($B$3,"48",H1,"1")/1000000,"")</f>
        <v>29.279340179999998</v>
      </c>
      <c r="I10" s="9">
        <f>IFERROR([1]!EM_S_QSTM07_IS($B$3,"48",I1,"1")/1000000,"")</f>
        <v>41.344627439999996</v>
      </c>
      <c r="J10" s="9">
        <f>IFERROR([1]!EM_S_QSTM07_IS($B$3,"48",J1,"1")/1000000,"")</f>
        <v>0.95811354000000004</v>
      </c>
      <c r="K10" s="9">
        <f>IFERROR([1]!EM_S_QSTM07_IS($B$3,"48",K1,"1")/1000000,"")</f>
        <v>119.21140538</v>
      </c>
      <c r="L10" s="9">
        <f>IFERROR([1]!EM_S_QSTM07_IS($B$3,"48",L1,"1")/1000000,"")</f>
        <v>75.948596599999988</v>
      </c>
      <c r="M10" s="9">
        <f>IFERROR([1]!EM_S_QSTM07_IS($B$3,"48",M1,"1")/1000000,"")</f>
        <v>33.582703520000003</v>
      </c>
      <c r="N10" s="9">
        <f>IFERROR([1]!EM_S_QSTM07_IS($B$3,"48",N1,"1")/1000000,"")</f>
        <v>126.42283965</v>
      </c>
      <c r="O10" s="9">
        <f>IFERROR([1]!EM_S_QSTM07_IS($B$3,"48",O1,"1")/1000000,"")</f>
        <v>40.021305599999998</v>
      </c>
      <c r="P10" s="9">
        <f>IFERROR([1]!EM_S_QSTM07_IS($B$3,"48",P1,"1")/1000000,"")</f>
        <v>-31.145001799999999</v>
      </c>
      <c r="Q10" s="9">
        <f>IFERROR([1]!EM_S_QSTM07_IS($B$3,"48",Q1,"1")/1000000,"")</f>
        <v>99.978067569999993</v>
      </c>
      <c r="R10" s="9">
        <f>IFERROR([1]!EM_S_QSTM07_IS($B$3,"48",R1,"1")/1000000,"")</f>
        <v>-51.220141069999997</v>
      </c>
      <c r="S10" s="9">
        <f>IFERROR([1]!EM_S_QSTM07_IS($B$3,"48",S1,"1")/1000000,"")</f>
        <v>16.335917269999999</v>
      </c>
      <c r="T10" s="9">
        <f>IFERROR([1]!EM_S_QSTM07_IS($B$3,"48",T1,"1")/1000000,"")</f>
        <v>315.86757986999999</v>
      </c>
      <c r="U10" s="9">
        <f>IFERROR([1]!EM_S_QSTM07_IS($B$3,"48",U1,"1")/1000000,"")</f>
        <v>69.634316720000001</v>
      </c>
      <c r="V10" s="9">
        <f>IFERROR([1]!EM_S_QSTM07_IS($B$3,"48",V1,"1")/1000000,"")</f>
        <v>78.327432439999995</v>
      </c>
      <c r="W10" s="9">
        <f>IFERROR([1]!EM_S_QSTM07_IS($B$3,"48",W1,"1")/1000000,"")</f>
        <v>83.944396739999988</v>
      </c>
      <c r="X10" s="9">
        <f>IFERROR([1]!EM_S_QSTM07_IS($B$3,"48",X1,"1")/1000000,"")</f>
        <v>65.198455640000006</v>
      </c>
      <c r="Y10" s="9">
        <f>IFERROR([1]!EM_S_QSTM07_IS($B$3,"48",Y1,"1")/1000000,"")</f>
        <v>52.981699659999997</v>
      </c>
      <c r="Z10" s="18" t="str">
        <f>IFERROR([1]!EM_S_QSTM07_IS($B$3,"48",Z1,"1")/1000000,"")</f>
        <v/>
      </c>
    </row>
    <row r="11" spans="2:26" s="10" customFormat="1" ht="15" customHeight="1">
      <c r="B11" s="11" t="s">
        <v>26</v>
      </c>
      <c r="C11" s="14">
        <f t="shared" ref="C11:Z11" si="21">IFERROR(C10/C5,"")</f>
        <v>0.11524946680315699</v>
      </c>
      <c r="D11" s="14">
        <f t="shared" si="21"/>
        <v>6.1479106270056465E-3</v>
      </c>
      <c r="E11" s="14">
        <f t="shared" si="21"/>
        <v>9.9566454510796695E-2</v>
      </c>
      <c r="F11" s="14">
        <f t="shared" si="21"/>
        <v>6.6786981677559712E-2</v>
      </c>
      <c r="G11" s="14">
        <f t="shared" si="21"/>
        <v>4.417746544423732E-2</v>
      </c>
      <c r="H11" s="14">
        <f t="shared" si="21"/>
        <v>2.3845339936782926E-2</v>
      </c>
      <c r="I11" s="14">
        <f t="shared" si="21"/>
        <v>8.6177687998458027E-2</v>
      </c>
      <c r="J11" s="14">
        <f t="shared" si="21"/>
        <v>1.8643424762768025E-3</v>
      </c>
      <c r="K11" s="14">
        <f t="shared" si="21"/>
        <v>0.13039735495850285</v>
      </c>
      <c r="L11" s="14">
        <f t="shared" si="21"/>
        <v>6.964756406249932E-2</v>
      </c>
      <c r="M11" s="14">
        <f t="shared" si="21"/>
        <v>2.1229307812013324E-2</v>
      </c>
      <c r="N11" s="14">
        <f t="shared" si="21"/>
        <v>7.0804712994674543E-2</v>
      </c>
      <c r="O11" s="14">
        <f t="shared" si="21"/>
        <v>8.2347635816795856E-2</v>
      </c>
      <c r="P11" s="14">
        <f t="shared" si="21"/>
        <v>-4.3247375255155575E-2</v>
      </c>
      <c r="Q11" s="14">
        <f t="shared" si="21"/>
        <v>0.11363949590837229</v>
      </c>
      <c r="R11" s="14">
        <f t="shared" si="21"/>
        <v>-6.0796264503371583E-2</v>
      </c>
      <c r="S11" s="14">
        <f t="shared" si="21"/>
        <v>1.2562171322099977E-2</v>
      </c>
      <c r="T11" s="14">
        <f t="shared" si="21"/>
        <v>0.18295638009925019</v>
      </c>
      <c r="U11" s="14">
        <f t="shared" si="21"/>
        <v>0.11416790464038909</v>
      </c>
      <c r="V11" s="14">
        <f t="shared" si="21"/>
        <v>8.553975101134241E-2</v>
      </c>
      <c r="W11" s="14">
        <f t="shared" si="21"/>
        <v>8.3240886812132986E-2</v>
      </c>
      <c r="X11" s="14">
        <f t="shared" si="21"/>
        <v>6.8346759097444476E-2</v>
      </c>
      <c r="Y11" s="14">
        <f t="shared" si="21"/>
        <v>3.4259693027756881E-2</v>
      </c>
      <c r="Z11" s="20" t="str">
        <f t="shared" si="21"/>
        <v/>
      </c>
    </row>
    <row r="12" spans="2:26" s="10" customFormat="1" ht="15" customHeight="1">
      <c r="B12" s="8" t="s">
        <v>27</v>
      </c>
      <c r="C12" s="9">
        <f>IFERROR([1]!EM_S_QSTM07_IS($B$3,"60",C1,"1")/1000000,"")</f>
        <v>44.98129763</v>
      </c>
      <c r="D12" s="9">
        <f>IFERROR([1]!EM_S_QSTM07_IS($B$3,"60",D1,"1")/1000000,"")</f>
        <v>119.32343384000001</v>
      </c>
      <c r="E12" s="9">
        <f>IFERROR([1]!EM_S_QSTM07_IS($B$3,"60",E1,"1")/1000000,"")</f>
        <v>61.442211819999997</v>
      </c>
      <c r="F12" s="9">
        <f>IFERROR([1]!EM_S_QSTM07_IS($B$3,"60",F1,"1")/1000000,"")</f>
        <v>53.381002369999997</v>
      </c>
      <c r="G12" s="9">
        <f>IFERROR([1]!EM_S_QSTM07_IS($B$3,"60",G1,"1")/1000000,"")</f>
        <v>34.306807030000002</v>
      </c>
      <c r="H12" s="9">
        <f>IFERROR([1]!EM_S_QSTM07_IS($B$3,"60",H1,"1")/1000000,"")</f>
        <v>32.977927610000002</v>
      </c>
      <c r="I12" s="9">
        <f>IFERROR([1]!EM_S_QSTM07_IS($B$3,"60",I1,"1")/1000000,"")</f>
        <v>35.794647070000003</v>
      </c>
      <c r="J12" s="9">
        <f>IFERROR([1]!EM_S_QSTM07_IS($B$3,"60",J1,"1")/1000000,"")</f>
        <v>2.5863533100000002</v>
      </c>
      <c r="K12" s="9">
        <f>IFERROR([1]!EM_S_QSTM07_IS($B$3,"60",K1,"1")/1000000,"")</f>
        <v>104.71223451</v>
      </c>
      <c r="L12" s="9">
        <f>IFERROR([1]!EM_S_QSTM07_IS($B$3,"60",L1,"1")/1000000,"")</f>
        <v>64.536148940000004</v>
      </c>
      <c r="M12" s="9">
        <f>IFERROR([1]!EM_S_QSTM07_IS($B$3,"60",M1,"1")/1000000,"")</f>
        <v>59.206309020000006</v>
      </c>
      <c r="N12" s="9">
        <f>IFERROR([1]!EM_S_QSTM07_IS($B$3,"60",N1,"1")/1000000,"")</f>
        <v>118.90270008</v>
      </c>
      <c r="O12" s="9">
        <f>IFERROR([1]!EM_S_QSTM07_IS($B$3,"60",O1,"1")/1000000,"")</f>
        <v>39.61687586</v>
      </c>
      <c r="P12" s="9">
        <f>IFERROR([1]!EM_S_QSTM07_IS($B$3,"60",P1,"1")/1000000,"")</f>
        <v>-6.7723878499999994</v>
      </c>
      <c r="Q12" s="9">
        <f>IFERROR([1]!EM_S_QSTM07_IS($B$3,"60",Q1,"1")/1000000,"")</f>
        <v>143.46654083000001</v>
      </c>
      <c r="R12" s="9">
        <f>IFERROR([1]!EM_S_QSTM07_IS($B$3,"60",R1,"1")/1000000,"")</f>
        <v>50.035429619999995</v>
      </c>
      <c r="S12" s="9">
        <f>IFERROR([1]!EM_S_QSTM07_IS($B$3,"60",S1,"1")/1000000,"")</f>
        <v>23.81929031</v>
      </c>
      <c r="T12" s="9">
        <f>IFERROR([1]!EM_S_QSTM07_IS($B$3,"60",T1,"1")/1000000,"")</f>
        <v>280.26737791000005</v>
      </c>
      <c r="U12" s="9">
        <f>IFERROR([1]!EM_S_QSTM07_IS($B$3,"60",U1,"1")/1000000,"")</f>
        <v>87.843426239999999</v>
      </c>
      <c r="V12" s="9">
        <f>IFERROR([1]!EM_S_QSTM07_IS($B$3,"60",V1,"1")/1000000,"")</f>
        <v>82.192751319999999</v>
      </c>
      <c r="W12" s="9">
        <f>IFERROR([1]!EM_S_QSTM07_IS($B$3,"60",W1,"1")/1000000,"")</f>
        <v>77.51743454999999</v>
      </c>
      <c r="X12" s="9">
        <f>IFERROR([1]!EM_S_QSTM07_IS($B$3,"60",X1,"1")/1000000,"")</f>
        <v>53.106068090000001</v>
      </c>
      <c r="Y12" s="9">
        <f>IFERROR([1]!EM_S_QSTM07_IS($B$3,"60",Y1,"1")/1000000,"")</f>
        <v>54.000171200000004</v>
      </c>
      <c r="Z12" s="18" t="str">
        <f>IFERROR([1]!EM_S_QSTM07_IS($B$3,"60",Z1,"1")/1000000,"")</f>
        <v/>
      </c>
    </row>
    <row r="13" spans="2:26" s="10" customFormat="1" ht="15" customHeight="1">
      <c r="B13" s="11" t="s">
        <v>28</v>
      </c>
      <c r="C13" s="14">
        <f t="shared" ref="C13:Z13" si="22">IFERROR(C12/C5,"")</f>
        <v>9.7758910500651885E-2</v>
      </c>
      <c r="D13" s="14">
        <f t="shared" si="22"/>
        <v>0.22312758187976447</v>
      </c>
      <c r="E13" s="14">
        <f t="shared" si="22"/>
        <v>8.4923229679684603E-2</v>
      </c>
      <c r="F13" s="14">
        <f t="shared" si="22"/>
        <v>6.4335796357591485E-2</v>
      </c>
      <c r="G13" s="14">
        <f t="shared" si="22"/>
        <v>4.6317998882960849E-2</v>
      </c>
      <c r="H13" s="14">
        <f t="shared" si="22"/>
        <v>2.6857500525514555E-2</v>
      </c>
      <c r="I13" s="14">
        <f t="shared" si="22"/>
        <v>7.4609450325557949E-2</v>
      </c>
      <c r="J13" s="14">
        <f t="shared" si="22"/>
        <v>5.0326481499177065E-3</v>
      </c>
      <c r="K13" s="14">
        <f t="shared" si="22"/>
        <v>0.11453768511808196</v>
      </c>
      <c r="L13" s="14">
        <f t="shared" si="22"/>
        <v>5.9181943694344041E-2</v>
      </c>
      <c r="M13" s="14">
        <f t="shared" si="22"/>
        <v>3.7427271388386446E-2</v>
      </c>
      <c r="N13" s="14">
        <f t="shared" si="22"/>
        <v>6.6592963555982473E-2</v>
      </c>
      <c r="O13" s="14">
        <f t="shared" si="22"/>
        <v>8.1515483230974142E-2</v>
      </c>
      <c r="P13" s="14">
        <f t="shared" si="22"/>
        <v>-9.4040129007925202E-3</v>
      </c>
      <c r="Q13" s="14">
        <f t="shared" si="22"/>
        <v>0.16307041910191136</v>
      </c>
      <c r="R13" s="14">
        <f t="shared" si="22"/>
        <v>5.9390059265163851E-2</v>
      </c>
      <c r="S13" s="14">
        <f t="shared" si="22"/>
        <v>1.8316816907157113E-2</v>
      </c>
      <c r="T13" s="14">
        <f t="shared" si="22"/>
        <v>0.16233608065577942</v>
      </c>
      <c r="U13" s="14">
        <f t="shared" si="22"/>
        <v>0.14402237837099255</v>
      </c>
      <c r="V13" s="14">
        <f t="shared" si="22"/>
        <v>8.9760984929968757E-2</v>
      </c>
      <c r="W13" s="14">
        <f t="shared" si="22"/>
        <v>7.6867786843821173E-2</v>
      </c>
      <c r="X13" s="14">
        <f t="shared" si="22"/>
        <v>5.5670454257399533E-2</v>
      </c>
      <c r="Y13" s="14">
        <f t="shared" si="22"/>
        <v>3.4918269905090435E-2</v>
      </c>
      <c r="Z13" s="20" t="str">
        <f t="shared" si="22"/>
        <v/>
      </c>
    </row>
    <row r="14" spans="2:26" s="10" customFormat="1" ht="15" customHeight="1">
      <c r="B14" s="8" t="s">
        <v>31</v>
      </c>
      <c r="C14" s="9">
        <f>IFERROR([1]!EM_S_QSTM07_IS($B$3,"61",C1,"1")/1000000,"")</f>
        <v>44.98129763</v>
      </c>
      <c r="D14" s="9">
        <f>IFERROR([1]!EM_S_QSTM07_IS($B$3,"61",D1,"1")/1000000,"")</f>
        <v>119.32343384000001</v>
      </c>
      <c r="E14" s="9">
        <f>IFERROR([1]!EM_S_QSTM07_IS($B$3,"61",E1,"1")/1000000,"")</f>
        <v>61.442211819999997</v>
      </c>
      <c r="F14" s="9">
        <f>IFERROR([1]!EM_S_QSTM07_IS($B$3,"61",F1,"1")/1000000,"")</f>
        <v>53.381002369999997</v>
      </c>
      <c r="G14" s="9">
        <f>IFERROR([1]!EM_S_QSTM07_IS($B$3,"61",G1,"1")/1000000,"")</f>
        <v>34.306807030000002</v>
      </c>
      <c r="H14" s="9">
        <f>IFERROR([1]!EM_S_QSTM07_IS($B$3,"61",H1,"1")/1000000,"")</f>
        <v>32.977927610000002</v>
      </c>
      <c r="I14" s="9">
        <f>IFERROR([1]!EM_S_QSTM07_IS($B$3,"61",I1,"1")/1000000,"")</f>
        <v>35.794647070000003</v>
      </c>
      <c r="J14" s="9">
        <f>IFERROR([1]!EM_S_QSTM07_IS($B$3,"61",J1,"1")/1000000,"")</f>
        <v>2.5863533100000002</v>
      </c>
      <c r="K14" s="9">
        <f>IFERROR([1]!EM_S_QSTM07_IS($B$3,"61",K1,"1")/1000000,"")</f>
        <v>104.71223451</v>
      </c>
      <c r="L14" s="9">
        <f>IFERROR([1]!EM_S_QSTM07_IS($B$3,"61",L1,"1")/1000000,"")</f>
        <v>64.536148940000004</v>
      </c>
      <c r="M14" s="9">
        <f>IFERROR([1]!EM_S_QSTM07_IS($B$3,"61",M1,"1")/1000000,"")</f>
        <v>59.206309020000006</v>
      </c>
      <c r="N14" s="9">
        <f>IFERROR([1]!EM_S_QSTM07_IS($B$3,"61",N1,"1")/1000000,"")</f>
        <v>118.90270008</v>
      </c>
      <c r="O14" s="9">
        <f>IFERROR([1]!EM_S_QSTM07_IS($B$3,"61",O1,"1")/1000000,"")</f>
        <v>39.61687586</v>
      </c>
      <c r="P14" s="9">
        <f>IFERROR([1]!EM_S_QSTM07_IS($B$3,"61",P1,"1")/1000000,"")</f>
        <v>-6.7723878499999994</v>
      </c>
      <c r="Q14" s="9">
        <f>IFERROR([1]!EM_S_QSTM07_IS($B$3,"61",Q1,"1")/1000000,"")</f>
        <v>143.46654083000001</v>
      </c>
      <c r="R14" s="9">
        <f>IFERROR([1]!EM_S_QSTM07_IS($B$3,"61",R1,"1")/1000000,"")</f>
        <v>50.035429619999995</v>
      </c>
      <c r="S14" s="9">
        <f>IFERROR([1]!EM_S_QSTM07_IS($B$3,"61",S1,"1")/1000000,"")</f>
        <v>23.81929031</v>
      </c>
      <c r="T14" s="9">
        <f>IFERROR([1]!EM_S_QSTM07_IS($B$3,"61",T1,"1")/1000000,"")</f>
        <v>280.26737791000005</v>
      </c>
      <c r="U14" s="9">
        <f>IFERROR([1]!EM_S_QSTM07_IS($B$3,"61",U1,"1")/1000000,"")</f>
        <v>87.843426239999999</v>
      </c>
      <c r="V14" s="9">
        <f>IFERROR([1]!EM_S_QSTM07_IS($B$3,"61",V1,"1")/1000000,"")</f>
        <v>82.192751319999999</v>
      </c>
      <c r="W14" s="9">
        <f>IFERROR([1]!EM_S_QSTM07_IS($B$3,"61",W1,"1")/1000000,"")</f>
        <v>77.51743454999999</v>
      </c>
      <c r="X14" s="9">
        <f>IFERROR([1]!EM_S_QSTM07_IS($B$3,"61",X1,"1")/1000000,"")</f>
        <v>53.106068090000001</v>
      </c>
      <c r="Y14" s="9">
        <f>IFERROR([1]!EM_S_QSTM07_IS($B$3,"61",Y1,"1")/1000000,"")</f>
        <v>54.000171200000004</v>
      </c>
      <c r="Z14" s="18" t="str">
        <f>IFERROR([1]!EM_S_QSTM07_IS($B$3,"61",Z1,"1")/1000000,"")</f>
        <v/>
      </c>
    </row>
    <row r="15" spans="2:26" s="10" customFormat="1" ht="15" customHeight="1">
      <c r="B15" s="11" t="s">
        <v>23</v>
      </c>
      <c r="C15" s="14"/>
      <c r="D15" s="13">
        <f>IFERROR((D14-C14)/ABS(C14),"")</f>
        <v>1.6527343613230485</v>
      </c>
      <c r="E15" s="13">
        <f>IFERROR((E14-D14)/ABS(D14),"")</f>
        <v>-0.48507841383120565</v>
      </c>
      <c r="F15" s="13">
        <f>IFERROR((F14-E14)/ABS(E14),"")</f>
        <v>-0.13119985773975673</v>
      </c>
      <c r="G15" s="13">
        <f>IFERROR((G14-F14)/ABS(F14),"")</f>
        <v>-0.35732179039634615</v>
      </c>
      <c r="H15" s="13">
        <f>IFERROR((H14-G14)/ABS(G14),"")</f>
        <v>-3.8735153021904521E-2</v>
      </c>
      <c r="I15" s="13"/>
      <c r="J15" s="13">
        <f>IFERROR((J14-I14)/ABS(I14),"")</f>
        <v>-0.92774469029008366</v>
      </c>
      <c r="K15" s="13">
        <f>IFERROR((K14-J14)/ABS(J14),"")</f>
        <v>39.486438610353659</v>
      </c>
      <c r="L15" s="13">
        <f>IFERROR((L14-K14)/ABS(K14),"")</f>
        <v>-0.38368091138541399</v>
      </c>
      <c r="M15" s="13">
        <f>IFERROR((M14-L14)/ABS(L14),"")</f>
        <v>-8.2586891339847548E-2</v>
      </c>
      <c r="N15" s="13">
        <f>IFERROR((N14-M14)/ABS(M14),"")</f>
        <v>1.0082775306907654</v>
      </c>
      <c r="O15" s="13"/>
      <c r="P15" s="13">
        <f>IFERROR((P14-O14)/ABS(O14),"")</f>
        <v>-1.170947044737515</v>
      </c>
      <c r="Q15" s="13">
        <f>IFERROR((Q14-P14)/ABS(P14),"")</f>
        <v>22.184040844618789</v>
      </c>
      <c r="R15" s="13">
        <f>IFERROR((R14-Q14)/ABS(Q14),"")</f>
        <v>-0.6512397292739549</v>
      </c>
      <c r="S15" s="13">
        <f>IFERROR((S14-R14)/ABS(R14),"")</f>
        <v>-0.52395151813628016</v>
      </c>
      <c r="T15" s="13">
        <f>IFERROR((T14-S14)/ABS(S14),"")</f>
        <v>10.766403375684792</v>
      </c>
      <c r="U15" s="13"/>
      <c r="V15" s="13">
        <f>IFERROR((V14-U14)/ABS(U14),"")</f>
        <v>-6.4326668048689264E-2</v>
      </c>
      <c r="W15" s="13">
        <f>IFERROR((W14-V14)/ABS(V14),"")</f>
        <v>-5.6882349050437035E-2</v>
      </c>
      <c r="X15" s="13">
        <f>IFERROR((X14-W14)/ABS(W14),"")</f>
        <v>-0.31491452989526203</v>
      </c>
      <c r="Y15" s="13">
        <f>IFERROR((Y14-X14)/ABS(X14),"")</f>
        <v>1.6836176018242346E-2</v>
      </c>
      <c r="Z15" s="19" t="str">
        <f>IFERROR((Z14-Y14)/ABS(Y14),"")</f>
        <v/>
      </c>
    </row>
    <row r="16" spans="2:26" s="10" customFormat="1" ht="15" customHeight="1">
      <c r="B16" s="8" t="s">
        <v>29</v>
      </c>
      <c r="C16" s="9" t="str">
        <f>IFERROR([1]!EM_S_QFA_DEDUCTEDPROFIT($B$3,C1)/1000000,"")</f>
        <v/>
      </c>
      <c r="D16" s="9">
        <f>IFERROR([1]!EM_S_QFA_DEDUCTEDPROFIT($B$3,D1)/1000000,"")</f>
        <v>0.606227760000005</v>
      </c>
      <c r="E16" s="9">
        <f>IFERROR([1]!EM_S_QFA_DEDUCTEDPROFIT($B$3,E1)/1000000,"")</f>
        <v>61.112785799999997</v>
      </c>
      <c r="F16" s="9">
        <f>IFERROR([1]!EM_S_QFA_DEDUCTEDPROFIT($B$3,F1)/1000000,"")</f>
        <v>44.543854799999998</v>
      </c>
      <c r="G16" s="9">
        <f>IFERROR([1]!EM_S_QFA_DEDUCTEDPROFIT($B$3,G1)/1000000,"")</f>
        <v>27.71325444</v>
      </c>
      <c r="H16" s="9">
        <f>IFERROR([1]!EM_S_QFA_DEDUCTEDPROFIT($B$3,H1)/1000000,"")</f>
        <v>25.792410920000002</v>
      </c>
      <c r="I16" s="9" t="str">
        <f>IFERROR([1]!EM_S_QFA_DEDUCTEDPROFIT($B$3,I1)/1000000,"")</f>
        <v/>
      </c>
      <c r="J16" s="9">
        <f>IFERROR([1]!EM_S_QFA_DEDUCTEDPROFIT($B$3,J1)/1000000,"")</f>
        <v>2.39767298999999</v>
      </c>
      <c r="K16" s="9">
        <f>IFERROR([1]!EM_S_QFA_DEDUCTEDPROFIT($B$3,K1)/1000000,"")</f>
        <v>97.704049150000003</v>
      </c>
      <c r="L16" s="9">
        <f>IFERROR([1]!EM_S_QFA_DEDUCTEDPROFIT($B$3,L1)/1000000,"")</f>
        <v>65.423931629999998</v>
      </c>
      <c r="M16" s="9">
        <f>IFERROR([1]!EM_S_QFA_DEDUCTEDPROFIT($B$3,M1)/1000000,"")</f>
        <v>34.715620869999995</v>
      </c>
      <c r="N16" s="9">
        <f>IFERROR([1]!EM_S_QFA_DEDUCTEDPROFIT($B$3,N1)/1000000,"")</f>
        <v>98.995096560000007</v>
      </c>
      <c r="O16" s="9">
        <f>IFERROR([1]!EM_S_QFA_DEDUCTEDPROFIT($B$3,O1)/1000000,"")</f>
        <v>34.438296719999997</v>
      </c>
      <c r="P16" s="9">
        <f>IFERROR([1]!EM_S_QFA_DEDUCTEDPROFIT($B$3,P1)/1000000,"")</f>
        <v>-33.224702559999997</v>
      </c>
      <c r="Q16" s="9">
        <f>IFERROR([1]!EM_S_QFA_DEDUCTEDPROFIT($B$3,Q1)/1000000,"")</f>
        <v>81.541091989999998</v>
      </c>
      <c r="R16" s="9">
        <f>IFERROR([1]!EM_S_QFA_DEDUCTEDPROFIT($B$3,R1)/1000000,"")</f>
        <v>37.712904350000002</v>
      </c>
      <c r="S16" s="9">
        <f>IFERROR([1]!EM_S_QFA_DEDUCTEDPROFIT($B$3,S1)/1000000,"")</f>
        <v>8.6649769799999898</v>
      </c>
      <c r="T16" s="9">
        <f>IFERROR([1]!EM_S_QFA_DEDUCTEDPROFIT($B$3,T1)/1000000,"")</f>
        <v>248.8274638</v>
      </c>
      <c r="U16" s="9">
        <f>IFERROR([1]!EM_S_QFA_DEDUCTEDPROFIT($B$3,U1)/1000000,"")</f>
        <v>64.186121850000006</v>
      </c>
      <c r="V16" s="9">
        <f>IFERROR([1]!EM_S_QFA_DEDUCTEDPROFIT($B$3,V1)/1000000,"")</f>
        <v>75.853986980000002</v>
      </c>
      <c r="W16" s="9">
        <f>IFERROR([1]!EM_S_QFA_DEDUCTEDPROFIT($B$3,W1)/1000000,"")</f>
        <v>78.036762180000011</v>
      </c>
      <c r="X16" s="9">
        <f>IFERROR([1]!EM_S_QFA_DEDUCTEDPROFIT($B$3,X1)/1000000,"")</f>
        <v>43.500111189999998</v>
      </c>
      <c r="Y16" s="9">
        <f>IFERROR([1]!EM_S_QFA_DEDUCTEDPROFIT($B$3,Y1)/1000000,"")</f>
        <v>32.092203959999999</v>
      </c>
      <c r="Z16" s="18" t="str">
        <f>IFERROR([1]!EM_S_QFA_DEDUCTEDPROFIT($B$3,Z1)/1000000,"")</f>
        <v/>
      </c>
    </row>
    <row r="17" spans="2:26" s="10" customFormat="1" ht="15" customHeight="1">
      <c r="B17" s="15" t="s">
        <v>23</v>
      </c>
      <c r="C17" s="16"/>
      <c r="D17" s="17" t="str">
        <f>IFERROR((D16-C16)/ABS(C16),"")</f>
        <v/>
      </c>
      <c r="E17" s="17">
        <f t="shared" ref="E17:Z17" si="23">IFERROR((E16-D16)/ABS(D16),"")</f>
        <v>99.808293239490538</v>
      </c>
      <c r="F17" s="17">
        <f>IFERROR((F16-E16)/ABS(E16),"")</f>
        <v>-0.27112053203112202</v>
      </c>
      <c r="G17" s="17">
        <f t="shared" si="23"/>
        <v>-0.37784337335797885</v>
      </c>
      <c r="H17" s="17">
        <f t="shared" si="23"/>
        <v>-6.9311365944359951E-2</v>
      </c>
      <c r="I17" s="17"/>
      <c r="J17" s="17" t="str">
        <f t="shared" si="23"/>
        <v/>
      </c>
      <c r="K17" s="17">
        <f t="shared" si="23"/>
        <v>39.74953071477875</v>
      </c>
      <c r="L17" s="17">
        <f t="shared" si="23"/>
        <v>-0.33038669124594827</v>
      </c>
      <c r="M17" s="17">
        <f t="shared" si="23"/>
        <v>-0.46937427933356995</v>
      </c>
      <c r="N17" s="17">
        <f t="shared" si="23"/>
        <v>1.8516009242844349</v>
      </c>
      <c r="O17" s="17"/>
      <c r="P17" s="17">
        <f t="shared" si="23"/>
        <v>-1.9647603315034101</v>
      </c>
      <c r="Q17" s="17">
        <f t="shared" si="23"/>
        <v>3.4542309097499415</v>
      </c>
      <c r="R17" s="17">
        <f t="shared" si="23"/>
        <v>-0.53749816896461211</v>
      </c>
      <c r="S17" s="17">
        <f t="shared" si="23"/>
        <v>-0.77023840700298674</v>
      </c>
      <c r="T17" s="17">
        <f t="shared" si="23"/>
        <v>27.716459879158307</v>
      </c>
      <c r="U17" s="17"/>
      <c r="V17" s="17">
        <f t="shared" si="23"/>
        <v>0.18178174336918587</v>
      </c>
      <c r="W17" s="17">
        <f t="shared" si="23"/>
        <v>2.8776011478151162E-2</v>
      </c>
      <c r="X17" s="17">
        <f t="shared" si="23"/>
        <v>-0.44256898960438146</v>
      </c>
      <c r="Y17" s="17">
        <f t="shared" si="23"/>
        <v>-0.26225007058424488</v>
      </c>
      <c r="Z17" s="21" t="str">
        <f t="shared" si="23"/>
        <v/>
      </c>
    </row>
  </sheetData>
  <mergeCells count="4">
    <mergeCell ref="C3:H3"/>
    <mergeCell ref="I3:N3"/>
    <mergeCell ref="O3:T3"/>
    <mergeCell ref="U3:Z3"/>
  </mergeCells>
  <phoneticPr fontId="6" type="noConversion"/>
  <pageMargins left="0.7" right="0.7" top="0.75" bottom="0.75" header="0.3" footer="0.3"/>
  <ignoredErrors>
    <ignoredError sqref="D16:Z16"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51"/>
  <sheetViews>
    <sheetView showGridLines="0" workbookViewId="0">
      <pane xSplit="2" ySplit="2" topLeftCell="C48" activePane="bottomRight" state="frozen"/>
      <selection pane="topRight" activeCell="C1" sqref="C1"/>
      <selection pane="bottomLeft" activeCell="A3" sqref="A3"/>
      <selection pane="bottomRight" activeCell="A20" sqref="A20"/>
    </sheetView>
  </sheetViews>
  <sheetFormatPr defaultColWidth="9.140625" defaultRowHeight="12.75"/>
  <cols>
    <col min="1" max="1" width="9.140625" style="1"/>
    <col min="2" max="2" width="17.85546875" style="1" bestFit="1" customWidth="1"/>
    <col min="3" max="3" width="9.42578125" style="1" customWidth="1"/>
    <col min="4" max="16384" width="9.140625" style="1"/>
  </cols>
  <sheetData>
    <row r="1" spans="2:26" s="10" customFormat="1" ht="15" customHeight="1">
      <c r="C1" s="23">
        <f>DATE(C3,3,31)</f>
        <v>40633</v>
      </c>
      <c r="D1" s="23">
        <f>DATE(D3,6,30)</f>
        <v>40724</v>
      </c>
      <c r="E1" s="23">
        <f>DATE(E3,9,30)</f>
        <v>40816</v>
      </c>
      <c r="F1" s="23">
        <f>DATE(F3,12,31)</f>
        <v>40908</v>
      </c>
      <c r="G1" s="23">
        <f>DATE(G3,3,31)</f>
        <v>40999</v>
      </c>
      <c r="H1" s="23">
        <f>DATE(H3,6,30)</f>
        <v>41090</v>
      </c>
      <c r="I1" s="23">
        <f>DATE(I3,9,30)</f>
        <v>41182</v>
      </c>
      <c r="J1" s="23">
        <f>DATE(J3,12,31)</f>
        <v>41274</v>
      </c>
      <c r="K1" s="23">
        <f>DATE(K3,3,31)</f>
        <v>41364</v>
      </c>
      <c r="L1" s="23">
        <f>DATE(L3,6,30)</f>
        <v>41455</v>
      </c>
      <c r="M1" s="23">
        <f>DATE(M3,9,30)</f>
        <v>41547</v>
      </c>
      <c r="N1" s="23">
        <f>DATE(N3,12,31)</f>
        <v>41639</v>
      </c>
      <c r="O1" s="23">
        <f>DATE(O3,3,31)</f>
        <v>41729</v>
      </c>
      <c r="P1" s="23">
        <f>DATE(P3,6,30)</f>
        <v>41820</v>
      </c>
      <c r="Q1" s="23">
        <f>DATE(Q3,9,30)</f>
        <v>41912</v>
      </c>
      <c r="R1" s="23">
        <f>DATE(R3,12,31)</f>
        <v>42004</v>
      </c>
      <c r="S1" s="23">
        <f>DATE(S3,3,31)</f>
        <v>42094</v>
      </c>
      <c r="T1" s="23">
        <f>DATE(T3,6,30)</f>
        <v>42185</v>
      </c>
      <c r="U1" s="23">
        <f>DATE(U3,9,30)</f>
        <v>42277</v>
      </c>
      <c r="V1" s="23">
        <f>DATE(V3,12,31)</f>
        <v>42369</v>
      </c>
      <c r="W1" s="23">
        <f>DATE(W3,3,31)</f>
        <v>42460</v>
      </c>
      <c r="X1" s="23">
        <f>DATE(X3,6,30)</f>
        <v>42551</v>
      </c>
      <c r="Y1" s="23">
        <f>DATE(Y3,9,30)</f>
        <v>42643</v>
      </c>
      <c r="Z1" s="23">
        <f>DATE(Z3,12,31)</f>
        <v>42735</v>
      </c>
    </row>
    <row r="2" spans="2:26" s="10" customFormat="1" ht="15" customHeight="1">
      <c r="C2" s="22" t="s">
        <v>39</v>
      </c>
      <c r="D2" s="22" t="s">
        <v>40</v>
      </c>
      <c r="E2" s="22" t="s">
        <v>41</v>
      </c>
      <c r="F2" s="22" t="s">
        <v>42</v>
      </c>
      <c r="G2" s="22" t="s">
        <v>39</v>
      </c>
      <c r="H2" s="22" t="s">
        <v>40</v>
      </c>
      <c r="I2" s="22" t="s">
        <v>41</v>
      </c>
      <c r="J2" s="22" t="s">
        <v>42</v>
      </c>
      <c r="K2" s="22" t="s">
        <v>39</v>
      </c>
      <c r="L2" s="22" t="s">
        <v>40</v>
      </c>
      <c r="M2" s="22" t="s">
        <v>41</v>
      </c>
      <c r="N2" s="22" t="s">
        <v>42</v>
      </c>
      <c r="O2" s="22" t="s">
        <v>39</v>
      </c>
      <c r="P2" s="22" t="s">
        <v>40</v>
      </c>
      <c r="Q2" s="22" t="s">
        <v>41</v>
      </c>
      <c r="R2" s="22" t="s">
        <v>42</v>
      </c>
      <c r="S2" s="22" t="s">
        <v>39</v>
      </c>
      <c r="T2" s="22" t="s">
        <v>40</v>
      </c>
      <c r="U2" s="22" t="s">
        <v>41</v>
      </c>
      <c r="V2" s="22" t="s">
        <v>42</v>
      </c>
      <c r="W2" s="22" t="s">
        <v>39</v>
      </c>
      <c r="X2" s="22" t="s">
        <v>40</v>
      </c>
      <c r="Y2" s="22" t="s">
        <v>41</v>
      </c>
      <c r="Z2" s="22" t="s">
        <v>42</v>
      </c>
    </row>
    <row r="3" spans="2:26" s="10" customFormat="1" ht="15" customHeight="1">
      <c r="B3" s="38" t="s">
        <v>37</v>
      </c>
      <c r="C3" s="37">
        <f>模型（季度基础数据）!C4</f>
        <v>2011</v>
      </c>
      <c r="D3" s="12">
        <f>C3</f>
        <v>2011</v>
      </c>
      <c r="E3" s="12">
        <f>D3</f>
        <v>2011</v>
      </c>
      <c r="F3" s="12">
        <f>E3</f>
        <v>2011</v>
      </c>
      <c r="G3" s="12">
        <f>F3+1</f>
        <v>2012</v>
      </c>
      <c r="H3" s="12">
        <f>G3</f>
        <v>2012</v>
      </c>
      <c r="I3" s="12">
        <f>H3</f>
        <v>2012</v>
      </c>
      <c r="J3" s="12">
        <f>I3</f>
        <v>2012</v>
      </c>
      <c r="K3" s="12">
        <f t="shared" ref="K3" si="0">J3+1</f>
        <v>2013</v>
      </c>
      <c r="L3" s="12">
        <f t="shared" ref="L3:N3" si="1">K3</f>
        <v>2013</v>
      </c>
      <c r="M3" s="12">
        <f t="shared" si="1"/>
        <v>2013</v>
      </c>
      <c r="N3" s="12">
        <f t="shared" si="1"/>
        <v>2013</v>
      </c>
      <c r="O3" s="12">
        <f t="shared" ref="O3" si="2">N3+1</f>
        <v>2014</v>
      </c>
      <c r="P3" s="12">
        <f t="shared" ref="P3:R3" si="3">O3</f>
        <v>2014</v>
      </c>
      <c r="Q3" s="12">
        <f t="shared" si="3"/>
        <v>2014</v>
      </c>
      <c r="R3" s="12">
        <f t="shared" si="3"/>
        <v>2014</v>
      </c>
      <c r="S3" s="12">
        <f t="shared" ref="S3" si="4">R3+1</f>
        <v>2015</v>
      </c>
      <c r="T3" s="12">
        <f t="shared" ref="T3:V3" si="5">S3</f>
        <v>2015</v>
      </c>
      <c r="U3" s="12">
        <f t="shared" si="5"/>
        <v>2015</v>
      </c>
      <c r="V3" s="12">
        <f t="shared" si="5"/>
        <v>2015</v>
      </c>
      <c r="W3" s="12">
        <f t="shared" ref="W3" si="6">V3+1</f>
        <v>2016</v>
      </c>
      <c r="X3" s="12">
        <f t="shared" ref="X3:Z3" si="7">W3</f>
        <v>2016</v>
      </c>
      <c r="Y3" s="12">
        <f t="shared" si="7"/>
        <v>2016</v>
      </c>
      <c r="Z3" s="12">
        <f t="shared" si="7"/>
        <v>2016</v>
      </c>
    </row>
    <row r="4" spans="2:26" s="10" customFormat="1" ht="15" customHeight="1">
      <c r="B4" s="24" t="s">
        <v>21</v>
      </c>
      <c r="C4" s="27" t="str">
        <f>C3&amp;C2</f>
        <v>2011Q1</v>
      </c>
      <c r="D4" s="27" t="str">
        <f t="shared" ref="D4:Z4" si="8">D3&amp;D2</f>
        <v>2011Q2</v>
      </c>
      <c r="E4" s="27" t="str">
        <f t="shared" si="8"/>
        <v>2011Q3</v>
      </c>
      <c r="F4" s="27" t="str">
        <f t="shared" si="8"/>
        <v>2011Q4</v>
      </c>
      <c r="G4" s="27" t="str">
        <f t="shared" si="8"/>
        <v>2012Q1</v>
      </c>
      <c r="H4" s="27" t="str">
        <f t="shared" si="8"/>
        <v>2012Q2</v>
      </c>
      <c r="I4" s="27" t="str">
        <f t="shared" si="8"/>
        <v>2012Q3</v>
      </c>
      <c r="J4" s="27" t="str">
        <f t="shared" si="8"/>
        <v>2012Q4</v>
      </c>
      <c r="K4" s="27" t="str">
        <f t="shared" si="8"/>
        <v>2013Q1</v>
      </c>
      <c r="L4" s="27" t="str">
        <f t="shared" si="8"/>
        <v>2013Q2</v>
      </c>
      <c r="M4" s="27" t="str">
        <f t="shared" si="8"/>
        <v>2013Q3</v>
      </c>
      <c r="N4" s="27" t="str">
        <f t="shared" si="8"/>
        <v>2013Q4</v>
      </c>
      <c r="O4" s="27" t="str">
        <f t="shared" si="8"/>
        <v>2014Q1</v>
      </c>
      <c r="P4" s="27" t="str">
        <f t="shared" si="8"/>
        <v>2014Q2</v>
      </c>
      <c r="Q4" s="27" t="str">
        <f t="shared" si="8"/>
        <v>2014Q3</v>
      </c>
      <c r="R4" s="27" t="str">
        <f t="shared" si="8"/>
        <v>2014Q4</v>
      </c>
      <c r="S4" s="27" t="str">
        <f t="shared" si="8"/>
        <v>2015Q1</v>
      </c>
      <c r="T4" s="27" t="str">
        <f t="shared" si="8"/>
        <v>2015Q2</v>
      </c>
      <c r="U4" s="27" t="str">
        <f t="shared" si="8"/>
        <v>2015Q3</v>
      </c>
      <c r="V4" s="27" t="str">
        <f t="shared" si="8"/>
        <v>2015Q4</v>
      </c>
      <c r="W4" s="27" t="str">
        <f t="shared" si="8"/>
        <v>2016Q1</v>
      </c>
      <c r="X4" s="27" t="str">
        <f t="shared" si="8"/>
        <v>2016Q2</v>
      </c>
      <c r="Y4" s="27" t="str">
        <f t="shared" si="8"/>
        <v>2016Q3</v>
      </c>
      <c r="Z4" s="27" t="str">
        <f t="shared" si="8"/>
        <v>2016Q4</v>
      </c>
    </row>
    <row r="5" spans="2:26" s="10" customFormat="1" ht="15" customHeight="1">
      <c r="B5" s="8" t="s">
        <v>22</v>
      </c>
      <c r="C5" s="9">
        <f>IFERROR(HLOOKUP(C1,模型（季度基础数据）!$C:$Z,5,),"")</f>
        <v>460.12478453</v>
      </c>
      <c r="D5" s="9">
        <f>IFERROR(HLOOKUP(D1,模型（季度基础数据）!$C:$Z,5,),"")</f>
        <v>479.76023029000004</v>
      </c>
      <c r="E5" s="9">
        <f>IFERROR(HLOOKUP(E1,模型（季度基础数据）!$C:$Z,5,),"")</f>
        <v>486.00430605000003</v>
      </c>
      <c r="F5" s="9">
        <f>IFERROR(HLOOKUP(F1,模型（季度基础数据）!$C:$Z,5,),"")</f>
        <v>609.92900710000004</v>
      </c>
      <c r="G5" s="9">
        <f>IFERROR(HLOOKUP(G1,模型（季度基础数据）!$C:$Z,5,),"")</f>
        <v>534.77670862000002</v>
      </c>
      <c r="H5" s="9">
        <f>IFERROR(HLOOKUP(H1,模型（季度基础数据）!$C:$Z,5,),"")</f>
        <v>513.91498729</v>
      </c>
      <c r="I5" s="9">
        <f>IFERROR(HLOOKUP(I1,模型（季度基础数据）!$C:$Z,5,),"")</f>
        <v>720.15935339999999</v>
      </c>
      <c r="J5" s="9">
        <f>IFERROR(HLOOKUP(J1,模型（季度基础数据）!$C:$Z,5,),"")</f>
        <v>915.68459709000001</v>
      </c>
      <c r="K5" s="9">
        <f>IFERROR(HLOOKUP(K1,模型（季度基础数据）!$C:$Z,5,),"")</f>
        <v>723.50300444000004</v>
      </c>
      <c r="L5" s="9">
        <f>IFERROR(HLOOKUP(L1,模型（季度基础数据）!$C:$Z,5,),"")</f>
        <v>914.21643803999996</v>
      </c>
      <c r="M5" s="9">
        <f>IFERROR(HLOOKUP(M1,模型（季度基础数据）!$C:$Z,5,),"")</f>
        <v>879.78274428999998</v>
      </c>
      <c r="N5" s="9">
        <f>IFERROR(HLOOKUP(N1,模型（季度基础数据）!$C:$Z,5,),"")</f>
        <v>1008.45149487</v>
      </c>
      <c r="O5" s="9">
        <f>IFERROR(HLOOKUP(O1,模型（季度基础数据）!$C:$Z,5,),"")</f>
        <v>829.72474722000004</v>
      </c>
      <c r="P5" s="9">
        <f>IFERROR(HLOOKUP(P1,模型（季度基础数据）!$C:$Z,5,),"")</f>
        <v>1090.47025007</v>
      </c>
      <c r="Q5" s="9">
        <f>IFERROR(HLOOKUP(Q1,模型（季度基础数据）!$C:$Z,5,),"")</f>
        <v>842.48829247000003</v>
      </c>
      <c r="R5" s="9">
        <f>IFERROR(HLOOKUP(R1,模型（季度基础数据）!$C:$Z,5,),"")</f>
        <v>953.93631682</v>
      </c>
      <c r="S5" s="9">
        <f>IFERROR(HLOOKUP(S1,模型（季度基础数据）!$C:$Z,5,),"")</f>
        <v>740.67981901999997</v>
      </c>
      <c r="T5" s="9">
        <f>IFERROR(HLOOKUP(T1,模型（季度基础数据）!$C:$Z,5,),"")</f>
        <v>1581.9028965699999</v>
      </c>
      <c r="U5" s="9">
        <f>IFERROR(HLOOKUP(U1,模型（季度基础数据）!$C:$Z,5,),"")</f>
        <v>1300.40554703</v>
      </c>
      <c r="V5" s="9">
        <f>IFERROR(HLOOKUP(V1,模型（季度基础数据）!$C:$Z,5,),"")</f>
        <v>1546.4732744999999</v>
      </c>
      <c r="W5" s="9">
        <f>IFERROR(HLOOKUP(W1,模型（季度基础数据）!$C:$Z,5,),"")</f>
        <v>1227.8852076600001</v>
      </c>
      <c r="X5" s="9">
        <f>IFERROR(HLOOKUP(X1,模型（季度基础数据）!$C:$Z,5,),"")</f>
        <v>1785.51447076</v>
      </c>
      <c r="Y5" s="9">
        <f>IFERROR(HLOOKUP(Y1,模型（季度基础数据）!$C:$Z,5,),"")</f>
        <v>1726.46386914</v>
      </c>
      <c r="Z5" s="25" t="str">
        <f>IFERROR(HLOOKUP(Z1,模型（季度基础数据）!$C:$Z,5,),"")</f>
        <v/>
      </c>
    </row>
    <row r="6" spans="2:26" s="10" customFormat="1" ht="15" customHeight="1">
      <c r="B6" s="11" t="s">
        <v>23</v>
      </c>
      <c r="C6" s="12"/>
      <c r="D6" s="13"/>
      <c r="E6" s="13"/>
      <c r="F6" s="13"/>
      <c r="G6" s="13">
        <f>IFERROR(G5/C5-1,"")</f>
        <v>0.16224277978473634</v>
      </c>
      <c r="H6" s="13">
        <f t="shared" ref="H6:Z6" si="9">IFERROR(H5/D5-1,"")</f>
        <v>7.1191305247111591E-2</v>
      </c>
      <c r="I6" s="13">
        <f t="shared" si="9"/>
        <v>0.48179624014670797</v>
      </c>
      <c r="J6" s="13">
        <f>IFERROR(J5/F5-1,"")</f>
        <v>0.50129701396521753</v>
      </c>
      <c r="K6" s="13">
        <f t="shared" si="9"/>
        <v>0.3529067230826326</v>
      </c>
      <c r="L6" s="13">
        <f t="shared" si="9"/>
        <v>0.77892542667589404</v>
      </c>
      <c r="M6" s="13">
        <f t="shared" si="9"/>
        <v>0.22165009749077025</v>
      </c>
      <c r="N6" s="13">
        <f t="shared" si="9"/>
        <v>0.1013087891560136</v>
      </c>
      <c r="O6" s="13">
        <f t="shared" si="9"/>
        <v>0.14681589727774091</v>
      </c>
      <c r="P6" s="13">
        <f t="shared" si="9"/>
        <v>0.1927922149462471</v>
      </c>
      <c r="Q6" s="13">
        <f t="shared" si="9"/>
        <v>-4.2390524322112322E-2</v>
      </c>
      <c r="R6" s="13">
        <f t="shared" si="9"/>
        <v>-5.4058304566277249E-2</v>
      </c>
      <c r="S6" s="13">
        <f t="shared" si="9"/>
        <v>-0.10731863608786629</v>
      </c>
      <c r="T6" s="13">
        <f t="shared" si="9"/>
        <v>0.45066121379143875</v>
      </c>
      <c r="U6" s="13">
        <f t="shared" si="9"/>
        <v>0.54352951685237305</v>
      </c>
      <c r="V6" s="13">
        <f t="shared" si="9"/>
        <v>0.62114938621401361</v>
      </c>
      <c r="W6" s="13">
        <f t="shared" si="9"/>
        <v>0.65778137344774135</v>
      </c>
      <c r="X6" s="13">
        <f t="shared" si="9"/>
        <v>0.12871306742751787</v>
      </c>
      <c r="Y6" s="13">
        <f t="shared" si="9"/>
        <v>0.327634962095537</v>
      </c>
      <c r="Z6" s="19" t="str">
        <f t="shared" si="9"/>
        <v/>
      </c>
    </row>
    <row r="7" spans="2:26" s="10" customFormat="1" ht="15" hidden="1" customHeight="1">
      <c r="B7" s="11" t="s">
        <v>38</v>
      </c>
      <c r="C7" s="12"/>
      <c r="D7" s="13">
        <f>IFERROR(D5/C5-1,"")</f>
        <v>4.2674175397999781E-2</v>
      </c>
      <c r="E7" s="13">
        <f t="shared" ref="E7:Z7" si="10">IFERROR(E5/D5-1,"")</f>
        <v>1.3014992418662219E-2</v>
      </c>
      <c r="F7" s="13">
        <f t="shared" si="10"/>
        <v>0.25498683758009877</v>
      </c>
      <c r="G7" s="13">
        <f t="shared" si="10"/>
        <v>-0.12321482927549721</v>
      </c>
      <c r="H7" s="13">
        <f t="shared" si="10"/>
        <v>-3.9010153198021702E-2</v>
      </c>
      <c r="I7" s="13">
        <f t="shared" si="10"/>
        <v>0.40132000663685097</v>
      </c>
      <c r="J7" s="13">
        <f t="shared" si="10"/>
        <v>0.2715027483388095</v>
      </c>
      <c r="K7" s="13">
        <f t="shared" si="10"/>
        <v>-0.2098774984975651</v>
      </c>
      <c r="L7" s="13">
        <f t="shared" si="10"/>
        <v>0.26359729321043313</v>
      </c>
      <c r="M7" s="13">
        <f t="shared" si="10"/>
        <v>-3.766470642753128E-2</v>
      </c>
      <c r="N7" s="13">
        <f t="shared" si="10"/>
        <v>0.14625059586027445</v>
      </c>
      <c r="O7" s="13">
        <f t="shared" si="10"/>
        <v>-0.17722889852331447</v>
      </c>
      <c r="P7" s="13">
        <f t="shared" si="10"/>
        <v>0.31425542473408208</v>
      </c>
      <c r="Q7" s="13">
        <f t="shared" si="10"/>
        <v>-0.22740827416803111</v>
      </c>
      <c r="R7" s="13">
        <f t="shared" si="10"/>
        <v>0.13228435973069441</v>
      </c>
      <c r="S7" s="13">
        <f t="shared" si="10"/>
        <v>-0.22355422897715282</v>
      </c>
      <c r="T7" s="13">
        <f t="shared" si="10"/>
        <v>1.1357445632352041</v>
      </c>
      <c r="U7" s="13">
        <f t="shared" si="10"/>
        <v>-0.17794856444751672</v>
      </c>
      <c r="V7" s="13">
        <f t="shared" si="10"/>
        <v>0.18922383715756563</v>
      </c>
      <c r="W7" s="13">
        <f t="shared" si="10"/>
        <v>-0.20600942291938706</v>
      </c>
      <c r="X7" s="13">
        <f t="shared" si="10"/>
        <v>0.45413794353193859</v>
      </c>
      <c r="Y7" s="13">
        <f>IFERROR(Y5/X5-1,"")</f>
        <v>-3.3072037548295685E-2</v>
      </c>
      <c r="Z7" s="19" t="str">
        <f t="shared" si="10"/>
        <v/>
      </c>
    </row>
    <row r="8" spans="2:26" s="10" customFormat="1" ht="15" customHeight="1">
      <c r="B8" s="8" t="s">
        <v>24</v>
      </c>
      <c r="C8" s="9">
        <f>IFERROR(HLOOKUP(C1,模型（季度基础数据）!$C:$Z,7,),"")</f>
        <v>104.27773956999999</v>
      </c>
      <c r="D8" s="9">
        <f>IFERROR(HLOOKUP(D1,模型（季度基础数据）!$C:$Z,7,),"")</f>
        <v>98.057385220000072</v>
      </c>
      <c r="E8" s="9">
        <f>IFERROR(HLOOKUP(E1,模型（季度基础数据）!$C:$Z,7,),"")</f>
        <v>94.45705853000004</v>
      </c>
      <c r="F8" s="9">
        <f>IFERROR(HLOOKUP(F1,模型（季度基础数据）!$C:$Z,7,),"")</f>
        <v>145.10924595000006</v>
      </c>
      <c r="G8" s="9">
        <f>IFERROR(HLOOKUP(G1,模型（季度基础数据）!$C:$Z,7,),"")</f>
        <v>76.743756200000007</v>
      </c>
      <c r="H8" s="9">
        <f>IFERROR(HLOOKUP(H1,模型（季度基础数据）!$C:$Z,7,),"")</f>
        <v>75.250260980000007</v>
      </c>
      <c r="I8" s="9">
        <f>IFERROR(HLOOKUP(I1,模型（季度基础数据）!$C:$Z,7,),"")</f>
        <v>85.570710759999997</v>
      </c>
      <c r="J8" s="9">
        <f>IFERROR(HLOOKUP(J1,模型（季度基础数据）!$C:$Z,7,),"")</f>
        <v>185.64951447999999</v>
      </c>
      <c r="K8" s="9">
        <f>IFERROR(HLOOKUP(K1,模型（季度基础数据）!$C:$Z,7,),"")</f>
        <v>188.06461662000004</v>
      </c>
      <c r="L8" s="9">
        <f>IFERROR(HLOOKUP(L1,模型（季度基础数据）!$C:$Z,7,),"")</f>
        <v>242.10151112999995</v>
      </c>
      <c r="M8" s="9">
        <f>IFERROR(HLOOKUP(M1,模型（季度基础数据）!$C:$Z,7,),"")</f>
        <v>285.90132345999996</v>
      </c>
      <c r="N8" s="9">
        <f>IFERROR(HLOOKUP(N1,模型（季度基础数据）!$C:$Z,7,),"")</f>
        <v>305.62758048000001</v>
      </c>
      <c r="O8" s="9">
        <f>IFERROR(HLOOKUP(O1,模型（季度基础数据）!$C:$Z,7,),"")</f>
        <v>177.06624334000003</v>
      </c>
      <c r="P8" s="9">
        <f>IFERROR(HLOOKUP(P1,模型（季度基础数据）!$C:$Z,7,),"")</f>
        <v>220.86207206000006</v>
      </c>
      <c r="Q8" s="9">
        <f>IFERROR(HLOOKUP(Q1,模型（季度基础数据）!$C:$Z,7,),"")</f>
        <v>170.85301228000003</v>
      </c>
      <c r="R8" s="9">
        <f>IFERROR(HLOOKUP(R1,模型（季度基础数据）!$C:$Z,7,),"")</f>
        <v>183.34251304999998</v>
      </c>
      <c r="S8" s="9">
        <f>IFERROR(HLOOKUP(S1,模型（季度基础数据）!$C:$Z,7,),"")</f>
        <v>160.23475902999996</v>
      </c>
      <c r="T8" s="9">
        <f>IFERROR(HLOOKUP(T1,模型（季度基础数据）!$C:$Z,7,),"")</f>
        <v>274.94369991999974</v>
      </c>
      <c r="U8" s="9">
        <f>IFERROR(HLOOKUP(U1,模型（季度基础数据）!$C:$Z,7,),"")</f>
        <v>219.77774053000007</v>
      </c>
      <c r="V8" s="9">
        <f>IFERROR(HLOOKUP(V1,模型（季度基础数据）!$C:$Z,7,),"")</f>
        <v>275.46453460999987</v>
      </c>
      <c r="W8" s="9">
        <f>IFERROR(HLOOKUP(W1,模型（季度基础数据）!$C:$Z,7,),"")</f>
        <v>261.21541055000012</v>
      </c>
      <c r="X8" s="9">
        <f>IFERROR(HLOOKUP(X1,模型（季度基础数据）!$C:$Z,7,),"")</f>
        <v>360.33217692000017</v>
      </c>
      <c r="Y8" s="9">
        <f>IFERROR(HLOOKUP(Y1,模型（季度基础数据）!$C:$Z,7,),"")</f>
        <v>627.80823839000004</v>
      </c>
      <c r="Z8" s="18" t="str">
        <f>IFERROR(HLOOKUP(Z1,模型（季度基础数据）!$C:$Z,7,),"")</f>
        <v/>
      </c>
    </row>
    <row r="9" spans="2:26" s="10" customFormat="1" ht="15" customHeight="1">
      <c r="B9" s="11" t="s">
        <v>75</v>
      </c>
      <c r="C9" s="13">
        <f>IFERROR(C8/C5,"")</f>
        <v>0.22662926031362501</v>
      </c>
      <c r="D9" s="13">
        <f t="shared" ref="D9:Z9" si="11">IFERROR(D8/D5,"")</f>
        <v>0.20438831530643434</v>
      </c>
      <c r="E9" s="13">
        <f t="shared" si="11"/>
        <v>0.19435436549461832</v>
      </c>
      <c r="F9" s="13">
        <f t="shared" si="11"/>
        <v>0.23791169834657311</v>
      </c>
      <c r="G9" s="13">
        <f t="shared" si="11"/>
        <v>0.14350616801924398</v>
      </c>
      <c r="H9" s="13">
        <f t="shared" si="11"/>
        <v>0.14642550390836648</v>
      </c>
      <c r="I9" s="13">
        <f t="shared" si="11"/>
        <v>0.11882191122840452</v>
      </c>
      <c r="J9" s="13">
        <f>IFERROR(J8/J5,"")</f>
        <v>0.20274395252468469</v>
      </c>
      <c r="K9" s="13">
        <f t="shared" si="11"/>
        <v>0.25993619303013715</v>
      </c>
      <c r="L9" s="13">
        <f t="shared" si="11"/>
        <v>0.26481859333993646</v>
      </c>
      <c r="M9" s="13">
        <f t="shared" si="11"/>
        <v>0.32496809617552491</v>
      </c>
      <c r="N9" s="13">
        <f t="shared" si="11"/>
        <v>0.30306621789419691</v>
      </c>
      <c r="O9" s="13">
        <f t="shared" si="11"/>
        <v>0.21340359430433045</v>
      </c>
      <c r="P9" s="13">
        <f t="shared" si="11"/>
        <v>0.20253837465609206</v>
      </c>
      <c r="Q9" s="13">
        <f t="shared" si="11"/>
        <v>0.20279571099925273</v>
      </c>
      <c r="R9" s="13">
        <f t="shared" si="11"/>
        <v>0.19219575753356627</v>
      </c>
      <c r="S9" s="13">
        <f t="shared" si="11"/>
        <v>0.21633471699284043</v>
      </c>
      <c r="T9" s="13">
        <f t="shared" si="11"/>
        <v>0.17380567449250722</v>
      </c>
      <c r="U9" s="13">
        <f t="shared" si="11"/>
        <v>0.16900707708602988</v>
      </c>
      <c r="V9" s="13">
        <f t="shared" si="11"/>
        <v>0.17812434210934688</v>
      </c>
      <c r="W9" s="13">
        <f t="shared" si="11"/>
        <v>0.21273601874217735</v>
      </c>
      <c r="X9" s="13">
        <f t="shared" si="11"/>
        <v>0.20180860072594406</v>
      </c>
      <c r="Y9" s="13">
        <f t="shared" si="11"/>
        <v>0.36363821427825704</v>
      </c>
      <c r="Z9" s="19" t="str">
        <f t="shared" si="11"/>
        <v/>
      </c>
    </row>
    <row r="10" spans="2:26" s="10" customFormat="1" ht="15" customHeight="1">
      <c r="B10" s="11" t="s">
        <v>23</v>
      </c>
      <c r="C10" s="13"/>
      <c r="D10" s="13"/>
      <c r="E10" s="13"/>
      <c r="F10" s="13"/>
      <c r="G10" s="13">
        <f>IFERROR((G8-C8)/ABS(C8),"")</f>
        <v>-0.2640446895333482</v>
      </c>
      <c r="H10" s="13">
        <f t="shared" ref="H10:Z10" si="12">IFERROR((H8-D8)/ABS(D8),"")</f>
        <v>-0.2325895616003868</v>
      </c>
      <c r="I10" s="13">
        <f t="shared" si="12"/>
        <v>-9.4078175927717403E-2</v>
      </c>
      <c r="J10" s="13">
        <f>IFERROR((J8-F8)/ABS(F8),"")</f>
        <v>0.27937757008239705</v>
      </c>
      <c r="K10" s="13">
        <f t="shared" si="12"/>
        <v>1.4505526694561246</v>
      </c>
      <c r="L10" s="13">
        <f t="shared" si="12"/>
        <v>2.2172846708710501</v>
      </c>
      <c r="M10" s="13">
        <f t="shared" si="12"/>
        <v>2.3411119402977363</v>
      </c>
      <c r="N10" s="13">
        <f t="shared" si="12"/>
        <v>0.64626113532295415</v>
      </c>
      <c r="O10" s="13">
        <f t="shared" si="12"/>
        <v>-5.848188499074828E-2</v>
      </c>
      <c r="P10" s="13">
        <f t="shared" si="12"/>
        <v>-8.7729477485975135E-2</v>
      </c>
      <c r="Q10" s="13">
        <f t="shared" si="12"/>
        <v>-0.40240566146276047</v>
      </c>
      <c r="R10" s="13">
        <f t="shared" si="12"/>
        <v>-0.40011136180166257</v>
      </c>
      <c r="S10" s="13">
        <f t="shared" si="12"/>
        <v>-9.5057555819267558E-2</v>
      </c>
      <c r="T10" s="13">
        <f t="shared" si="12"/>
        <v>0.24486607118902565</v>
      </c>
      <c r="U10" s="13">
        <f t="shared" si="12"/>
        <v>0.2863556667635479</v>
      </c>
      <c r="V10" s="13">
        <f t="shared" si="12"/>
        <v>0.50245859526795611</v>
      </c>
      <c r="W10" s="13">
        <f t="shared" si="12"/>
        <v>0.6302044084023869</v>
      </c>
      <c r="X10" s="13">
        <f t="shared" si="12"/>
        <v>0.31056713438004169</v>
      </c>
      <c r="Y10" s="13">
        <f t="shared" si="12"/>
        <v>1.8565597083490948</v>
      </c>
      <c r="Z10" s="19" t="str">
        <f t="shared" si="12"/>
        <v/>
      </c>
    </row>
    <row r="11" spans="2:26" s="10" customFormat="1" ht="15" customHeight="1">
      <c r="B11" s="8" t="s">
        <v>25</v>
      </c>
      <c r="C11" s="9">
        <f>IFERROR(HLOOKUP(C1,模型（季度基础数据）!$C:$Z,10,),"")</f>
        <v>53.029136080000001</v>
      </c>
      <c r="D11" s="9">
        <f>IFERROR(HLOOKUP(D1,模型（季度基础数据）!$C:$Z,10,),"")</f>
        <v>41.344627439999996</v>
      </c>
      <c r="E11" s="9">
        <f>IFERROR(HLOOKUP(E1,模型（季度基础数据）!$C:$Z,10,),"")</f>
        <v>40.021305599999998</v>
      </c>
      <c r="F11" s="9">
        <f>IFERROR(HLOOKUP(F1,模型（季度基础数据）!$C:$Z,10,),"")</f>
        <v>69.634316720000001</v>
      </c>
      <c r="G11" s="9">
        <f>IFERROR(HLOOKUP(G1,模型（季度基础数据）!$C:$Z,10,),"")</f>
        <v>3.28775941</v>
      </c>
      <c r="H11" s="9">
        <f>IFERROR(HLOOKUP(H1,模型（季度基础数据）!$C:$Z,10,),"")</f>
        <v>0.95811354000000004</v>
      </c>
      <c r="I11" s="9">
        <f>IFERROR(HLOOKUP(I1,模型（季度基础数据）!$C:$Z,10,),"")</f>
        <v>-31.145001799999999</v>
      </c>
      <c r="J11" s="9">
        <f>IFERROR(HLOOKUP(J1,模型（季度基础数据）!$C:$Z,10,),"")</f>
        <v>78.327432439999995</v>
      </c>
      <c r="K11" s="9">
        <f>IFERROR(HLOOKUP(K1,模型（季度基础数据）!$C:$Z,10,),"")</f>
        <v>72.036628980000003</v>
      </c>
      <c r="L11" s="9">
        <f>IFERROR(HLOOKUP(L1,模型（季度基础数据）!$C:$Z,10,),"")</f>
        <v>119.21140538</v>
      </c>
      <c r="M11" s="9">
        <f>IFERROR(HLOOKUP(M1,模型（季度基础数据）!$C:$Z,10,),"")</f>
        <v>99.978067569999993</v>
      </c>
      <c r="N11" s="9">
        <f>IFERROR(HLOOKUP(N1,模型（季度基础数据）!$C:$Z,10,),"")</f>
        <v>83.944396739999988</v>
      </c>
      <c r="O11" s="9">
        <f>IFERROR(HLOOKUP(O1,模型（季度基础数据）!$C:$Z,10,),"")</f>
        <v>55.414811490000005</v>
      </c>
      <c r="P11" s="9">
        <f>IFERROR(HLOOKUP(P1,模型（季度基础数据）!$C:$Z,10,),"")</f>
        <v>75.948596599999988</v>
      </c>
      <c r="Q11" s="9">
        <f>IFERROR(HLOOKUP(Q1,模型（季度基础数据）!$C:$Z,10,),"")</f>
        <v>-51.220141069999997</v>
      </c>
      <c r="R11" s="9">
        <f>IFERROR(HLOOKUP(R1,模型（季度基础数据）!$C:$Z,10,),"")</f>
        <v>65.198455640000006</v>
      </c>
      <c r="S11" s="9">
        <f>IFERROR(HLOOKUP(S1,模型（季度基础数据）!$C:$Z,10,),"")</f>
        <v>32.72135711</v>
      </c>
      <c r="T11" s="9">
        <f>IFERROR(HLOOKUP(T1,模型（季度基础数据）!$C:$Z,10,),"")</f>
        <v>33.582703520000003</v>
      </c>
      <c r="U11" s="9">
        <f>IFERROR(HLOOKUP(U1,模型（季度基础数据）!$C:$Z,10,),"")</f>
        <v>16.335917269999999</v>
      </c>
      <c r="V11" s="9">
        <f>IFERROR(HLOOKUP(V1,模型（季度基础数据）!$C:$Z,10,),"")</f>
        <v>52.981699659999997</v>
      </c>
      <c r="W11" s="9">
        <f>IFERROR(HLOOKUP(W1,模型（季度基础数据）!$C:$Z,10,),"")</f>
        <v>29.279340179999998</v>
      </c>
      <c r="X11" s="9">
        <f>IFERROR(HLOOKUP(X1,模型（季度基础数据）!$C:$Z,10,),"")</f>
        <v>126.42283965</v>
      </c>
      <c r="Y11" s="9">
        <f>IFERROR(HLOOKUP(Y1,模型（季度基础数据）!$C:$Z,10,),"")</f>
        <v>315.86757986999999</v>
      </c>
      <c r="Z11" s="18" t="str">
        <f>IFERROR(HLOOKUP(Z1,模型（季度基础数据）!$C:$Z,10,),"")</f>
        <v/>
      </c>
    </row>
    <row r="12" spans="2:26" s="10" customFormat="1" ht="15" customHeight="1">
      <c r="B12" s="11" t="s">
        <v>26</v>
      </c>
      <c r="C12" s="14">
        <f t="shared" ref="C12:Z12" si="13">IFERROR(C11/C5,"")</f>
        <v>0.11524946680315699</v>
      </c>
      <c r="D12" s="14">
        <f t="shared" si="13"/>
        <v>8.6177687998458027E-2</v>
      </c>
      <c r="E12" s="14">
        <f t="shared" si="13"/>
        <v>8.2347635816795856E-2</v>
      </c>
      <c r="F12" s="14">
        <f t="shared" si="13"/>
        <v>0.11416790464038909</v>
      </c>
      <c r="G12" s="14">
        <f t="shared" si="13"/>
        <v>6.1479106270056465E-3</v>
      </c>
      <c r="H12" s="14">
        <f t="shared" si="13"/>
        <v>1.8643424762768025E-3</v>
      </c>
      <c r="I12" s="14">
        <f t="shared" si="13"/>
        <v>-4.3247375255155575E-2</v>
      </c>
      <c r="J12" s="14">
        <f>IFERROR(J11/J5,"")</f>
        <v>8.553975101134241E-2</v>
      </c>
      <c r="K12" s="14">
        <f t="shared" si="13"/>
        <v>9.9566454510796695E-2</v>
      </c>
      <c r="L12" s="14">
        <f t="shared" si="13"/>
        <v>0.13039735495850285</v>
      </c>
      <c r="M12" s="14">
        <f t="shared" si="13"/>
        <v>0.11363949590837229</v>
      </c>
      <c r="N12" s="14">
        <f t="shared" si="13"/>
        <v>8.3240886812132986E-2</v>
      </c>
      <c r="O12" s="14">
        <f t="shared" si="13"/>
        <v>6.6786981677559712E-2</v>
      </c>
      <c r="P12" s="14">
        <f t="shared" si="13"/>
        <v>6.964756406249932E-2</v>
      </c>
      <c r="Q12" s="14">
        <f t="shared" si="13"/>
        <v>-6.0796264503371583E-2</v>
      </c>
      <c r="R12" s="14">
        <f t="shared" si="13"/>
        <v>6.8346759097444476E-2</v>
      </c>
      <c r="S12" s="14">
        <f t="shared" si="13"/>
        <v>4.417746544423732E-2</v>
      </c>
      <c r="T12" s="14">
        <f t="shared" si="13"/>
        <v>2.1229307812013324E-2</v>
      </c>
      <c r="U12" s="14">
        <f t="shared" si="13"/>
        <v>1.2562171322099977E-2</v>
      </c>
      <c r="V12" s="14">
        <f t="shared" si="13"/>
        <v>3.4259693027756881E-2</v>
      </c>
      <c r="W12" s="14">
        <f t="shared" si="13"/>
        <v>2.3845339936782926E-2</v>
      </c>
      <c r="X12" s="14">
        <f t="shared" si="13"/>
        <v>7.0804712994674543E-2</v>
      </c>
      <c r="Y12" s="14">
        <f t="shared" si="13"/>
        <v>0.18295638009925019</v>
      </c>
      <c r="Z12" s="20" t="str">
        <f t="shared" si="13"/>
        <v/>
      </c>
    </row>
    <row r="13" spans="2:26" s="10" customFormat="1" ht="15" customHeight="1">
      <c r="B13" s="8" t="s">
        <v>27</v>
      </c>
      <c r="C13" s="9">
        <f>IFERROR(HLOOKUP(C1,模型（季度基础数据）!$C:$Z,12,),"")</f>
        <v>44.98129763</v>
      </c>
      <c r="D13" s="9">
        <f>IFERROR(HLOOKUP(D1,模型（季度基础数据）!$C:$Z,12,),"")</f>
        <v>35.794647070000003</v>
      </c>
      <c r="E13" s="9">
        <f>IFERROR(HLOOKUP(E1,模型（季度基础数据）!$C:$Z,12,),"")</f>
        <v>39.61687586</v>
      </c>
      <c r="F13" s="9">
        <f>IFERROR(HLOOKUP(F1,模型（季度基础数据）!$C:$Z,12,),"")</f>
        <v>87.843426239999999</v>
      </c>
      <c r="G13" s="9">
        <f>IFERROR(HLOOKUP(G1,模型（季度基础数据）!$C:$Z,12,),"")</f>
        <v>119.32343384000001</v>
      </c>
      <c r="H13" s="9">
        <f>IFERROR(HLOOKUP(H1,模型（季度基础数据）!$C:$Z,12,),"")</f>
        <v>2.5863533100000002</v>
      </c>
      <c r="I13" s="9">
        <f>IFERROR(HLOOKUP(I1,模型（季度基础数据）!$C:$Z,12,),"")</f>
        <v>-6.7723878499999994</v>
      </c>
      <c r="J13" s="9">
        <f>IFERROR(HLOOKUP(J1,模型（季度基础数据）!$C:$Z,12,),"")</f>
        <v>82.192751319999999</v>
      </c>
      <c r="K13" s="9">
        <f>IFERROR(HLOOKUP(K1,模型（季度基础数据）!$C:$Z,12,),"")</f>
        <v>61.442211819999997</v>
      </c>
      <c r="L13" s="9">
        <f>IFERROR(HLOOKUP(L1,模型（季度基础数据）!$C:$Z,12,),"")</f>
        <v>104.71223451</v>
      </c>
      <c r="M13" s="9">
        <f>IFERROR(HLOOKUP(M1,模型（季度基础数据）!$C:$Z,12,),"")</f>
        <v>143.46654083000001</v>
      </c>
      <c r="N13" s="9">
        <f>IFERROR(HLOOKUP(N1,模型（季度基础数据）!$C:$Z,12,),"")</f>
        <v>77.51743454999999</v>
      </c>
      <c r="O13" s="9">
        <f>IFERROR(HLOOKUP(O1,模型（季度基础数据）!$C:$Z,12,),"")</f>
        <v>53.381002369999997</v>
      </c>
      <c r="P13" s="9">
        <f>IFERROR(HLOOKUP(P1,模型（季度基础数据）!$C:$Z,12,),"")</f>
        <v>64.536148940000004</v>
      </c>
      <c r="Q13" s="9">
        <f>IFERROR(HLOOKUP(Q1,模型（季度基础数据）!$C:$Z,12,),"")</f>
        <v>50.035429619999995</v>
      </c>
      <c r="R13" s="9">
        <f>IFERROR(HLOOKUP(R1,模型（季度基础数据）!$C:$Z,12,),"")</f>
        <v>53.106068090000001</v>
      </c>
      <c r="S13" s="9">
        <f>IFERROR(HLOOKUP(S1,模型（季度基础数据）!$C:$Z,12,),"")</f>
        <v>34.306807030000002</v>
      </c>
      <c r="T13" s="9">
        <f>IFERROR(HLOOKUP(T1,模型（季度基础数据）!$C:$Z,12,),"")</f>
        <v>59.206309020000006</v>
      </c>
      <c r="U13" s="9">
        <f>IFERROR(HLOOKUP(U1,模型（季度基础数据）!$C:$Z,12,),"")</f>
        <v>23.81929031</v>
      </c>
      <c r="V13" s="9">
        <f>IFERROR(HLOOKUP(V1,模型（季度基础数据）!$C:$Z,12,),"")</f>
        <v>54.000171200000004</v>
      </c>
      <c r="W13" s="9">
        <f>IFERROR(HLOOKUP(W1,模型（季度基础数据）!$C:$Z,12,),"")</f>
        <v>32.977927610000002</v>
      </c>
      <c r="X13" s="9">
        <f>IFERROR(HLOOKUP(X1,模型（季度基础数据）!$C:$Z,12,),"")</f>
        <v>118.90270008</v>
      </c>
      <c r="Y13" s="9">
        <f>IFERROR(HLOOKUP(Y1,模型（季度基础数据）!$C:$Z,12,),"")</f>
        <v>280.26737791000005</v>
      </c>
      <c r="Z13" s="18" t="str">
        <f>IFERROR(HLOOKUP(Z1,模型（季度基础数据）!$C:$Z,12,),"")</f>
        <v/>
      </c>
    </row>
    <row r="14" spans="2:26" s="10" customFormat="1" ht="15" customHeight="1">
      <c r="B14" s="11" t="s">
        <v>28</v>
      </c>
      <c r="C14" s="14">
        <f>IFERROR(C13/C5,"")</f>
        <v>9.7758910500651885E-2</v>
      </c>
      <c r="D14" s="14">
        <f t="shared" ref="D14:Z14" si="14">IFERROR(D13/D5,"")</f>
        <v>7.4609450325557949E-2</v>
      </c>
      <c r="E14" s="14">
        <f t="shared" si="14"/>
        <v>8.1515483230974142E-2</v>
      </c>
      <c r="F14" s="14">
        <f t="shared" si="14"/>
        <v>0.14402237837099255</v>
      </c>
      <c r="G14" s="14">
        <f t="shared" si="14"/>
        <v>0.22312758187976447</v>
      </c>
      <c r="H14" s="14">
        <f t="shared" si="14"/>
        <v>5.0326481499177065E-3</v>
      </c>
      <c r="I14" s="14">
        <f t="shared" si="14"/>
        <v>-9.4040129007925202E-3</v>
      </c>
      <c r="J14" s="14">
        <f>IFERROR(J13/J5,"")</f>
        <v>8.9760984929968757E-2</v>
      </c>
      <c r="K14" s="14">
        <f t="shared" si="14"/>
        <v>8.4923229679684603E-2</v>
      </c>
      <c r="L14" s="14">
        <f t="shared" si="14"/>
        <v>0.11453768511808196</v>
      </c>
      <c r="M14" s="14">
        <f t="shared" si="14"/>
        <v>0.16307041910191136</v>
      </c>
      <c r="N14" s="14">
        <f t="shared" si="14"/>
        <v>7.6867786843821173E-2</v>
      </c>
      <c r="O14" s="14">
        <f t="shared" si="14"/>
        <v>6.4335796357591485E-2</v>
      </c>
      <c r="P14" s="14">
        <f t="shared" si="14"/>
        <v>5.9181943694344041E-2</v>
      </c>
      <c r="Q14" s="14">
        <f t="shared" si="14"/>
        <v>5.9390059265163851E-2</v>
      </c>
      <c r="R14" s="14">
        <f t="shared" si="14"/>
        <v>5.5670454257399533E-2</v>
      </c>
      <c r="S14" s="14">
        <f t="shared" si="14"/>
        <v>4.6317998882960849E-2</v>
      </c>
      <c r="T14" s="14">
        <f t="shared" si="14"/>
        <v>3.7427271388386446E-2</v>
      </c>
      <c r="U14" s="14">
        <f t="shared" si="14"/>
        <v>1.8316816907157113E-2</v>
      </c>
      <c r="V14" s="14">
        <f t="shared" si="14"/>
        <v>3.4918269905090435E-2</v>
      </c>
      <c r="W14" s="14">
        <f t="shared" si="14"/>
        <v>2.6857500525514555E-2</v>
      </c>
      <c r="X14" s="14">
        <f t="shared" si="14"/>
        <v>6.6592963555982473E-2</v>
      </c>
      <c r="Y14" s="14">
        <f t="shared" si="14"/>
        <v>0.16233608065577942</v>
      </c>
      <c r="Z14" s="20" t="str">
        <f t="shared" si="14"/>
        <v/>
      </c>
    </row>
    <row r="15" spans="2:26" s="10" customFormat="1" ht="15" customHeight="1">
      <c r="B15" s="8" t="s">
        <v>31</v>
      </c>
      <c r="C15" s="9">
        <f>IFERROR(HLOOKUP(C1,模型（季度基础数据）!$C:$Z,14,),"")</f>
        <v>44.98129763</v>
      </c>
      <c r="D15" s="9">
        <f>IFERROR(HLOOKUP(D1,模型（季度基础数据）!$C:$Z,14,),"")</f>
        <v>35.794647070000003</v>
      </c>
      <c r="E15" s="9">
        <f>IFERROR(HLOOKUP(E1,模型（季度基础数据）!$C:$Z,14,),"")</f>
        <v>39.61687586</v>
      </c>
      <c r="F15" s="9">
        <f>IFERROR(HLOOKUP(F1,模型（季度基础数据）!$C:$Z,14,),"")</f>
        <v>87.843426239999999</v>
      </c>
      <c r="G15" s="9">
        <f>IFERROR(HLOOKUP(G1,模型（季度基础数据）!$C:$Z,14,),"")</f>
        <v>119.32343384000001</v>
      </c>
      <c r="H15" s="9">
        <f>IFERROR(HLOOKUP(H1,模型（季度基础数据）!$C:$Z,14,),"")</f>
        <v>2.5863533100000002</v>
      </c>
      <c r="I15" s="9">
        <f>IFERROR(HLOOKUP(I1,模型（季度基础数据）!$C:$Z,14,),"")</f>
        <v>-6.7723878499999994</v>
      </c>
      <c r="J15" s="9">
        <f>IFERROR(HLOOKUP(J1,模型（季度基础数据）!$C:$Z,14,),"")</f>
        <v>82.192751319999999</v>
      </c>
      <c r="K15" s="9">
        <f>IFERROR(HLOOKUP(K1,模型（季度基础数据）!$C:$Z,14,),"")</f>
        <v>61.442211819999997</v>
      </c>
      <c r="L15" s="9">
        <f>IFERROR(HLOOKUP(L1,模型（季度基础数据）!$C:$Z,14,),"")</f>
        <v>104.71223451</v>
      </c>
      <c r="M15" s="9">
        <f>IFERROR(HLOOKUP(M1,模型（季度基础数据）!$C:$Z,14,),"")</f>
        <v>143.46654083000001</v>
      </c>
      <c r="N15" s="9">
        <f>IFERROR(HLOOKUP(N1,模型（季度基础数据）!$C:$Z,14,),"")</f>
        <v>77.51743454999999</v>
      </c>
      <c r="O15" s="9">
        <f>IFERROR(HLOOKUP(O1,模型（季度基础数据）!$C:$Z,14,),"")</f>
        <v>53.381002369999997</v>
      </c>
      <c r="P15" s="9">
        <f>IFERROR(HLOOKUP(P1,模型（季度基础数据）!$C:$Z,14,),"")</f>
        <v>64.536148940000004</v>
      </c>
      <c r="Q15" s="9">
        <f>IFERROR(HLOOKUP(Q1,模型（季度基础数据）!$C:$Z,14,),"")</f>
        <v>50.035429619999995</v>
      </c>
      <c r="R15" s="9">
        <f>IFERROR(HLOOKUP(R1,模型（季度基础数据）!$C:$Z,14,),"")</f>
        <v>53.106068090000001</v>
      </c>
      <c r="S15" s="9">
        <f>IFERROR(HLOOKUP(S1,模型（季度基础数据）!$C:$Z,14,),"")</f>
        <v>34.306807030000002</v>
      </c>
      <c r="T15" s="9">
        <f>IFERROR(HLOOKUP(T1,模型（季度基础数据）!$C:$Z,14,),"")</f>
        <v>59.206309020000006</v>
      </c>
      <c r="U15" s="9">
        <f>IFERROR(HLOOKUP(U1,模型（季度基础数据）!$C:$Z,14,),"")</f>
        <v>23.81929031</v>
      </c>
      <c r="V15" s="9">
        <f>IFERROR(HLOOKUP(V1,模型（季度基础数据）!$C:$Z,14,),"")</f>
        <v>54.000171200000004</v>
      </c>
      <c r="W15" s="9">
        <f>IFERROR(HLOOKUP(W1,模型（季度基础数据）!$C:$Z,14,),"")</f>
        <v>32.977927610000002</v>
      </c>
      <c r="X15" s="9">
        <f>IFERROR(HLOOKUP(X1,模型（季度基础数据）!$C:$Z,14,),"")</f>
        <v>118.90270008</v>
      </c>
      <c r="Y15" s="9">
        <f>IFERROR(HLOOKUP(Y1,模型（季度基础数据）!$C:$Z,14,),"")</f>
        <v>280.26737791000005</v>
      </c>
      <c r="Z15" s="18" t="str">
        <f>IFERROR(HLOOKUP(Z1,模型（季度基础数据）!$C:$Z,14,),"")</f>
        <v/>
      </c>
    </row>
    <row r="16" spans="2:26" s="10" customFormat="1" ht="15" customHeight="1">
      <c r="B16" s="11" t="s">
        <v>23</v>
      </c>
      <c r="C16" s="14"/>
      <c r="D16" s="13"/>
      <c r="E16" s="13"/>
      <c r="F16" s="13"/>
      <c r="G16" s="13">
        <f t="shared" ref="G16:Z16" si="15">IFERROR((G15-C15)/ABS(C15),"")</f>
        <v>1.6527343613230485</v>
      </c>
      <c r="H16" s="13">
        <f t="shared" si="15"/>
        <v>-0.92774469029008366</v>
      </c>
      <c r="I16" s="13">
        <f t="shared" si="15"/>
        <v>-1.170947044737515</v>
      </c>
      <c r="J16" s="13">
        <f t="shared" si="15"/>
        <v>-6.4326668048689264E-2</v>
      </c>
      <c r="K16" s="13">
        <f t="shared" si="15"/>
        <v>-0.48507841383120565</v>
      </c>
      <c r="L16" s="13">
        <f t="shared" si="15"/>
        <v>39.486438610353659</v>
      </c>
      <c r="M16" s="13">
        <f t="shared" si="15"/>
        <v>22.184040844618789</v>
      </c>
      <c r="N16" s="13">
        <f t="shared" si="15"/>
        <v>-5.6882349050437035E-2</v>
      </c>
      <c r="O16" s="13">
        <f t="shared" si="15"/>
        <v>-0.13119985773975673</v>
      </c>
      <c r="P16" s="13">
        <f t="shared" si="15"/>
        <v>-0.38368091138541399</v>
      </c>
      <c r="Q16" s="13">
        <f t="shared" si="15"/>
        <v>-0.6512397292739549</v>
      </c>
      <c r="R16" s="13">
        <f t="shared" si="15"/>
        <v>-0.31491452989526203</v>
      </c>
      <c r="S16" s="13">
        <f t="shared" si="15"/>
        <v>-0.35732179039634615</v>
      </c>
      <c r="T16" s="13">
        <f t="shared" si="15"/>
        <v>-8.2586891339847548E-2</v>
      </c>
      <c r="U16" s="13">
        <f t="shared" si="15"/>
        <v>-0.52395151813628016</v>
      </c>
      <c r="V16" s="13">
        <f t="shared" si="15"/>
        <v>1.6836176018242346E-2</v>
      </c>
      <c r="W16" s="13">
        <f t="shared" si="15"/>
        <v>-3.8735153021904521E-2</v>
      </c>
      <c r="X16" s="13">
        <f t="shared" si="15"/>
        <v>1.0082775306907654</v>
      </c>
      <c r="Y16" s="13">
        <f t="shared" si="15"/>
        <v>10.766403375684792</v>
      </c>
      <c r="Z16" s="19" t="str">
        <f t="shared" si="15"/>
        <v/>
      </c>
    </row>
    <row r="17" spans="2:26" s="10" customFormat="1" ht="15" customHeight="1">
      <c r="B17" s="8" t="s">
        <v>29</v>
      </c>
      <c r="C17" s="9" t="str">
        <f>IFERROR(HLOOKUP(C1,模型（季度基础数据）!$C:$Z,16,),"")</f>
        <v/>
      </c>
      <c r="D17" s="9" t="str">
        <f>IFERROR(HLOOKUP(D1,模型（季度基础数据）!$C:$Z,16,),"")</f>
        <v/>
      </c>
      <c r="E17" s="9">
        <f>IFERROR(HLOOKUP(E1,模型（季度基础数据）!$C:$Z,16,),"")</f>
        <v>34.438296719999997</v>
      </c>
      <c r="F17" s="9">
        <f>IFERROR(HLOOKUP(F1,模型（季度基础数据）!$C:$Z,16,),"")</f>
        <v>64.186121850000006</v>
      </c>
      <c r="G17" s="9">
        <f>IFERROR(HLOOKUP(G1,模型（季度基础数据）!$C:$Z,16,),"")</f>
        <v>0.606227760000005</v>
      </c>
      <c r="H17" s="9">
        <f>IFERROR(HLOOKUP(H1,模型（季度基础数据）!$C:$Z,16,),"")</f>
        <v>2.39767298999999</v>
      </c>
      <c r="I17" s="9">
        <f>IFERROR(HLOOKUP(I1,模型（季度基础数据）!$C:$Z,16,),"")</f>
        <v>-33.224702559999997</v>
      </c>
      <c r="J17" s="9">
        <f>IFERROR(HLOOKUP(J1,模型（季度基础数据）!$C:$Z,16,),"")</f>
        <v>75.853986980000002</v>
      </c>
      <c r="K17" s="9">
        <f>IFERROR(HLOOKUP(K1,模型（季度基础数据）!$C:$Z,16,),"")</f>
        <v>61.112785799999997</v>
      </c>
      <c r="L17" s="9">
        <f>IFERROR(HLOOKUP(L1,模型（季度基础数据）!$C:$Z,16,),"")</f>
        <v>97.704049150000003</v>
      </c>
      <c r="M17" s="9">
        <f>IFERROR(HLOOKUP(M1,模型（季度基础数据）!$C:$Z,16,),"")</f>
        <v>81.541091989999998</v>
      </c>
      <c r="N17" s="9">
        <f>IFERROR(HLOOKUP(N1,模型（季度基础数据）!$C:$Z,16,),"")</f>
        <v>78.036762180000011</v>
      </c>
      <c r="O17" s="9">
        <f>IFERROR(HLOOKUP(O1,模型（季度基础数据）!$C:$Z,16,),"")</f>
        <v>44.543854799999998</v>
      </c>
      <c r="P17" s="9">
        <f>IFERROR(HLOOKUP(P1,模型（季度基础数据）!$C:$Z,16,),"")</f>
        <v>65.423931629999998</v>
      </c>
      <c r="Q17" s="9">
        <f>IFERROR(HLOOKUP(Q1,模型（季度基础数据）!$C:$Z,16,),"")</f>
        <v>37.712904350000002</v>
      </c>
      <c r="R17" s="9">
        <f>IFERROR(HLOOKUP(R1,模型（季度基础数据）!$C:$Z,16,),"")</f>
        <v>43.500111189999998</v>
      </c>
      <c r="S17" s="9">
        <f>IFERROR(HLOOKUP(S1,模型（季度基础数据）!$C:$Z,16,),"")</f>
        <v>27.71325444</v>
      </c>
      <c r="T17" s="9">
        <f>IFERROR(HLOOKUP(T1,模型（季度基础数据）!$C:$Z,16,),"")</f>
        <v>34.715620869999995</v>
      </c>
      <c r="U17" s="9">
        <f>IFERROR(HLOOKUP(U1,模型（季度基础数据）!$C:$Z,16,),"")</f>
        <v>8.6649769799999898</v>
      </c>
      <c r="V17" s="9">
        <f>IFERROR(HLOOKUP(V1,模型（季度基础数据）!$C:$Z,16,),"")</f>
        <v>32.092203959999999</v>
      </c>
      <c r="W17" s="9">
        <f>IFERROR(HLOOKUP(W1,模型（季度基础数据）!$C:$Z,16,),"")</f>
        <v>25.792410920000002</v>
      </c>
      <c r="X17" s="9">
        <f>IFERROR(HLOOKUP(X1,模型（季度基础数据）!$C:$Z,16,),"")</f>
        <v>98.995096560000007</v>
      </c>
      <c r="Y17" s="9">
        <f>IFERROR(HLOOKUP(Y1,模型（季度基础数据）!$C:$Z,16,),"")</f>
        <v>248.8274638</v>
      </c>
      <c r="Z17" s="18" t="str">
        <f>IFERROR(HLOOKUP(Z1,模型（季度基础数据）!$C:$Z,16,),"")</f>
        <v/>
      </c>
    </row>
    <row r="18" spans="2:26" s="10" customFormat="1" ht="15" customHeight="1">
      <c r="B18" s="15" t="s">
        <v>23</v>
      </c>
      <c r="C18" s="16"/>
      <c r="D18" s="17" t="str">
        <f>IFERROR((D17-C17)/ABS(C17),"")</f>
        <v/>
      </c>
      <c r="E18" s="17" t="str">
        <f t="shared" ref="E18" si="16">IFERROR((E17-D17)/ABS(D17),"")</f>
        <v/>
      </c>
      <c r="F18" s="17"/>
      <c r="G18" s="17" t="str">
        <f>IFERROR((G17-C17)/ABS(C17),"")</f>
        <v/>
      </c>
      <c r="H18" s="17" t="str">
        <f t="shared" ref="H18:Z18" si="17">IFERROR((H17-D17)/ABS(D17),"")</f>
        <v/>
      </c>
      <c r="I18" s="17">
        <f t="shared" si="17"/>
        <v>-1.9647603315034101</v>
      </c>
      <c r="J18" s="17">
        <f t="shared" si="17"/>
        <v>0.18178174336918587</v>
      </c>
      <c r="K18" s="17">
        <f>IFERROR((K17-G17)/ABS(G17),"")</f>
        <v>99.808293239490538</v>
      </c>
      <c r="L18" s="17">
        <f t="shared" si="17"/>
        <v>39.74953071477875</v>
      </c>
      <c r="M18" s="17">
        <f t="shared" si="17"/>
        <v>3.4542309097499415</v>
      </c>
      <c r="N18" s="17">
        <f t="shared" si="17"/>
        <v>2.8776011478151162E-2</v>
      </c>
      <c r="O18" s="17">
        <f t="shared" si="17"/>
        <v>-0.27112053203112202</v>
      </c>
      <c r="P18" s="17">
        <f t="shared" si="17"/>
        <v>-0.33038669124594827</v>
      </c>
      <c r="Q18" s="17">
        <f t="shared" si="17"/>
        <v>-0.53749816896461211</v>
      </c>
      <c r="R18" s="17">
        <f t="shared" si="17"/>
        <v>-0.44256898960438146</v>
      </c>
      <c r="S18" s="17">
        <f t="shared" si="17"/>
        <v>-0.37784337335797885</v>
      </c>
      <c r="T18" s="17">
        <f t="shared" si="17"/>
        <v>-0.46937427933356995</v>
      </c>
      <c r="U18" s="17">
        <f t="shared" si="17"/>
        <v>-0.77023840700298674</v>
      </c>
      <c r="V18" s="17">
        <f t="shared" si="17"/>
        <v>-0.26225007058424488</v>
      </c>
      <c r="W18" s="17">
        <f t="shared" si="17"/>
        <v>-6.9311365944359951E-2</v>
      </c>
      <c r="X18" s="17">
        <f t="shared" si="17"/>
        <v>1.8516009242844349</v>
      </c>
      <c r="Y18" s="17">
        <f t="shared" si="17"/>
        <v>27.716459879158307</v>
      </c>
      <c r="Z18" s="21" t="str">
        <f t="shared" si="17"/>
        <v/>
      </c>
    </row>
    <row r="22" spans="2:26">
      <c r="B22" s="32" t="s">
        <v>43</v>
      </c>
    </row>
    <row r="23" spans="2:26">
      <c r="B23" s="32" t="s">
        <v>66</v>
      </c>
    </row>
    <row r="24" spans="2:26">
      <c r="C24" s="33" t="str">
        <f t="shared" ref="C24:V24" si="18">G4</f>
        <v>2012Q1</v>
      </c>
      <c r="D24" s="33" t="str">
        <f t="shared" si="18"/>
        <v>2012Q2</v>
      </c>
      <c r="E24" s="33" t="str">
        <f t="shared" si="18"/>
        <v>2012Q3</v>
      </c>
      <c r="F24" s="33" t="str">
        <f t="shared" si="18"/>
        <v>2012Q4</v>
      </c>
      <c r="G24" s="33" t="str">
        <f t="shared" si="18"/>
        <v>2013Q1</v>
      </c>
      <c r="H24" s="33" t="str">
        <f t="shared" si="18"/>
        <v>2013Q2</v>
      </c>
      <c r="I24" s="33" t="str">
        <f t="shared" si="18"/>
        <v>2013Q3</v>
      </c>
      <c r="J24" s="33" t="str">
        <f t="shared" si="18"/>
        <v>2013Q4</v>
      </c>
      <c r="K24" s="33" t="str">
        <f t="shared" si="18"/>
        <v>2014Q1</v>
      </c>
      <c r="L24" s="33" t="str">
        <f t="shared" si="18"/>
        <v>2014Q2</v>
      </c>
      <c r="M24" s="33" t="str">
        <f t="shared" si="18"/>
        <v>2014Q3</v>
      </c>
      <c r="N24" s="33" t="str">
        <f t="shared" si="18"/>
        <v>2014Q4</v>
      </c>
      <c r="O24" s="33" t="str">
        <f t="shared" si="18"/>
        <v>2015Q1</v>
      </c>
      <c r="P24" s="33" t="str">
        <f t="shared" si="18"/>
        <v>2015Q2</v>
      </c>
      <c r="Q24" s="33" t="str">
        <f t="shared" si="18"/>
        <v>2015Q3</v>
      </c>
      <c r="R24" s="33" t="str">
        <f t="shared" si="18"/>
        <v>2015Q4</v>
      </c>
      <c r="S24" s="33" t="str">
        <f t="shared" si="18"/>
        <v>2016Q1</v>
      </c>
      <c r="T24" s="33" t="str">
        <f t="shared" si="18"/>
        <v>2016Q2</v>
      </c>
      <c r="U24" s="33" t="str">
        <f t="shared" si="18"/>
        <v>2016Q3</v>
      </c>
      <c r="V24" s="33" t="str">
        <f t="shared" si="18"/>
        <v>2016Q4</v>
      </c>
    </row>
    <row r="25" spans="2:26">
      <c r="B25" s="39" t="s">
        <v>44</v>
      </c>
      <c r="C25" s="30">
        <f>G6</f>
        <v>0.16224277978473634</v>
      </c>
      <c r="D25" s="30">
        <f t="shared" ref="D25:V25" si="19">H6</f>
        <v>7.1191305247111591E-2</v>
      </c>
      <c r="E25" s="30">
        <f t="shared" si="19"/>
        <v>0.48179624014670797</v>
      </c>
      <c r="F25" s="30">
        <f t="shared" si="19"/>
        <v>0.50129701396521753</v>
      </c>
      <c r="G25" s="30">
        <f t="shared" si="19"/>
        <v>0.3529067230826326</v>
      </c>
      <c r="H25" s="30">
        <f t="shared" si="19"/>
        <v>0.77892542667589404</v>
      </c>
      <c r="I25" s="30">
        <f t="shared" si="19"/>
        <v>0.22165009749077025</v>
      </c>
      <c r="J25" s="30">
        <f t="shared" si="19"/>
        <v>0.1013087891560136</v>
      </c>
      <c r="K25" s="30">
        <f t="shared" si="19"/>
        <v>0.14681589727774091</v>
      </c>
      <c r="L25" s="30">
        <f t="shared" si="19"/>
        <v>0.1927922149462471</v>
      </c>
      <c r="M25" s="30">
        <f t="shared" si="19"/>
        <v>-4.2390524322112322E-2</v>
      </c>
      <c r="N25" s="30">
        <f t="shared" si="19"/>
        <v>-5.4058304566277249E-2</v>
      </c>
      <c r="O25" s="30">
        <f t="shared" si="19"/>
        <v>-0.10731863608786629</v>
      </c>
      <c r="P25" s="30">
        <f t="shared" si="19"/>
        <v>0.45066121379143875</v>
      </c>
      <c r="Q25" s="30">
        <f t="shared" si="19"/>
        <v>0.54352951685237305</v>
      </c>
      <c r="R25" s="30">
        <f t="shared" si="19"/>
        <v>0.62114938621401361</v>
      </c>
      <c r="S25" s="30">
        <f t="shared" si="19"/>
        <v>0.65778137344774135</v>
      </c>
      <c r="T25" s="30">
        <f t="shared" si="19"/>
        <v>0.12871306742751787</v>
      </c>
      <c r="U25" s="30">
        <f t="shared" si="19"/>
        <v>0.327634962095537</v>
      </c>
      <c r="V25" s="30" t="str">
        <f t="shared" si="19"/>
        <v/>
      </c>
    </row>
    <row r="26" spans="2:26">
      <c r="B26" s="39" t="s">
        <v>45</v>
      </c>
      <c r="C26" s="30">
        <f>G16</f>
        <v>1.6527343613230485</v>
      </c>
      <c r="D26" s="30">
        <f>H16</f>
        <v>-0.92774469029008366</v>
      </c>
      <c r="E26" s="30">
        <f t="shared" ref="E26:V26" si="20">I16</f>
        <v>-1.170947044737515</v>
      </c>
      <c r="F26" s="30">
        <f t="shared" si="20"/>
        <v>-6.4326668048689264E-2</v>
      </c>
      <c r="G26" s="30">
        <f t="shared" si="20"/>
        <v>-0.48507841383120565</v>
      </c>
      <c r="H26" s="30">
        <f t="shared" si="20"/>
        <v>39.486438610353659</v>
      </c>
      <c r="I26" s="30">
        <f t="shared" si="20"/>
        <v>22.184040844618789</v>
      </c>
      <c r="J26" s="30">
        <f t="shared" si="20"/>
        <v>-5.6882349050437035E-2</v>
      </c>
      <c r="K26" s="30">
        <f t="shared" si="20"/>
        <v>-0.13119985773975673</v>
      </c>
      <c r="L26" s="30">
        <f t="shared" si="20"/>
        <v>-0.38368091138541399</v>
      </c>
      <c r="M26" s="30">
        <f t="shared" si="20"/>
        <v>-0.6512397292739549</v>
      </c>
      <c r="N26" s="30">
        <f t="shared" si="20"/>
        <v>-0.31491452989526203</v>
      </c>
      <c r="O26" s="30">
        <f t="shared" si="20"/>
        <v>-0.35732179039634615</v>
      </c>
      <c r="P26" s="30">
        <f t="shared" si="20"/>
        <v>-8.2586891339847548E-2</v>
      </c>
      <c r="Q26" s="30">
        <f>U16</f>
        <v>-0.52395151813628016</v>
      </c>
      <c r="R26" s="30">
        <f t="shared" si="20"/>
        <v>1.6836176018242346E-2</v>
      </c>
      <c r="S26" s="30">
        <f t="shared" si="20"/>
        <v>-3.8735153021904521E-2</v>
      </c>
      <c r="T26" s="30">
        <f t="shared" si="20"/>
        <v>1.0082775306907654</v>
      </c>
      <c r="U26" s="30">
        <f t="shared" si="20"/>
        <v>10.766403375684792</v>
      </c>
      <c r="V26" s="30" t="str">
        <f t="shared" si="20"/>
        <v/>
      </c>
    </row>
    <row r="30" spans="2:26">
      <c r="C30" s="31"/>
      <c r="D30" s="31"/>
      <c r="E30" s="31"/>
      <c r="F30" s="31"/>
      <c r="G30" s="31"/>
      <c r="H30" s="31"/>
      <c r="I30" s="31"/>
      <c r="J30" s="31"/>
      <c r="K30" s="31"/>
      <c r="L30" s="31"/>
      <c r="M30" s="31"/>
      <c r="N30" s="31"/>
      <c r="O30" s="31"/>
      <c r="P30" s="31"/>
      <c r="Q30" s="31"/>
      <c r="R30" s="31"/>
      <c r="S30" s="31"/>
      <c r="T30" s="31"/>
      <c r="U30" s="31"/>
      <c r="V30" s="31"/>
    </row>
    <row r="31" spans="2:26">
      <c r="P31" s="32" t="s">
        <v>76</v>
      </c>
    </row>
    <row r="48" spans="2:2">
      <c r="B48" s="32" t="s">
        <v>77</v>
      </c>
    </row>
    <row r="49" spans="2:26">
      <c r="C49" s="34" t="str">
        <f>C4</f>
        <v>2011Q1</v>
      </c>
      <c r="D49" s="34" t="str">
        <f t="shared" ref="D49:Z49" si="21">D4</f>
        <v>2011Q2</v>
      </c>
      <c r="E49" s="34" t="str">
        <f t="shared" si="21"/>
        <v>2011Q3</v>
      </c>
      <c r="F49" s="34" t="str">
        <f t="shared" si="21"/>
        <v>2011Q4</v>
      </c>
      <c r="G49" s="34" t="str">
        <f t="shared" si="21"/>
        <v>2012Q1</v>
      </c>
      <c r="H49" s="34" t="str">
        <f t="shared" si="21"/>
        <v>2012Q2</v>
      </c>
      <c r="I49" s="34" t="str">
        <f t="shared" si="21"/>
        <v>2012Q3</v>
      </c>
      <c r="J49" s="34" t="str">
        <f t="shared" si="21"/>
        <v>2012Q4</v>
      </c>
      <c r="K49" s="34" t="str">
        <f t="shared" si="21"/>
        <v>2013Q1</v>
      </c>
      <c r="L49" s="34" t="str">
        <f t="shared" si="21"/>
        <v>2013Q2</v>
      </c>
      <c r="M49" s="34" t="str">
        <f t="shared" si="21"/>
        <v>2013Q3</v>
      </c>
      <c r="N49" s="34" t="str">
        <f t="shared" si="21"/>
        <v>2013Q4</v>
      </c>
      <c r="O49" s="34" t="str">
        <f t="shared" si="21"/>
        <v>2014Q1</v>
      </c>
      <c r="P49" s="34" t="str">
        <f t="shared" si="21"/>
        <v>2014Q2</v>
      </c>
      <c r="Q49" s="34" t="str">
        <f t="shared" si="21"/>
        <v>2014Q3</v>
      </c>
      <c r="R49" s="34" t="str">
        <f t="shared" si="21"/>
        <v>2014Q4</v>
      </c>
      <c r="S49" s="34" t="str">
        <f t="shared" si="21"/>
        <v>2015Q1</v>
      </c>
      <c r="T49" s="34" t="str">
        <f t="shared" si="21"/>
        <v>2015Q2</v>
      </c>
      <c r="U49" s="34" t="str">
        <f t="shared" si="21"/>
        <v>2015Q3</v>
      </c>
      <c r="V49" s="34" t="str">
        <f t="shared" si="21"/>
        <v>2015Q4</v>
      </c>
      <c r="W49" s="34" t="str">
        <f t="shared" si="21"/>
        <v>2016Q1</v>
      </c>
      <c r="X49" s="34" t="str">
        <f t="shared" si="21"/>
        <v>2016Q2</v>
      </c>
      <c r="Y49" s="34" t="str">
        <f t="shared" si="21"/>
        <v>2016Q3</v>
      </c>
      <c r="Z49" s="34" t="str">
        <f t="shared" si="21"/>
        <v>2016Q4</v>
      </c>
    </row>
    <row r="50" spans="2:26">
      <c r="B50" s="39" t="s">
        <v>67</v>
      </c>
      <c r="C50" s="30">
        <f>C9</f>
        <v>0.22662926031362501</v>
      </c>
      <c r="D50" s="30">
        <f t="shared" ref="D50:Z50" si="22">D9</f>
        <v>0.20438831530643434</v>
      </c>
      <c r="E50" s="30">
        <f t="shared" si="22"/>
        <v>0.19435436549461832</v>
      </c>
      <c r="F50" s="30">
        <f t="shared" si="22"/>
        <v>0.23791169834657311</v>
      </c>
      <c r="G50" s="30">
        <f t="shared" si="22"/>
        <v>0.14350616801924398</v>
      </c>
      <c r="H50" s="30">
        <f t="shared" si="22"/>
        <v>0.14642550390836648</v>
      </c>
      <c r="I50" s="30">
        <f t="shared" si="22"/>
        <v>0.11882191122840452</v>
      </c>
      <c r="J50" s="30">
        <f t="shared" si="22"/>
        <v>0.20274395252468469</v>
      </c>
      <c r="K50" s="30">
        <f t="shared" si="22"/>
        <v>0.25993619303013715</v>
      </c>
      <c r="L50" s="30">
        <f t="shared" si="22"/>
        <v>0.26481859333993646</v>
      </c>
      <c r="M50" s="30">
        <f t="shared" si="22"/>
        <v>0.32496809617552491</v>
      </c>
      <c r="N50" s="30">
        <f t="shared" si="22"/>
        <v>0.30306621789419691</v>
      </c>
      <c r="O50" s="30">
        <f t="shared" si="22"/>
        <v>0.21340359430433045</v>
      </c>
      <c r="P50" s="30">
        <f t="shared" si="22"/>
        <v>0.20253837465609206</v>
      </c>
      <c r="Q50" s="30">
        <f t="shared" si="22"/>
        <v>0.20279571099925273</v>
      </c>
      <c r="R50" s="30">
        <f t="shared" si="22"/>
        <v>0.19219575753356627</v>
      </c>
      <c r="S50" s="30">
        <f t="shared" si="22"/>
        <v>0.21633471699284043</v>
      </c>
      <c r="T50" s="30">
        <f t="shared" si="22"/>
        <v>0.17380567449250722</v>
      </c>
      <c r="U50" s="30">
        <f t="shared" si="22"/>
        <v>0.16900707708602988</v>
      </c>
      <c r="V50" s="30">
        <f t="shared" si="22"/>
        <v>0.17812434210934688</v>
      </c>
      <c r="W50" s="30">
        <f t="shared" si="22"/>
        <v>0.21273601874217735</v>
      </c>
      <c r="X50" s="30">
        <f t="shared" si="22"/>
        <v>0.20180860072594406</v>
      </c>
      <c r="Y50" s="30">
        <f t="shared" si="22"/>
        <v>0.36363821427825704</v>
      </c>
      <c r="Z50" s="30" t="str">
        <f t="shared" si="22"/>
        <v/>
      </c>
    </row>
    <row r="51" spans="2:26">
      <c r="B51" s="39" t="s">
        <v>68</v>
      </c>
      <c r="C51" s="30">
        <f>C14</f>
        <v>9.7758910500651885E-2</v>
      </c>
      <c r="D51" s="30">
        <f t="shared" ref="D51:Z51" si="23">D14</f>
        <v>7.4609450325557949E-2</v>
      </c>
      <c r="E51" s="30">
        <f t="shared" si="23"/>
        <v>8.1515483230974142E-2</v>
      </c>
      <c r="F51" s="30">
        <f t="shared" si="23"/>
        <v>0.14402237837099255</v>
      </c>
      <c r="G51" s="30">
        <f t="shared" si="23"/>
        <v>0.22312758187976447</v>
      </c>
      <c r="H51" s="30">
        <f t="shared" si="23"/>
        <v>5.0326481499177065E-3</v>
      </c>
      <c r="I51" s="30">
        <f t="shared" si="23"/>
        <v>-9.4040129007925202E-3</v>
      </c>
      <c r="J51" s="30">
        <f t="shared" si="23"/>
        <v>8.9760984929968757E-2</v>
      </c>
      <c r="K51" s="30">
        <f t="shared" si="23"/>
        <v>8.4923229679684603E-2</v>
      </c>
      <c r="L51" s="30">
        <f t="shared" si="23"/>
        <v>0.11453768511808196</v>
      </c>
      <c r="M51" s="30">
        <f t="shared" si="23"/>
        <v>0.16307041910191136</v>
      </c>
      <c r="N51" s="30">
        <f t="shared" si="23"/>
        <v>7.6867786843821173E-2</v>
      </c>
      <c r="O51" s="30">
        <f t="shared" si="23"/>
        <v>6.4335796357591485E-2</v>
      </c>
      <c r="P51" s="30">
        <f t="shared" si="23"/>
        <v>5.9181943694344041E-2</v>
      </c>
      <c r="Q51" s="30">
        <f t="shared" si="23"/>
        <v>5.9390059265163851E-2</v>
      </c>
      <c r="R51" s="30">
        <f t="shared" si="23"/>
        <v>5.5670454257399533E-2</v>
      </c>
      <c r="S51" s="30">
        <f t="shared" si="23"/>
        <v>4.6317998882960849E-2</v>
      </c>
      <c r="T51" s="30">
        <f t="shared" si="23"/>
        <v>3.7427271388386446E-2</v>
      </c>
      <c r="U51" s="30">
        <f t="shared" si="23"/>
        <v>1.8316816907157113E-2</v>
      </c>
      <c r="V51" s="30">
        <f t="shared" si="23"/>
        <v>3.4918269905090435E-2</v>
      </c>
      <c r="W51" s="30">
        <f t="shared" si="23"/>
        <v>2.6857500525514555E-2</v>
      </c>
      <c r="X51" s="30">
        <f t="shared" si="23"/>
        <v>6.6592963555982473E-2</v>
      </c>
      <c r="Y51" s="30">
        <f t="shared" si="23"/>
        <v>0.16233608065577942</v>
      </c>
      <c r="Z51" s="30" t="str">
        <f t="shared" si="23"/>
        <v/>
      </c>
    </row>
  </sheetData>
  <phoneticPr fontId="6" type="noConversion"/>
  <pageMargins left="0.7" right="0.7" top="0.75" bottom="0.75" header="0.3" footer="0.3"/>
  <pageSetup paperSize="9" orientation="portrait" horizontalDpi="0" verticalDpi="0" r:id="rId1"/>
  <ignoredErrors>
    <ignoredError sqref="G17:Z17"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workbookViewId="0">
      <selection activeCell="K24" sqref="K24"/>
    </sheetView>
  </sheetViews>
  <sheetFormatPr defaultColWidth="9.140625" defaultRowHeight="12.75"/>
  <cols>
    <col min="1" max="1" width="9.140625" style="1"/>
    <col min="2" max="2" width="16.5703125" style="1" bestFit="1" customWidth="1"/>
    <col min="3" max="3" width="9.42578125" style="1" customWidth="1"/>
    <col min="4" max="16384" width="9.140625" style="1"/>
  </cols>
  <sheetData>
    <row r="1" spans="2:9">
      <c r="C1" s="7">
        <v>40178</v>
      </c>
      <c r="D1" s="7">
        <v>40543</v>
      </c>
      <c r="E1" s="7">
        <v>40908</v>
      </c>
      <c r="F1" s="7">
        <v>41274</v>
      </c>
      <c r="G1" s="7">
        <v>41639</v>
      </c>
      <c r="H1" s="7">
        <v>42004</v>
      </c>
      <c r="I1" s="7">
        <v>42369</v>
      </c>
    </row>
    <row r="2" spans="2:9">
      <c r="C2" s="7"/>
      <c r="D2" s="7"/>
      <c r="E2" s="7"/>
      <c r="F2" s="7"/>
      <c r="G2" s="7"/>
      <c r="H2" s="7"/>
      <c r="I2" s="7"/>
    </row>
    <row r="3" spans="2:9">
      <c r="B3" s="29" t="s">
        <v>37</v>
      </c>
    </row>
    <row r="4" spans="2:9">
      <c r="B4" s="1" t="s">
        <v>21</v>
      </c>
      <c r="C4" s="29">
        <v>2009</v>
      </c>
      <c r="D4" s="1">
        <v>2010</v>
      </c>
      <c r="E4" s="1">
        <v>2011</v>
      </c>
      <c r="F4" s="1">
        <v>2012</v>
      </c>
      <c r="G4" s="1">
        <v>2013</v>
      </c>
      <c r="H4" s="1">
        <v>2014</v>
      </c>
      <c r="I4" s="1">
        <v>2015</v>
      </c>
    </row>
    <row r="5" spans="2:9" s="10" customFormat="1" ht="15.75" customHeight="1">
      <c r="B5" s="8" t="s">
        <v>22</v>
      </c>
      <c r="C5" s="9">
        <v>1175.0627769800001</v>
      </c>
      <c r="D5" s="9">
        <v>1905.03082513</v>
      </c>
      <c r="E5" s="9">
        <v>2035.8183279699999</v>
      </c>
      <c r="F5" s="9">
        <v>2684.5356464000001</v>
      </c>
      <c r="G5" s="9">
        <v>3525.95368164</v>
      </c>
      <c r="H5" s="9">
        <v>3716.61960658</v>
      </c>
      <c r="I5" s="18">
        <v>5169.4615371199998</v>
      </c>
    </row>
    <row r="6" spans="2:9" s="10" customFormat="1" ht="15.75" customHeight="1">
      <c r="B6" s="11" t="s">
        <v>23</v>
      </c>
      <c r="C6" s="12"/>
      <c r="D6" s="13">
        <v>0.62121621282743122</v>
      </c>
      <c r="E6" s="13">
        <v>6.8653746235877833E-2</v>
      </c>
      <c r="F6" s="13">
        <v>0.31865187061011646</v>
      </c>
      <c r="G6" s="13">
        <v>0.31343150029255651</v>
      </c>
      <c r="H6" s="13">
        <v>5.4074994215839167E-2</v>
      </c>
      <c r="I6" s="19">
        <v>0.39090412372787653</v>
      </c>
    </row>
    <row r="7" spans="2:9" s="10" customFormat="1" ht="15.75" customHeight="1">
      <c r="B7" s="8" t="s">
        <v>24</v>
      </c>
      <c r="C7" s="9">
        <v>361.56322991000002</v>
      </c>
      <c r="D7" s="9">
        <v>639.17390363000004</v>
      </c>
      <c r="E7" s="9">
        <v>441.90142926999988</v>
      </c>
      <c r="F7" s="9">
        <v>423.21424242000012</v>
      </c>
      <c r="G7" s="9">
        <v>1021.6950316900002</v>
      </c>
      <c r="H7" s="9">
        <v>752.12384073000021</v>
      </c>
      <c r="I7" s="18">
        <v>930.42073408999931</v>
      </c>
    </row>
    <row r="8" spans="2:9" s="10" customFormat="1" ht="15.75" customHeight="1">
      <c r="B8" s="11" t="s">
        <v>69</v>
      </c>
      <c r="C8" s="13">
        <v>0.30769694776584172</v>
      </c>
      <c r="D8" s="13">
        <v>0.33551892977184899</v>
      </c>
      <c r="E8" s="13">
        <v>0.21706329253388654</v>
      </c>
      <c r="F8" s="13">
        <v>0.15764895615654662</v>
      </c>
      <c r="G8" s="13">
        <v>0.28976416707061986</v>
      </c>
      <c r="H8" s="13">
        <v>0.2023677213020188</v>
      </c>
      <c r="I8" s="19">
        <v>0.1799840713406978</v>
      </c>
    </row>
    <row r="9" spans="2:9" s="10" customFormat="1" ht="15.75" customHeight="1">
      <c r="B9" s="11" t="s">
        <v>23</v>
      </c>
      <c r="C9" s="13"/>
      <c r="D9" s="13">
        <v>0.76780670918639216</v>
      </c>
      <c r="E9" s="13">
        <v>-0.30863662180143653</v>
      </c>
      <c r="F9" s="13">
        <v>-4.228813398696199E-2</v>
      </c>
      <c r="G9" s="13">
        <v>1.4141319674115893</v>
      </c>
      <c r="H9" s="13">
        <v>-0.26384702146794081</v>
      </c>
      <c r="I9" s="19">
        <v>0.23705789353379197</v>
      </c>
    </row>
    <row r="10" spans="2:9" s="10" customFormat="1" ht="15.75" customHeight="1">
      <c r="B10" s="8" t="s">
        <v>25</v>
      </c>
      <c r="C10" s="9">
        <v>217.49876791999998</v>
      </c>
      <c r="D10" s="9">
        <v>397.78229833</v>
      </c>
      <c r="E10" s="9">
        <v>204.02938584</v>
      </c>
      <c r="F10" s="9">
        <v>51.428303590000006</v>
      </c>
      <c r="G10" s="9">
        <v>375.17049867000003</v>
      </c>
      <c r="H10" s="9">
        <v>145.34172265999999</v>
      </c>
      <c r="I10" s="18">
        <v>135.62167755999999</v>
      </c>
    </row>
    <row r="11" spans="2:9" s="10" customFormat="1" ht="15.75" customHeight="1">
      <c r="B11" s="11" t="s">
        <v>26</v>
      </c>
      <c r="C11" s="14">
        <v>0.18509544526547611</v>
      </c>
      <c r="D11" s="14">
        <v>0.20880622669339494</v>
      </c>
      <c r="E11" s="14">
        <v>0.10021983938195815</v>
      </c>
      <c r="F11" s="14">
        <v>1.9157243696490335E-2</v>
      </c>
      <c r="G11" s="14">
        <v>0.10640256014239524</v>
      </c>
      <c r="H11" s="14">
        <v>3.9105891386539325E-2</v>
      </c>
      <c r="I11" s="20">
        <v>2.6235165226813406E-2</v>
      </c>
    </row>
    <row r="12" spans="2:9" s="10" customFormat="1" ht="15.75" customHeight="1">
      <c r="B12" s="8" t="s">
        <v>27</v>
      </c>
      <c r="C12" s="9">
        <v>179.18776929000001</v>
      </c>
      <c r="D12" s="9">
        <v>328.27581841</v>
      </c>
      <c r="E12" s="9">
        <v>208.2362468</v>
      </c>
      <c r="F12" s="9">
        <v>197.33015062000001</v>
      </c>
      <c r="G12" s="9">
        <v>387.13842170999999</v>
      </c>
      <c r="H12" s="9">
        <v>221.05864902000002</v>
      </c>
      <c r="I12" s="18">
        <v>171.33257756</v>
      </c>
    </row>
    <row r="13" spans="2:9" s="10" customFormat="1" ht="15.75" customHeight="1">
      <c r="B13" s="11" t="s">
        <v>28</v>
      </c>
      <c r="C13" s="14">
        <v>0.15249208195542205</v>
      </c>
      <c r="D13" s="14">
        <v>0.17232047591019864</v>
      </c>
      <c r="E13" s="14">
        <v>0.10228626196112554</v>
      </c>
      <c r="F13" s="14">
        <v>7.3506250842533052E-2</v>
      </c>
      <c r="G13" s="14">
        <v>0.10979679731071601</v>
      </c>
      <c r="H13" s="14">
        <v>5.9478416523615178E-2</v>
      </c>
      <c r="I13" s="20">
        <v>3.3143215464458697E-2</v>
      </c>
    </row>
    <row r="14" spans="2:9" s="10" customFormat="1" ht="15.75" customHeight="1">
      <c r="B14" s="8" t="s">
        <v>31</v>
      </c>
      <c r="C14" s="9">
        <v>179.18776929000001</v>
      </c>
      <c r="D14" s="9">
        <v>328.27581841</v>
      </c>
      <c r="E14" s="9">
        <v>208.2362468</v>
      </c>
      <c r="F14" s="9">
        <v>197.33015062000001</v>
      </c>
      <c r="G14" s="9">
        <v>387.13842170999999</v>
      </c>
      <c r="H14" s="9">
        <v>221.05864902000002</v>
      </c>
      <c r="I14" s="18">
        <v>171.33257756</v>
      </c>
    </row>
    <row r="15" spans="2:9" s="10" customFormat="1" ht="15.75" customHeight="1">
      <c r="B15" s="11" t="s">
        <v>32</v>
      </c>
      <c r="C15" s="14">
        <v>0.15249208195542205</v>
      </c>
      <c r="D15" s="14">
        <v>0.17232047591019864</v>
      </c>
      <c r="E15" s="14">
        <v>0.10228626196112554</v>
      </c>
      <c r="F15" s="14">
        <v>7.3506250842533052E-2</v>
      </c>
      <c r="G15" s="14">
        <v>0.10979679731071601</v>
      </c>
      <c r="H15" s="14">
        <v>5.9478416523615178E-2</v>
      </c>
      <c r="I15" s="20">
        <v>3.3143215464458697E-2</v>
      </c>
    </row>
    <row r="16" spans="2:9" s="10" customFormat="1" ht="15.75" customHeight="1">
      <c r="B16" s="11" t="s">
        <v>23</v>
      </c>
      <c r="C16" s="14"/>
      <c r="D16" s="13">
        <v>0.83202134671766459</v>
      </c>
      <c r="E16" s="13">
        <v>-0.36566681088911823</v>
      </c>
      <c r="F16" s="13">
        <v>-5.2373668598026189E-2</v>
      </c>
      <c r="G16" s="13">
        <v>0.9618817524520874</v>
      </c>
      <c r="H16" s="13">
        <v>-0.42899325764779817</v>
      </c>
      <c r="I16" s="19">
        <v>-0.224945152250076</v>
      </c>
    </row>
    <row r="17" spans="2:9" s="10" customFormat="1" ht="15.75" customHeight="1">
      <c r="B17" s="8" t="s">
        <v>29</v>
      </c>
      <c r="C17" s="9">
        <v>176.91917526</v>
      </c>
      <c r="D17" s="9">
        <v>323.45525056000002</v>
      </c>
      <c r="E17" s="9">
        <v>179.05269409000002</v>
      </c>
      <c r="F17" s="9">
        <v>45.633185170000004</v>
      </c>
      <c r="G17" s="9">
        <v>318.39468912000001</v>
      </c>
      <c r="H17" s="9">
        <v>191.18080197</v>
      </c>
      <c r="I17" s="18">
        <v>103.18605624999999</v>
      </c>
    </row>
    <row r="18" spans="2:9" s="10" customFormat="1" ht="15.75" customHeight="1">
      <c r="B18" s="11" t="s">
        <v>30</v>
      </c>
      <c r="C18" s="14">
        <v>0.98733957100426606</v>
      </c>
      <c r="D18" s="14">
        <v>0.98531549514262629</v>
      </c>
      <c r="E18" s="14">
        <v>0.85985363663402337</v>
      </c>
      <c r="F18" s="14">
        <v>0.23125297896253136</v>
      </c>
      <c r="G18" s="14">
        <v>0.8224311286739322</v>
      </c>
      <c r="H18" s="14">
        <v>0.86484199020280428</v>
      </c>
      <c r="I18" s="20">
        <v>0.60225590322345224</v>
      </c>
    </row>
    <row r="19" spans="2:9" s="10" customFormat="1" ht="15.75" customHeight="1">
      <c r="B19" s="15" t="s">
        <v>23</v>
      </c>
      <c r="C19" s="16"/>
      <c r="D19" s="17">
        <v>0.8282656477719329</v>
      </c>
      <c r="E19" s="17">
        <v>-0.44643750942362193</v>
      </c>
      <c r="F19" s="17">
        <v>-0.74514103012009014</v>
      </c>
      <c r="G19" s="17">
        <v>5.9772620064513458</v>
      </c>
      <c r="H19" s="17">
        <v>-0.39954776727464281</v>
      </c>
      <c r="I19" s="21">
        <v>-0.46026978029838006</v>
      </c>
    </row>
  </sheetData>
  <phoneticPr fontId="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19"/>
  <sheetViews>
    <sheetView workbookViewId="0">
      <selection activeCell="F12" sqref="F12"/>
    </sheetView>
  </sheetViews>
  <sheetFormatPr defaultColWidth="9.140625" defaultRowHeight="12.75"/>
  <cols>
    <col min="1" max="1" width="9.140625" style="1"/>
    <col min="2" max="2" width="17.85546875" style="1" bestFit="1" customWidth="1"/>
    <col min="3" max="3" width="9.42578125" style="1" customWidth="1"/>
    <col min="4" max="16384" width="9.140625" style="1"/>
  </cols>
  <sheetData>
    <row r="1" spans="2:26">
      <c r="C1" s="7">
        <v>40633</v>
      </c>
      <c r="D1" s="7">
        <v>40999</v>
      </c>
      <c r="E1" s="7">
        <v>41364</v>
      </c>
      <c r="F1" s="7">
        <v>41729</v>
      </c>
      <c r="G1" s="7">
        <v>42094</v>
      </c>
      <c r="H1" s="7">
        <v>42460</v>
      </c>
      <c r="I1" s="7">
        <v>40724</v>
      </c>
      <c r="J1" s="7">
        <v>41090</v>
      </c>
      <c r="K1" s="7">
        <v>41455</v>
      </c>
      <c r="L1" s="7">
        <v>41820</v>
      </c>
      <c r="M1" s="7">
        <v>42185</v>
      </c>
      <c r="N1" s="7">
        <v>42551</v>
      </c>
      <c r="O1" s="7">
        <v>40816</v>
      </c>
      <c r="P1" s="7">
        <v>41182</v>
      </c>
      <c r="Q1" s="7">
        <v>41547</v>
      </c>
      <c r="R1" s="7">
        <v>41912</v>
      </c>
      <c r="S1" s="7">
        <v>42277</v>
      </c>
      <c r="T1" s="7">
        <v>42643</v>
      </c>
      <c r="U1" s="7">
        <v>40908</v>
      </c>
      <c r="V1" s="7">
        <v>41274</v>
      </c>
      <c r="W1" s="7">
        <v>41639</v>
      </c>
      <c r="X1" s="7">
        <v>42004</v>
      </c>
      <c r="Y1" s="7">
        <v>42369</v>
      </c>
      <c r="Z1" s="7">
        <v>42735</v>
      </c>
    </row>
    <row r="2" spans="2:26">
      <c r="C2" s="7"/>
      <c r="D2" s="7"/>
      <c r="E2" s="7"/>
      <c r="F2" s="7"/>
      <c r="G2" s="7"/>
      <c r="H2" s="7"/>
    </row>
    <row r="3" spans="2:26">
      <c r="B3" s="29" t="s">
        <v>37</v>
      </c>
      <c r="C3" s="77" t="s">
        <v>33</v>
      </c>
      <c r="D3" s="77"/>
      <c r="E3" s="77"/>
      <c r="F3" s="77"/>
      <c r="G3" s="77"/>
      <c r="H3" s="77"/>
      <c r="I3" s="77" t="s">
        <v>34</v>
      </c>
      <c r="J3" s="77"/>
      <c r="K3" s="77"/>
      <c r="L3" s="77"/>
      <c r="M3" s="77"/>
      <c r="N3" s="77"/>
      <c r="O3" s="77" t="s">
        <v>35</v>
      </c>
      <c r="P3" s="77"/>
      <c r="Q3" s="77"/>
      <c r="R3" s="77"/>
      <c r="S3" s="77"/>
      <c r="T3" s="77"/>
      <c r="U3" s="77" t="s">
        <v>36</v>
      </c>
      <c r="V3" s="77"/>
      <c r="W3" s="77"/>
      <c r="X3" s="77"/>
      <c r="Y3" s="77"/>
      <c r="Z3" s="77"/>
    </row>
    <row r="4" spans="2:26">
      <c r="B4" s="1" t="s">
        <v>21</v>
      </c>
      <c r="C4" s="29">
        <v>2011</v>
      </c>
      <c r="D4" s="1">
        <v>2012</v>
      </c>
      <c r="E4" s="1">
        <v>2013</v>
      </c>
      <c r="F4" s="1">
        <v>2014</v>
      </c>
      <c r="G4" s="1">
        <v>2015</v>
      </c>
      <c r="H4" s="1">
        <v>2016</v>
      </c>
      <c r="I4" s="1">
        <v>2011</v>
      </c>
      <c r="J4" s="1">
        <v>2012</v>
      </c>
      <c r="K4" s="1">
        <v>2013</v>
      </c>
      <c r="L4" s="1">
        <v>2014</v>
      </c>
      <c r="M4" s="1">
        <v>2015</v>
      </c>
      <c r="N4" s="1">
        <v>2016</v>
      </c>
      <c r="O4" s="1">
        <v>2011</v>
      </c>
      <c r="P4" s="1">
        <v>2012</v>
      </c>
      <c r="Q4" s="1">
        <v>2013</v>
      </c>
      <c r="R4" s="1">
        <v>2014</v>
      </c>
      <c r="S4" s="1">
        <v>2015</v>
      </c>
      <c r="T4" s="1">
        <v>2016</v>
      </c>
      <c r="U4" s="3">
        <v>2011</v>
      </c>
      <c r="V4" s="3">
        <v>2012</v>
      </c>
      <c r="W4" s="3">
        <v>2013</v>
      </c>
      <c r="X4" s="3">
        <v>2014</v>
      </c>
      <c r="Y4" s="3">
        <v>2015</v>
      </c>
      <c r="Z4" s="26">
        <v>2016</v>
      </c>
    </row>
    <row r="5" spans="2:26" s="10" customFormat="1" ht="15" customHeight="1">
      <c r="B5" s="8" t="s">
        <v>22</v>
      </c>
      <c r="C5" s="9">
        <v>460.12478453</v>
      </c>
      <c r="D5" s="9">
        <v>534.77670862000002</v>
      </c>
      <c r="E5" s="9">
        <v>723.50300444000004</v>
      </c>
      <c r="F5" s="9">
        <v>829.72474722000004</v>
      </c>
      <c r="G5" s="9">
        <v>740.67981901999997</v>
      </c>
      <c r="H5" s="9">
        <v>1227.8852076600001</v>
      </c>
      <c r="I5" s="9">
        <v>479.76023029000004</v>
      </c>
      <c r="J5" s="9">
        <v>513.91498729</v>
      </c>
      <c r="K5" s="9">
        <v>914.21643803999996</v>
      </c>
      <c r="L5" s="9">
        <v>1090.47025007</v>
      </c>
      <c r="M5" s="9">
        <v>1581.9028965699999</v>
      </c>
      <c r="N5" s="9" t="s">
        <v>70</v>
      </c>
      <c r="O5" s="9">
        <v>486.00430605000003</v>
      </c>
      <c r="P5" s="9">
        <v>720.15935339999999</v>
      </c>
      <c r="Q5" s="9">
        <v>879.78274428999998</v>
      </c>
      <c r="R5" s="9">
        <v>842.48829247000003</v>
      </c>
      <c r="S5" s="9">
        <v>1300.40554703</v>
      </c>
      <c r="T5" s="9" t="s">
        <v>70</v>
      </c>
      <c r="U5" s="9">
        <v>609.92900710000004</v>
      </c>
      <c r="V5" s="9">
        <v>915.68459709000001</v>
      </c>
      <c r="W5" s="9">
        <v>1008.45149487</v>
      </c>
      <c r="X5" s="9">
        <v>953.93631682</v>
      </c>
      <c r="Y5" s="9">
        <v>1546.4732744999999</v>
      </c>
      <c r="Z5" s="18" t="s">
        <v>70</v>
      </c>
    </row>
    <row r="6" spans="2:26" s="10" customFormat="1" ht="15" customHeight="1">
      <c r="B6" s="11" t="s">
        <v>23</v>
      </c>
      <c r="C6" s="12"/>
      <c r="D6" s="13">
        <v>0.16224277978473634</v>
      </c>
      <c r="E6" s="13">
        <v>0.3529067230826326</v>
      </c>
      <c r="F6" s="13">
        <v>0.14681589727774091</v>
      </c>
      <c r="G6" s="13">
        <v>-0.10731863608786629</v>
      </c>
      <c r="H6" s="13">
        <v>0.65778137344774135</v>
      </c>
      <c r="I6" s="13"/>
      <c r="J6" s="13">
        <v>7.1191305247111591E-2</v>
      </c>
      <c r="K6" s="13">
        <v>0.77892542667589404</v>
      </c>
      <c r="L6" s="13">
        <v>0.1927922149462471</v>
      </c>
      <c r="M6" s="13">
        <v>0.45066121379143875</v>
      </c>
      <c r="N6" s="13" t="s">
        <v>70</v>
      </c>
      <c r="O6" s="13"/>
      <c r="P6" s="13">
        <v>0.48179624014670797</v>
      </c>
      <c r="Q6" s="13">
        <v>0.22165009749077025</v>
      </c>
      <c r="R6" s="13">
        <v>-4.2390524322112322E-2</v>
      </c>
      <c r="S6" s="13">
        <v>0.54352951685237305</v>
      </c>
      <c r="T6" s="13" t="s">
        <v>70</v>
      </c>
      <c r="U6" s="13"/>
      <c r="V6" s="13">
        <v>0.50129701396521753</v>
      </c>
      <c r="W6" s="13">
        <v>0.1013087891560136</v>
      </c>
      <c r="X6" s="13">
        <v>-5.4058304566277249E-2</v>
      </c>
      <c r="Y6" s="13">
        <v>0.62114938621401361</v>
      </c>
      <c r="Z6" s="19" t="s">
        <v>70</v>
      </c>
    </row>
    <row r="7" spans="2:26" s="10" customFormat="1" ht="15" customHeight="1">
      <c r="B7" s="8" t="s">
        <v>24</v>
      </c>
      <c r="C7" s="9">
        <v>104.27773956999999</v>
      </c>
      <c r="D7" s="9">
        <v>76.743756200000007</v>
      </c>
      <c r="E7" s="9">
        <v>188.06461662000004</v>
      </c>
      <c r="F7" s="9">
        <v>177.06624334000003</v>
      </c>
      <c r="G7" s="9">
        <v>160.23475902999996</v>
      </c>
      <c r="H7" s="9">
        <v>261.21541055000012</v>
      </c>
      <c r="I7" s="9">
        <v>98.057385220000072</v>
      </c>
      <c r="J7" s="9">
        <v>75.250260980000007</v>
      </c>
      <c r="K7" s="9">
        <v>242.10151112999995</v>
      </c>
      <c r="L7" s="9">
        <v>220.86207206000006</v>
      </c>
      <c r="M7" s="9">
        <v>274.94369991999974</v>
      </c>
      <c r="N7" s="9" t="s">
        <v>70</v>
      </c>
      <c r="O7" s="9">
        <v>94.45705853000004</v>
      </c>
      <c r="P7" s="9">
        <v>85.570710759999997</v>
      </c>
      <c r="Q7" s="9">
        <v>285.90132345999996</v>
      </c>
      <c r="R7" s="9">
        <v>170.85301228000003</v>
      </c>
      <c r="S7" s="9">
        <v>219.77774053000007</v>
      </c>
      <c r="T7" s="9" t="s">
        <v>70</v>
      </c>
      <c r="U7" s="9">
        <v>145.10924595000006</v>
      </c>
      <c r="V7" s="9">
        <v>185.64951447999999</v>
      </c>
      <c r="W7" s="9">
        <v>305.62758048000001</v>
      </c>
      <c r="X7" s="9">
        <v>183.34251304999998</v>
      </c>
      <c r="Y7" s="9">
        <v>275.46453460999987</v>
      </c>
      <c r="Z7" s="18" t="s">
        <v>70</v>
      </c>
    </row>
    <row r="8" spans="2:26" s="10" customFormat="1" ht="15" customHeight="1">
      <c r="B8" s="11" t="s">
        <v>69</v>
      </c>
      <c r="C8" s="13">
        <v>0.22662926031362501</v>
      </c>
      <c r="D8" s="13">
        <v>0.14350616801924398</v>
      </c>
      <c r="E8" s="13">
        <v>0.25993619303013715</v>
      </c>
      <c r="F8" s="13">
        <v>0.21340359430433045</v>
      </c>
      <c r="G8" s="13">
        <v>0.21633471699284043</v>
      </c>
      <c r="H8" s="13">
        <v>0.21273601874217735</v>
      </c>
      <c r="I8" s="13">
        <v>0.20438831530643434</v>
      </c>
      <c r="J8" s="13">
        <v>0.14642550390836648</v>
      </c>
      <c r="K8" s="13">
        <v>0.26481859333993646</v>
      </c>
      <c r="L8" s="13">
        <v>0.20253837465609206</v>
      </c>
      <c r="M8" s="13">
        <v>0.17380567449250722</v>
      </c>
      <c r="N8" s="13" t="s">
        <v>70</v>
      </c>
      <c r="O8" s="13">
        <v>0.19435436549461832</v>
      </c>
      <c r="P8" s="13">
        <v>0.11882191122840452</v>
      </c>
      <c r="Q8" s="13">
        <v>0.32496809617552491</v>
      </c>
      <c r="R8" s="13">
        <v>0.20279571099925273</v>
      </c>
      <c r="S8" s="13">
        <v>0.16900707708602988</v>
      </c>
      <c r="T8" s="13" t="s">
        <v>70</v>
      </c>
      <c r="U8" s="13">
        <v>0.23791169834657311</v>
      </c>
      <c r="V8" s="13">
        <v>0.20274395252468469</v>
      </c>
      <c r="W8" s="13">
        <v>0.30306621789419691</v>
      </c>
      <c r="X8" s="13">
        <v>0.19219575753356627</v>
      </c>
      <c r="Y8" s="13">
        <v>0.17812434210934688</v>
      </c>
      <c r="Z8" s="19" t="s">
        <v>70</v>
      </c>
    </row>
    <row r="9" spans="2:26" s="10" customFormat="1" ht="15" customHeight="1">
      <c r="B9" s="11" t="s">
        <v>23</v>
      </c>
      <c r="C9" s="13"/>
      <c r="D9" s="13">
        <v>-0.2640446895333482</v>
      </c>
      <c r="E9" s="13">
        <v>1.4505526694561246</v>
      </c>
      <c r="F9" s="13">
        <v>-5.848188499074828E-2</v>
      </c>
      <c r="G9" s="13">
        <v>-9.5057555819267558E-2</v>
      </c>
      <c r="H9" s="13">
        <v>0.6302044084023869</v>
      </c>
      <c r="I9" s="13"/>
      <c r="J9" s="13">
        <v>-0.2325895616003868</v>
      </c>
      <c r="K9" s="13">
        <v>2.2172846708710501</v>
      </c>
      <c r="L9" s="13">
        <v>-8.7729477485975135E-2</v>
      </c>
      <c r="M9" s="13">
        <v>0.24486607118902565</v>
      </c>
      <c r="N9" s="13" t="s">
        <v>70</v>
      </c>
      <c r="O9" s="13"/>
      <c r="P9" s="13">
        <v>-9.4078175927717403E-2</v>
      </c>
      <c r="Q9" s="13">
        <v>2.3411119402977363</v>
      </c>
      <c r="R9" s="13">
        <v>-0.40240566146276047</v>
      </c>
      <c r="S9" s="13">
        <v>0.2863556667635479</v>
      </c>
      <c r="T9" s="13" t="s">
        <v>70</v>
      </c>
      <c r="U9" s="13"/>
      <c r="V9" s="13">
        <v>0.27937757008239705</v>
      </c>
      <c r="W9" s="13">
        <v>0.64626113532295415</v>
      </c>
      <c r="X9" s="13">
        <v>-0.40011136180166257</v>
      </c>
      <c r="Y9" s="13">
        <v>0.50245859526795611</v>
      </c>
      <c r="Z9" s="19" t="s">
        <v>70</v>
      </c>
    </row>
    <row r="10" spans="2:26" s="10" customFormat="1" ht="15" customHeight="1">
      <c r="B10" s="8" t="s">
        <v>25</v>
      </c>
      <c r="C10" s="9">
        <v>53.029136080000001</v>
      </c>
      <c r="D10" s="9">
        <v>3.28775941</v>
      </c>
      <c r="E10" s="9">
        <v>72.036628980000003</v>
      </c>
      <c r="F10" s="9">
        <v>55.414811490000005</v>
      </c>
      <c r="G10" s="9">
        <v>32.72135711</v>
      </c>
      <c r="H10" s="9">
        <v>29.279340179999998</v>
      </c>
      <c r="I10" s="9">
        <v>41.344627439999996</v>
      </c>
      <c r="J10" s="9">
        <v>0.95811354000000004</v>
      </c>
      <c r="K10" s="9">
        <v>119.21140538</v>
      </c>
      <c r="L10" s="9">
        <v>75.948596599999988</v>
      </c>
      <c r="M10" s="9">
        <v>33.582703520000003</v>
      </c>
      <c r="N10" s="9" t="s">
        <v>70</v>
      </c>
      <c r="O10" s="9">
        <v>40.021305599999998</v>
      </c>
      <c r="P10" s="9">
        <v>-31.145001799999999</v>
      </c>
      <c r="Q10" s="9">
        <v>99.978067569999993</v>
      </c>
      <c r="R10" s="9">
        <v>-51.220141069999997</v>
      </c>
      <c r="S10" s="9">
        <v>16.335917269999999</v>
      </c>
      <c r="T10" s="9" t="s">
        <v>70</v>
      </c>
      <c r="U10" s="9">
        <v>69.634316720000001</v>
      </c>
      <c r="V10" s="9">
        <v>78.327432439999995</v>
      </c>
      <c r="W10" s="9">
        <v>83.944396739999988</v>
      </c>
      <c r="X10" s="9">
        <v>65.198455640000006</v>
      </c>
      <c r="Y10" s="9">
        <v>52.981699659999997</v>
      </c>
      <c r="Z10" s="18" t="s">
        <v>70</v>
      </c>
    </row>
    <row r="11" spans="2:26" s="10" customFormat="1" ht="15" customHeight="1">
      <c r="B11" s="11" t="s">
        <v>26</v>
      </c>
      <c r="C11" s="14">
        <v>0.11524946680315699</v>
      </c>
      <c r="D11" s="14">
        <v>6.1479106270056465E-3</v>
      </c>
      <c r="E11" s="14">
        <v>9.9566454510796695E-2</v>
      </c>
      <c r="F11" s="14">
        <v>6.6786981677559712E-2</v>
      </c>
      <c r="G11" s="14">
        <v>4.417746544423732E-2</v>
      </c>
      <c r="H11" s="14">
        <v>2.3845339936782926E-2</v>
      </c>
      <c r="I11" s="14">
        <v>8.6177687998458027E-2</v>
      </c>
      <c r="J11" s="14">
        <v>1.8643424762768025E-3</v>
      </c>
      <c r="K11" s="14">
        <v>0.13039735495850285</v>
      </c>
      <c r="L11" s="14">
        <v>6.964756406249932E-2</v>
      </c>
      <c r="M11" s="14">
        <v>2.1229307812013324E-2</v>
      </c>
      <c r="N11" s="14" t="s">
        <v>70</v>
      </c>
      <c r="O11" s="14">
        <v>8.2347635816795856E-2</v>
      </c>
      <c r="P11" s="14">
        <v>-4.3247375255155575E-2</v>
      </c>
      <c r="Q11" s="14">
        <v>0.11363949590837229</v>
      </c>
      <c r="R11" s="14">
        <v>-6.0796264503371583E-2</v>
      </c>
      <c r="S11" s="14">
        <v>1.2562171322099977E-2</v>
      </c>
      <c r="T11" s="14" t="s">
        <v>70</v>
      </c>
      <c r="U11" s="14">
        <v>0.11416790464038909</v>
      </c>
      <c r="V11" s="14">
        <v>8.553975101134241E-2</v>
      </c>
      <c r="W11" s="14">
        <v>8.3240886812132986E-2</v>
      </c>
      <c r="X11" s="14">
        <v>6.8346759097444476E-2</v>
      </c>
      <c r="Y11" s="14">
        <v>3.4259693027756881E-2</v>
      </c>
      <c r="Z11" s="20" t="s">
        <v>70</v>
      </c>
    </row>
    <row r="12" spans="2:26" s="10" customFormat="1" ht="15" customHeight="1">
      <c r="B12" s="8" t="s">
        <v>27</v>
      </c>
      <c r="C12" s="9">
        <v>44.98129763</v>
      </c>
      <c r="D12" s="9">
        <v>119.32343384000001</v>
      </c>
      <c r="E12" s="9">
        <v>61.442211819999997</v>
      </c>
      <c r="F12" s="9">
        <v>53.381002369999997</v>
      </c>
      <c r="G12" s="9">
        <v>34.306807030000002</v>
      </c>
      <c r="H12" s="9">
        <v>32.977927610000002</v>
      </c>
      <c r="I12" s="9">
        <v>35.794647070000003</v>
      </c>
      <c r="J12" s="9">
        <v>2.5863533100000002</v>
      </c>
      <c r="K12" s="9">
        <v>104.71223451</v>
      </c>
      <c r="L12" s="9">
        <v>64.536148940000004</v>
      </c>
      <c r="M12" s="9">
        <v>59.206309020000006</v>
      </c>
      <c r="N12" s="9" t="s">
        <v>70</v>
      </c>
      <c r="O12" s="9">
        <v>39.61687586</v>
      </c>
      <c r="P12" s="9">
        <v>-6.7723878499999994</v>
      </c>
      <c r="Q12" s="9">
        <v>143.46654083000001</v>
      </c>
      <c r="R12" s="9">
        <v>50.035429619999995</v>
      </c>
      <c r="S12" s="9">
        <v>23.81929031</v>
      </c>
      <c r="T12" s="9" t="s">
        <v>70</v>
      </c>
      <c r="U12" s="9">
        <v>87.843426239999999</v>
      </c>
      <c r="V12" s="9">
        <v>82.192751319999999</v>
      </c>
      <c r="W12" s="9">
        <v>77.51743454999999</v>
      </c>
      <c r="X12" s="9">
        <v>53.106068090000001</v>
      </c>
      <c r="Y12" s="9">
        <v>54.000171200000004</v>
      </c>
      <c r="Z12" s="18" t="s">
        <v>70</v>
      </c>
    </row>
    <row r="13" spans="2:26" s="10" customFormat="1" ht="15" customHeight="1">
      <c r="B13" s="11" t="s">
        <v>28</v>
      </c>
      <c r="C13" s="14">
        <v>9.7758910500651885E-2</v>
      </c>
      <c r="D13" s="14">
        <v>0.22312758187976447</v>
      </c>
      <c r="E13" s="14">
        <v>8.4923229679684603E-2</v>
      </c>
      <c r="F13" s="14">
        <v>6.4335796357591485E-2</v>
      </c>
      <c r="G13" s="14">
        <v>4.6317998882960849E-2</v>
      </c>
      <c r="H13" s="14">
        <v>2.6857500525514555E-2</v>
      </c>
      <c r="I13" s="14">
        <v>7.4609450325557949E-2</v>
      </c>
      <c r="J13" s="14">
        <v>5.0326481499177065E-3</v>
      </c>
      <c r="K13" s="14">
        <v>0.11453768511808196</v>
      </c>
      <c r="L13" s="14">
        <v>5.9181943694344041E-2</v>
      </c>
      <c r="M13" s="14">
        <v>3.7427271388386446E-2</v>
      </c>
      <c r="N13" s="14" t="s">
        <v>70</v>
      </c>
      <c r="O13" s="14">
        <v>8.1515483230974142E-2</v>
      </c>
      <c r="P13" s="14">
        <v>-9.4040129007925202E-3</v>
      </c>
      <c r="Q13" s="14">
        <v>0.16307041910191136</v>
      </c>
      <c r="R13" s="14">
        <v>5.9390059265163851E-2</v>
      </c>
      <c r="S13" s="14">
        <v>1.8316816907157113E-2</v>
      </c>
      <c r="T13" s="14" t="s">
        <v>70</v>
      </c>
      <c r="U13" s="14">
        <v>0.14402237837099255</v>
      </c>
      <c r="V13" s="14">
        <v>8.9760984929968757E-2</v>
      </c>
      <c r="W13" s="14">
        <v>7.6867786843821173E-2</v>
      </c>
      <c r="X13" s="14">
        <v>5.5670454257399533E-2</v>
      </c>
      <c r="Y13" s="14">
        <v>3.4918269905090435E-2</v>
      </c>
      <c r="Z13" s="20" t="s">
        <v>70</v>
      </c>
    </row>
    <row r="14" spans="2:26" s="10" customFormat="1" ht="15" customHeight="1">
      <c r="B14" s="8" t="s">
        <v>31</v>
      </c>
      <c r="C14" s="9">
        <v>44.98129763</v>
      </c>
      <c r="D14" s="9">
        <v>119.32343384000001</v>
      </c>
      <c r="E14" s="9">
        <v>61.442211819999997</v>
      </c>
      <c r="F14" s="9">
        <v>53.381002369999997</v>
      </c>
      <c r="G14" s="9">
        <v>34.306807030000002</v>
      </c>
      <c r="H14" s="9">
        <v>32.977927610000002</v>
      </c>
      <c r="I14" s="9">
        <v>35.794647070000003</v>
      </c>
      <c r="J14" s="9">
        <v>2.5863533100000002</v>
      </c>
      <c r="K14" s="9">
        <v>104.71223451</v>
      </c>
      <c r="L14" s="9">
        <v>64.536148940000004</v>
      </c>
      <c r="M14" s="9">
        <v>59.206309020000006</v>
      </c>
      <c r="N14" s="9" t="s">
        <v>70</v>
      </c>
      <c r="O14" s="9">
        <v>39.61687586</v>
      </c>
      <c r="P14" s="9">
        <v>-6.7723878499999994</v>
      </c>
      <c r="Q14" s="9">
        <v>143.46654083000001</v>
      </c>
      <c r="R14" s="9">
        <v>50.035429619999995</v>
      </c>
      <c r="S14" s="9">
        <v>23.81929031</v>
      </c>
      <c r="T14" s="9" t="s">
        <v>70</v>
      </c>
      <c r="U14" s="9">
        <v>87.843426239999999</v>
      </c>
      <c r="V14" s="9">
        <v>82.192751319999999</v>
      </c>
      <c r="W14" s="9">
        <v>77.51743454999999</v>
      </c>
      <c r="X14" s="9">
        <v>53.106068090000001</v>
      </c>
      <c r="Y14" s="9">
        <v>54.000171200000004</v>
      </c>
      <c r="Z14" s="18" t="s">
        <v>70</v>
      </c>
    </row>
    <row r="15" spans="2:26" s="10" customFormat="1" ht="15" customHeight="1">
      <c r="B15" s="11" t="s">
        <v>32</v>
      </c>
      <c r="C15" s="14">
        <v>9.7758910500651885E-2</v>
      </c>
      <c r="D15" s="14">
        <v>0.22312758187976447</v>
      </c>
      <c r="E15" s="14">
        <v>8.4923229679684603E-2</v>
      </c>
      <c r="F15" s="14">
        <v>6.4335796357591485E-2</v>
      </c>
      <c r="G15" s="14">
        <v>4.6317998882960849E-2</v>
      </c>
      <c r="H15" s="14">
        <v>2.6857500525514555E-2</v>
      </c>
      <c r="I15" s="14">
        <v>7.4609450325557949E-2</v>
      </c>
      <c r="J15" s="14">
        <v>5.0326481499177065E-3</v>
      </c>
      <c r="K15" s="14">
        <v>0.11453768511808196</v>
      </c>
      <c r="L15" s="14">
        <v>5.9181943694344041E-2</v>
      </c>
      <c r="M15" s="14">
        <v>3.7427271388386446E-2</v>
      </c>
      <c r="N15" s="14" t="s">
        <v>70</v>
      </c>
      <c r="O15" s="14">
        <v>8.1515483230974142E-2</v>
      </c>
      <c r="P15" s="14">
        <v>-9.4040129007925202E-3</v>
      </c>
      <c r="Q15" s="14">
        <v>0.16307041910191136</v>
      </c>
      <c r="R15" s="14">
        <v>5.9390059265163851E-2</v>
      </c>
      <c r="S15" s="14">
        <v>1.8316816907157113E-2</v>
      </c>
      <c r="T15" s="14" t="s">
        <v>70</v>
      </c>
      <c r="U15" s="14">
        <v>0.14402237837099255</v>
      </c>
      <c r="V15" s="14">
        <v>8.9760984929968757E-2</v>
      </c>
      <c r="W15" s="14">
        <v>7.6867786843821173E-2</v>
      </c>
      <c r="X15" s="14">
        <v>5.5670454257399533E-2</v>
      </c>
      <c r="Y15" s="14">
        <v>3.4918269905090435E-2</v>
      </c>
      <c r="Z15" s="20" t="s">
        <v>70</v>
      </c>
    </row>
    <row r="16" spans="2:26" s="10" customFormat="1" ht="15" customHeight="1">
      <c r="B16" s="11" t="s">
        <v>23</v>
      </c>
      <c r="C16" s="14"/>
      <c r="D16" s="13">
        <v>1.6527343613230485</v>
      </c>
      <c r="E16" s="13">
        <v>-0.48507841383120565</v>
      </c>
      <c r="F16" s="13">
        <v>-0.13119985773975673</v>
      </c>
      <c r="G16" s="13">
        <v>-0.35732179039634615</v>
      </c>
      <c r="H16" s="13">
        <v>-3.8735153021904521E-2</v>
      </c>
      <c r="I16" s="13"/>
      <c r="J16" s="13">
        <v>-0.92774469029008366</v>
      </c>
      <c r="K16" s="13">
        <v>39.486438610353659</v>
      </c>
      <c r="L16" s="13">
        <v>-0.38368091138541399</v>
      </c>
      <c r="M16" s="13">
        <v>-8.2586891339847548E-2</v>
      </c>
      <c r="N16" s="13" t="s">
        <v>70</v>
      </c>
      <c r="O16" s="13"/>
      <c r="P16" s="13">
        <v>-1.170947044737515</v>
      </c>
      <c r="Q16" s="13">
        <v>22.184040844618789</v>
      </c>
      <c r="R16" s="13">
        <v>-0.6512397292739549</v>
      </c>
      <c r="S16" s="13">
        <v>-0.52395151813628016</v>
      </c>
      <c r="T16" s="13" t="s">
        <v>70</v>
      </c>
      <c r="U16" s="13"/>
      <c r="V16" s="13">
        <v>-6.4326668048689264E-2</v>
      </c>
      <c r="W16" s="13">
        <v>-5.6882349050437035E-2</v>
      </c>
      <c r="X16" s="13">
        <v>-0.31491452989526203</v>
      </c>
      <c r="Y16" s="13">
        <v>1.6836176018242346E-2</v>
      </c>
      <c r="Z16" s="19" t="s">
        <v>70</v>
      </c>
    </row>
    <row r="17" spans="2:26" s="10" customFormat="1" ht="15" customHeight="1">
      <c r="B17" s="8" t="s">
        <v>29</v>
      </c>
      <c r="C17" s="9" t="s">
        <v>70</v>
      </c>
      <c r="D17" s="9">
        <v>0.606227760000005</v>
      </c>
      <c r="E17" s="9">
        <v>61.112785799999997</v>
      </c>
      <c r="F17" s="9">
        <v>44.543854799999998</v>
      </c>
      <c r="G17" s="9">
        <v>27.71325444</v>
      </c>
      <c r="H17" s="9">
        <v>25.792410920000002</v>
      </c>
      <c r="I17" s="9" t="s">
        <v>70</v>
      </c>
      <c r="J17" s="9">
        <v>2.39767298999999</v>
      </c>
      <c r="K17" s="9">
        <v>97.704049150000003</v>
      </c>
      <c r="L17" s="9">
        <v>65.423931629999998</v>
      </c>
      <c r="M17" s="9">
        <v>34.715620869999995</v>
      </c>
      <c r="N17" s="9" t="s">
        <v>70</v>
      </c>
      <c r="O17" s="9">
        <v>34.438296719999997</v>
      </c>
      <c r="P17" s="9">
        <v>-33.224702559999997</v>
      </c>
      <c r="Q17" s="9">
        <v>81.541091989999998</v>
      </c>
      <c r="R17" s="9">
        <v>37.712904350000002</v>
      </c>
      <c r="S17" s="9">
        <v>8.6649769799999898</v>
      </c>
      <c r="T17" s="9" t="s">
        <v>70</v>
      </c>
      <c r="U17" s="9">
        <v>64.186121850000006</v>
      </c>
      <c r="V17" s="9">
        <v>75.853986980000002</v>
      </c>
      <c r="W17" s="9">
        <v>78.036762180000011</v>
      </c>
      <c r="X17" s="9">
        <v>43.500111189999998</v>
      </c>
      <c r="Y17" s="9">
        <v>32.092203959999999</v>
      </c>
      <c r="Z17" s="18" t="s">
        <v>70</v>
      </c>
    </row>
    <row r="18" spans="2:26" s="10" customFormat="1" ht="15" customHeight="1">
      <c r="B18" s="11" t="s">
        <v>30</v>
      </c>
      <c r="C18" s="14" t="s">
        <v>70</v>
      </c>
      <c r="D18" s="14">
        <v>5.0805423586191105E-3</v>
      </c>
      <c r="E18" s="14">
        <v>0.99463844138676061</v>
      </c>
      <c r="F18" s="14">
        <v>0.83445144943613014</v>
      </c>
      <c r="G18" s="14">
        <v>0.80780628799893295</v>
      </c>
      <c r="H18" s="14">
        <v>0.78211133292011004</v>
      </c>
      <c r="I18" s="14" t="s">
        <v>70</v>
      </c>
      <c r="J18" s="14">
        <v>0.92704773966090104</v>
      </c>
      <c r="K18" s="14">
        <v>0.93307195293086098</v>
      </c>
      <c r="L18" s="14">
        <v>1.013756362977676</v>
      </c>
      <c r="M18" s="14">
        <v>0.58635002662086211</v>
      </c>
      <c r="N18" s="14" t="s">
        <v>70</v>
      </c>
      <c r="O18" s="14">
        <v>0.86928350538542432</v>
      </c>
      <c r="P18" s="14">
        <v>4.905906645615401</v>
      </c>
      <c r="Q18" s="14">
        <v>0.56836312856125615</v>
      </c>
      <c r="R18" s="14">
        <v>0.75372400389913963</v>
      </c>
      <c r="S18" s="14">
        <v>0.36377981321979991</v>
      </c>
      <c r="T18" s="14" t="s">
        <v>70</v>
      </c>
      <c r="U18" s="14">
        <v>0.73068782261105036</v>
      </c>
      <c r="V18" s="14">
        <v>0.92287927781707457</v>
      </c>
      <c r="W18" s="14">
        <v>1.0066994945461598</v>
      </c>
      <c r="X18" s="14">
        <v>0.8191175275164303</v>
      </c>
      <c r="Y18" s="14">
        <v>0.59429818918796307</v>
      </c>
      <c r="Z18" s="20" t="s">
        <v>70</v>
      </c>
    </row>
    <row r="19" spans="2:26" s="10" customFormat="1" ht="15" customHeight="1">
      <c r="B19" s="15" t="s">
        <v>23</v>
      </c>
      <c r="C19" s="16"/>
      <c r="D19" s="17" t="s">
        <v>70</v>
      </c>
      <c r="E19" s="17">
        <v>99.808293239490538</v>
      </c>
      <c r="F19" s="17">
        <v>-0.27112053203112202</v>
      </c>
      <c r="G19" s="17">
        <v>-0.37784337335797885</v>
      </c>
      <c r="H19" s="17">
        <v>-6.9311365944359951E-2</v>
      </c>
      <c r="I19" s="17"/>
      <c r="J19" s="17" t="s">
        <v>70</v>
      </c>
      <c r="K19" s="17">
        <v>39.74953071477875</v>
      </c>
      <c r="L19" s="17">
        <v>-0.33038669124594827</v>
      </c>
      <c r="M19" s="17">
        <v>-0.46937427933356995</v>
      </c>
      <c r="N19" s="17" t="s">
        <v>70</v>
      </c>
      <c r="O19" s="17"/>
      <c r="P19" s="17">
        <v>-1.9647603315034101</v>
      </c>
      <c r="Q19" s="17">
        <v>3.4542309097499415</v>
      </c>
      <c r="R19" s="17">
        <v>-0.53749816896461211</v>
      </c>
      <c r="S19" s="17">
        <v>-0.77023840700298674</v>
      </c>
      <c r="T19" s="17" t="s">
        <v>70</v>
      </c>
      <c r="U19" s="17"/>
      <c r="V19" s="17">
        <v>0.18178174336918587</v>
      </c>
      <c r="W19" s="17">
        <v>2.8776011478151162E-2</v>
      </c>
      <c r="X19" s="17">
        <v>-0.44256898960438146</v>
      </c>
      <c r="Y19" s="17">
        <v>-0.26225007058424488</v>
      </c>
      <c r="Z19" s="21" t="s">
        <v>70</v>
      </c>
    </row>
  </sheetData>
  <mergeCells count="4">
    <mergeCell ref="C3:H3"/>
    <mergeCell ref="I3:N3"/>
    <mergeCell ref="O3:T3"/>
    <mergeCell ref="U3:Z3"/>
  </mergeCells>
  <phoneticPr fontId="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53"/>
  <sheetViews>
    <sheetView workbookViewId="0"/>
  </sheetViews>
  <sheetFormatPr defaultColWidth="9.140625" defaultRowHeight="12.75"/>
  <cols>
    <col min="1" max="1" width="9.140625" style="1"/>
    <col min="2" max="2" width="17.85546875" style="1" bestFit="1" customWidth="1"/>
    <col min="3" max="3" width="9.42578125" style="1" customWidth="1"/>
    <col min="4" max="16384" width="9.140625" style="1"/>
  </cols>
  <sheetData>
    <row r="1" spans="2:26" s="10" customFormat="1" ht="15" customHeight="1">
      <c r="C1" s="23">
        <v>40633</v>
      </c>
      <c r="D1" s="23">
        <v>40724</v>
      </c>
      <c r="E1" s="23">
        <v>40816</v>
      </c>
      <c r="F1" s="23">
        <v>40908</v>
      </c>
      <c r="G1" s="23">
        <v>40999</v>
      </c>
      <c r="H1" s="23">
        <v>41090</v>
      </c>
      <c r="I1" s="23">
        <v>41182</v>
      </c>
      <c r="J1" s="23">
        <v>41274</v>
      </c>
      <c r="K1" s="23">
        <v>41364</v>
      </c>
      <c r="L1" s="23">
        <v>41455</v>
      </c>
      <c r="M1" s="23">
        <v>41547</v>
      </c>
      <c r="N1" s="23">
        <v>41639</v>
      </c>
      <c r="O1" s="23">
        <v>41729</v>
      </c>
      <c r="P1" s="23">
        <v>41820</v>
      </c>
      <c r="Q1" s="23">
        <v>41912</v>
      </c>
      <c r="R1" s="23">
        <v>42004</v>
      </c>
      <c r="S1" s="23">
        <v>42094</v>
      </c>
      <c r="T1" s="23">
        <v>42185</v>
      </c>
      <c r="U1" s="23">
        <v>42277</v>
      </c>
      <c r="V1" s="23">
        <v>42369</v>
      </c>
      <c r="W1" s="23">
        <v>42460</v>
      </c>
      <c r="X1" s="23">
        <v>42551</v>
      </c>
      <c r="Y1" s="23">
        <v>42643</v>
      </c>
      <c r="Z1" s="23">
        <v>42735</v>
      </c>
    </row>
    <row r="2" spans="2:26" s="10" customFormat="1" ht="15" customHeight="1">
      <c r="C2" s="22" t="s">
        <v>39</v>
      </c>
      <c r="D2" s="22" t="s">
        <v>40</v>
      </c>
      <c r="E2" s="22" t="s">
        <v>41</v>
      </c>
      <c r="F2" s="22" t="s">
        <v>42</v>
      </c>
      <c r="G2" s="22" t="s">
        <v>39</v>
      </c>
      <c r="H2" s="22" t="s">
        <v>40</v>
      </c>
      <c r="I2" s="22" t="s">
        <v>41</v>
      </c>
      <c r="J2" s="22" t="s">
        <v>42</v>
      </c>
      <c r="K2" s="22" t="s">
        <v>39</v>
      </c>
      <c r="L2" s="22" t="s">
        <v>40</v>
      </c>
      <c r="M2" s="22" t="s">
        <v>41</v>
      </c>
      <c r="N2" s="22" t="s">
        <v>42</v>
      </c>
      <c r="O2" s="22" t="s">
        <v>39</v>
      </c>
      <c r="P2" s="22" t="s">
        <v>40</v>
      </c>
      <c r="Q2" s="22" t="s">
        <v>41</v>
      </c>
      <c r="R2" s="22" t="s">
        <v>42</v>
      </c>
      <c r="S2" s="22" t="s">
        <v>39</v>
      </c>
      <c r="T2" s="22" t="s">
        <v>40</v>
      </c>
      <c r="U2" s="22" t="s">
        <v>41</v>
      </c>
      <c r="V2" s="22" t="s">
        <v>42</v>
      </c>
      <c r="W2" s="22" t="s">
        <v>39</v>
      </c>
      <c r="X2" s="22" t="s">
        <v>40</v>
      </c>
      <c r="Y2" s="22" t="s">
        <v>41</v>
      </c>
      <c r="Z2" s="22" t="s">
        <v>42</v>
      </c>
    </row>
    <row r="3" spans="2:26" s="10" customFormat="1" ht="15" customHeight="1">
      <c r="B3" s="28" t="s">
        <v>37</v>
      </c>
      <c r="C3" s="12">
        <v>2011</v>
      </c>
      <c r="D3" s="12">
        <v>2011</v>
      </c>
      <c r="E3" s="12">
        <v>2011</v>
      </c>
      <c r="F3" s="12">
        <v>2011</v>
      </c>
      <c r="G3" s="12">
        <v>2012</v>
      </c>
      <c r="H3" s="12">
        <v>2012</v>
      </c>
      <c r="I3" s="12">
        <v>2012</v>
      </c>
      <c r="J3" s="12">
        <v>2012</v>
      </c>
      <c r="K3" s="12">
        <v>2013</v>
      </c>
      <c r="L3" s="12">
        <v>2013</v>
      </c>
      <c r="M3" s="12">
        <v>2013</v>
      </c>
      <c r="N3" s="12">
        <v>2013</v>
      </c>
      <c r="O3" s="12">
        <v>2014</v>
      </c>
      <c r="P3" s="12">
        <v>2014</v>
      </c>
      <c r="Q3" s="12">
        <v>2014</v>
      </c>
      <c r="R3" s="12">
        <v>2014</v>
      </c>
      <c r="S3" s="12">
        <v>2015</v>
      </c>
      <c r="T3" s="12">
        <v>2015</v>
      </c>
      <c r="U3" s="12">
        <v>2015</v>
      </c>
      <c r="V3" s="12">
        <v>2015</v>
      </c>
      <c r="W3" s="12">
        <v>2016</v>
      </c>
      <c r="X3" s="12">
        <v>2016</v>
      </c>
      <c r="Y3" s="12">
        <v>2016</v>
      </c>
      <c r="Z3" s="12">
        <v>2016</v>
      </c>
    </row>
    <row r="4" spans="2:26" s="10" customFormat="1" ht="15" customHeight="1">
      <c r="B4" s="24" t="s">
        <v>21</v>
      </c>
      <c r="C4" s="27" t="s">
        <v>71</v>
      </c>
      <c r="D4" s="27" t="s">
        <v>72</v>
      </c>
      <c r="E4" s="27" t="s">
        <v>73</v>
      </c>
      <c r="F4" s="27" t="s">
        <v>74</v>
      </c>
      <c r="G4" s="27" t="s">
        <v>46</v>
      </c>
      <c r="H4" s="27" t="s">
        <v>47</v>
      </c>
      <c r="I4" s="27" t="s">
        <v>48</v>
      </c>
      <c r="J4" s="27" t="s">
        <v>49</v>
      </c>
      <c r="K4" s="27" t="s">
        <v>50</v>
      </c>
      <c r="L4" s="27" t="s">
        <v>51</v>
      </c>
      <c r="M4" s="27" t="s">
        <v>52</v>
      </c>
      <c r="N4" s="27" t="s">
        <v>53</v>
      </c>
      <c r="O4" s="27" t="s">
        <v>54</v>
      </c>
      <c r="P4" s="27" t="s">
        <v>55</v>
      </c>
      <c r="Q4" s="27" t="s">
        <v>56</v>
      </c>
      <c r="R4" s="27" t="s">
        <v>57</v>
      </c>
      <c r="S4" s="27" t="s">
        <v>58</v>
      </c>
      <c r="T4" s="27" t="s">
        <v>59</v>
      </c>
      <c r="U4" s="27" t="s">
        <v>60</v>
      </c>
      <c r="V4" s="27" t="s">
        <v>61</v>
      </c>
      <c r="W4" s="27" t="s">
        <v>62</v>
      </c>
      <c r="X4" s="27" t="s">
        <v>63</v>
      </c>
      <c r="Y4" s="27" t="s">
        <v>64</v>
      </c>
      <c r="Z4" s="27" t="s">
        <v>65</v>
      </c>
    </row>
    <row r="5" spans="2:26" s="10" customFormat="1" ht="15" customHeight="1">
      <c r="B5" s="8" t="s">
        <v>22</v>
      </c>
      <c r="C5" s="9">
        <v>460.12478453</v>
      </c>
      <c r="D5" s="9">
        <v>479.76023029000004</v>
      </c>
      <c r="E5" s="9">
        <v>486.00430605000003</v>
      </c>
      <c r="F5" s="9">
        <v>609.92900710000004</v>
      </c>
      <c r="G5" s="9">
        <v>534.77670862000002</v>
      </c>
      <c r="H5" s="9">
        <v>513.91498729</v>
      </c>
      <c r="I5" s="9">
        <v>720.15935339999999</v>
      </c>
      <c r="J5" s="9">
        <v>915.68459709000001</v>
      </c>
      <c r="K5" s="9">
        <v>723.50300444000004</v>
      </c>
      <c r="L5" s="9">
        <v>914.21643803999996</v>
      </c>
      <c r="M5" s="9">
        <v>879.78274428999998</v>
      </c>
      <c r="N5" s="9">
        <v>1008.45149487</v>
      </c>
      <c r="O5" s="9">
        <v>829.72474722000004</v>
      </c>
      <c r="P5" s="9">
        <v>1090.47025007</v>
      </c>
      <c r="Q5" s="9">
        <v>842.48829247000003</v>
      </c>
      <c r="R5" s="9">
        <v>953.93631682</v>
      </c>
      <c r="S5" s="9">
        <v>740.67981901999997</v>
      </c>
      <c r="T5" s="9">
        <v>1581.9028965699999</v>
      </c>
      <c r="U5" s="9">
        <v>1300.40554703</v>
      </c>
      <c r="V5" s="9">
        <v>1546.4732744999999</v>
      </c>
      <c r="W5" s="9">
        <v>1227.8852076600001</v>
      </c>
      <c r="X5" s="9" t="s">
        <v>70</v>
      </c>
      <c r="Y5" s="9" t="s">
        <v>70</v>
      </c>
      <c r="Z5" s="25" t="s">
        <v>70</v>
      </c>
    </row>
    <row r="6" spans="2:26" s="10" customFormat="1" ht="15" customHeight="1">
      <c r="B6" s="11" t="s">
        <v>23</v>
      </c>
      <c r="C6" s="12"/>
      <c r="D6" s="13"/>
      <c r="E6" s="13"/>
      <c r="F6" s="13"/>
      <c r="G6" s="13">
        <v>0.16224277978473634</v>
      </c>
      <c r="H6" s="13">
        <v>7.1191305247111591E-2</v>
      </c>
      <c r="I6" s="13">
        <v>0.48179624014670797</v>
      </c>
      <c r="J6" s="13">
        <v>0.50129701396521753</v>
      </c>
      <c r="K6" s="13">
        <v>0.3529067230826326</v>
      </c>
      <c r="L6" s="13">
        <v>0.77892542667589404</v>
      </c>
      <c r="M6" s="13">
        <v>0.22165009749077025</v>
      </c>
      <c r="N6" s="13">
        <v>0.1013087891560136</v>
      </c>
      <c r="O6" s="13">
        <v>0.14681589727774091</v>
      </c>
      <c r="P6" s="13">
        <v>0.1927922149462471</v>
      </c>
      <c r="Q6" s="13">
        <v>-4.2390524322112322E-2</v>
      </c>
      <c r="R6" s="13">
        <v>-5.4058304566277249E-2</v>
      </c>
      <c r="S6" s="13">
        <v>-0.10731863608786629</v>
      </c>
      <c r="T6" s="13">
        <v>0.45066121379143875</v>
      </c>
      <c r="U6" s="13">
        <v>0.54352951685237305</v>
      </c>
      <c r="V6" s="13">
        <v>0.62114938621401361</v>
      </c>
      <c r="W6" s="13">
        <v>0.65778137344774135</v>
      </c>
      <c r="X6" s="13" t="s">
        <v>70</v>
      </c>
      <c r="Y6" s="13" t="s">
        <v>70</v>
      </c>
      <c r="Z6" s="19" t="s">
        <v>70</v>
      </c>
    </row>
    <row r="7" spans="2:26" s="10" customFormat="1" ht="15" hidden="1" customHeight="1">
      <c r="B7" s="11" t="s">
        <v>38</v>
      </c>
      <c r="C7" s="12"/>
      <c r="D7" s="13">
        <v>4.2674175397999781E-2</v>
      </c>
      <c r="E7" s="13">
        <v>1.3014992418662219E-2</v>
      </c>
      <c r="F7" s="13">
        <v>0.25498683758009877</v>
      </c>
      <c r="G7" s="13">
        <v>-0.12321482927549721</v>
      </c>
      <c r="H7" s="13">
        <v>-3.9010153198021702E-2</v>
      </c>
      <c r="I7" s="13">
        <v>0.40132000663685097</v>
      </c>
      <c r="J7" s="13">
        <v>0.2715027483388095</v>
      </c>
      <c r="K7" s="13">
        <v>-0.2098774984975651</v>
      </c>
      <c r="L7" s="13">
        <v>0.26359729321043313</v>
      </c>
      <c r="M7" s="13">
        <v>-3.766470642753128E-2</v>
      </c>
      <c r="N7" s="13">
        <v>0.14625059586027445</v>
      </c>
      <c r="O7" s="13">
        <v>-0.17722889852331447</v>
      </c>
      <c r="P7" s="13">
        <v>0.31425542473408208</v>
      </c>
      <c r="Q7" s="13">
        <v>-0.22740827416803111</v>
      </c>
      <c r="R7" s="13">
        <v>0.13228435973069441</v>
      </c>
      <c r="S7" s="13">
        <v>-0.22355422897715282</v>
      </c>
      <c r="T7" s="13">
        <v>1.1357445632352041</v>
      </c>
      <c r="U7" s="13">
        <v>-0.17794856444751672</v>
      </c>
      <c r="V7" s="13">
        <v>0.18922383715756563</v>
      </c>
      <c r="W7" s="13">
        <v>-0.20600942291938706</v>
      </c>
      <c r="X7" s="13" t="s">
        <v>70</v>
      </c>
      <c r="Y7" s="13" t="s">
        <v>70</v>
      </c>
      <c r="Z7" s="19" t="s">
        <v>70</v>
      </c>
    </row>
    <row r="8" spans="2:26" s="10" customFormat="1" ht="15" customHeight="1">
      <c r="B8" s="8" t="s">
        <v>24</v>
      </c>
      <c r="C8" s="9">
        <v>104.27773956999999</v>
      </c>
      <c r="D8" s="9">
        <v>98.057385220000072</v>
      </c>
      <c r="E8" s="9">
        <v>94.45705853000004</v>
      </c>
      <c r="F8" s="9">
        <v>145.10924595000006</v>
      </c>
      <c r="G8" s="9">
        <v>76.743756200000007</v>
      </c>
      <c r="H8" s="9">
        <v>75.250260980000007</v>
      </c>
      <c r="I8" s="9">
        <v>85.570710759999997</v>
      </c>
      <c r="J8" s="9">
        <v>185.64951447999999</v>
      </c>
      <c r="K8" s="9">
        <v>188.06461662000004</v>
      </c>
      <c r="L8" s="9">
        <v>242.10151112999995</v>
      </c>
      <c r="M8" s="9">
        <v>285.90132345999996</v>
      </c>
      <c r="N8" s="9">
        <v>305.62758048000001</v>
      </c>
      <c r="O8" s="9">
        <v>177.06624334000003</v>
      </c>
      <c r="P8" s="9">
        <v>220.86207206000006</v>
      </c>
      <c r="Q8" s="9">
        <v>170.85301228000003</v>
      </c>
      <c r="R8" s="9">
        <v>183.34251304999998</v>
      </c>
      <c r="S8" s="9">
        <v>160.23475902999996</v>
      </c>
      <c r="T8" s="9">
        <v>274.94369991999974</v>
      </c>
      <c r="U8" s="9">
        <v>219.77774053000007</v>
      </c>
      <c r="V8" s="9">
        <v>275.46453460999987</v>
      </c>
      <c r="W8" s="9">
        <v>261.21541055000012</v>
      </c>
      <c r="X8" s="9" t="s">
        <v>70</v>
      </c>
      <c r="Y8" s="9" t="s">
        <v>70</v>
      </c>
      <c r="Z8" s="18" t="s">
        <v>70</v>
      </c>
    </row>
    <row r="9" spans="2:26" s="10" customFormat="1" ht="15" customHeight="1">
      <c r="B9" s="11" t="s">
        <v>69</v>
      </c>
      <c r="C9" s="13">
        <v>0.22662926031362501</v>
      </c>
      <c r="D9" s="13">
        <v>0.20438831530643434</v>
      </c>
      <c r="E9" s="13">
        <v>0.19435436549461832</v>
      </c>
      <c r="F9" s="13">
        <v>0.23791169834657311</v>
      </c>
      <c r="G9" s="13">
        <v>0.14350616801924398</v>
      </c>
      <c r="H9" s="13">
        <v>0.14642550390836648</v>
      </c>
      <c r="I9" s="13">
        <v>0.11882191122840452</v>
      </c>
      <c r="J9" s="13">
        <v>0.20274395252468469</v>
      </c>
      <c r="K9" s="13">
        <v>0.25993619303013715</v>
      </c>
      <c r="L9" s="13">
        <v>0.26481859333993646</v>
      </c>
      <c r="M9" s="13">
        <v>0.32496809617552491</v>
      </c>
      <c r="N9" s="13">
        <v>0.30306621789419691</v>
      </c>
      <c r="O9" s="13">
        <v>0.21340359430433045</v>
      </c>
      <c r="P9" s="13">
        <v>0.20253837465609206</v>
      </c>
      <c r="Q9" s="13">
        <v>0.20279571099925273</v>
      </c>
      <c r="R9" s="13">
        <v>0.19219575753356627</v>
      </c>
      <c r="S9" s="13">
        <v>0.21633471699284043</v>
      </c>
      <c r="T9" s="13">
        <v>0.17380567449250722</v>
      </c>
      <c r="U9" s="13">
        <v>0.16900707708602988</v>
      </c>
      <c r="V9" s="13">
        <v>0.17812434210934688</v>
      </c>
      <c r="W9" s="13">
        <v>0.21273601874217735</v>
      </c>
      <c r="X9" s="13" t="s">
        <v>70</v>
      </c>
      <c r="Y9" s="13" t="s">
        <v>70</v>
      </c>
      <c r="Z9" s="19" t="s">
        <v>70</v>
      </c>
    </row>
    <row r="10" spans="2:26" s="10" customFormat="1" ht="15" customHeight="1">
      <c r="B10" s="11" t="s">
        <v>23</v>
      </c>
      <c r="C10" s="13"/>
      <c r="D10" s="13"/>
      <c r="E10" s="13"/>
      <c r="F10" s="13"/>
      <c r="G10" s="13">
        <v>-0.2640446895333482</v>
      </c>
      <c r="H10" s="13">
        <v>-0.2325895616003868</v>
      </c>
      <c r="I10" s="13">
        <v>-9.4078175927717403E-2</v>
      </c>
      <c r="J10" s="13">
        <v>0.27937757008239705</v>
      </c>
      <c r="K10" s="13">
        <v>1.4505526694561246</v>
      </c>
      <c r="L10" s="13">
        <v>2.2172846708710501</v>
      </c>
      <c r="M10" s="13">
        <v>2.3411119402977363</v>
      </c>
      <c r="N10" s="13">
        <v>0.64626113532295415</v>
      </c>
      <c r="O10" s="13">
        <v>-5.848188499074828E-2</v>
      </c>
      <c r="P10" s="13">
        <v>-8.7729477485975135E-2</v>
      </c>
      <c r="Q10" s="13">
        <v>-0.40240566146276047</v>
      </c>
      <c r="R10" s="13">
        <v>-0.40011136180166257</v>
      </c>
      <c r="S10" s="13">
        <v>-9.5057555819267558E-2</v>
      </c>
      <c r="T10" s="13">
        <v>0.24486607118902565</v>
      </c>
      <c r="U10" s="13">
        <v>0.2863556667635479</v>
      </c>
      <c r="V10" s="13">
        <v>0.50245859526795611</v>
      </c>
      <c r="W10" s="13">
        <v>0.6302044084023869</v>
      </c>
      <c r="X10" s="13" t="s">
        <v>70</v>
      </c>
      <c r="Y10" s="13" t="s">
        <v>70</v>
      </c>
      <c r="Z10" s="19" t="s">
        <v>70</v>
      </c>
    </row>
    <row r="11" spans="2:26" s="10" customFormat="1" ht="15" customHeight="1">
      <c r="B11" s="8" t="s">
        <v>25</v>
      </c>
      <c r="C11" s="9">
        <v>53.029136080000001</v>
      </c>
      <c r="D11" s="9">
        <v>41.344627439999996</v>
      </c>
      <c r="E11" s="9">
        <v>40.021305599999998</v>
      </c>
      <c r="F11" s="9">
        <v>69.634316720000001</v>
      </c>
      <c r="G11" s="9">
        <v>3.28775941</v>
      </c>
      <c r="H11" s="9">
        <v>0.95811354000000004</v>
      </c>
      <c r="I11" s="9">
        <v>-31.145001799999999</v>
      </c>
      <c r="J11" s="9">
        <v>78.327432439999995</v>
      </c>
      <c r="K11" s="9">
        <v>72.036628980000003</v>
      </c>
      <c r="L11" s="9">
        <v>119.21140538</v>
      </c>
      <c r="M11" s="9">
        <v>99.978067569999993</v>
      </c>
      <c r="N11" s="9">
        <v>83.944396739999988</v>
      </c>
      <c r="O11" s="9">
        <v>55.414811490000005</v>
      </c>
      <c r="P11" s="9">
        <v>75.948596599999988</v>
      </c>
      <c r="Q11" s="9">
        <v>-51.220141069999997</v>
      </c>
      <c r="R11" s="9">
        <v>65.198455640000006</v>
      </c>
      <c r="S11" s="9">
        <v>32.72135711</v>
      </c>
      <c r="T11" s="9">
        <v>33.582703520000003</v>
      </c>
      <c r="U11" s="9">
        <v>16.335917269999999</v>
      </c>
      <c r="V11" s="9">
        <v>52.981699659999997</v>
      </c>
      <c r="W11" s="9">
        <v>29.279340179999998</v>
      </c>
      <c r="X11" s="9" t="s">
        <v>70</v>
      </c>
      <c r="Y11" s="9" t="s">
        <v>70</v>
      </c>
      <c r="Z11" s="18" t="s">
        <v>70</v>
      </c>
    </row>
    <row r="12" spans="2:26" s="10" customFormat="1" ht="15" customHeight="1">
      <c r="B12" s="11" t="s">
        <v>26</v>
      </c>
      <c r="C12" s="14">
        <v>0.11524946680315699</v>
      </c>
      <c r="D12" s="14">
        <v>8.6177687998458027E-2</v>
      </c>
      <c r="E12" s="14">
        <v>8.2347635816795856E-2</v>
      </c>
      <c r="F12" s="14">
        <v>0.11416790464038909</v>
      </c>
      <c r="G12" s="14">
        <v>6.1479106270056465E-3</v>
      </c>
      <c r="H12" s="14">
        <v>1.8643424762768025E-3</v>
      </c>
      <c r="I12" s="14">
        <v>-4.3247375255155575E-2</v>
      </c>
      <c r="J12" s="14">
        <v>8.553975101134241E-2</v>
      </c>
      <c r="K12" s="14">
        <v>9.9566454510796695E-2</v>
      </c>
      <c r="L12" s="14">
        <v>0.13039735495850285</v>
      </c>
      <c r="M12" s="14">
        <v>0.11363949590837229</v>
      </c>
      <c r="N12" s="14">
        <v>8.3240886812132986E-2</v>
      </c>
      <c r="O12" s="14">
        <v>6.6786981677559712E-2</v>
      </c>
      <c r="P12" s="14">
        <v>6.964756406249932E-2</v>
      </c>
      <c r="Q12" s="14">
        <v>-6.0796264503371583E-2</v>
      </c>
      <c r="R12" s="14">
        <v>6.8346759097444476E-2</v>
      </c>
      <c r="S12" s="14">
        <v>4.417746544423732E-2</v>
      </c>
      <c r="T12" s="14">
        <v>2.1229307812013324E-2</v>
      </c>
      <c r="U12" s="14">
        <v>1.2562171322099977E-2</v>
      </c>
      <c r="V12" s="14">
        <v>3.4259693027756881E-2</v>
      </c>
      <c r="W12" s="14">
        <v>2.3845339936782926E-2</v>
      </c>
      <c r="X12" s="14" t="s">
        <v>70</v>
      </c>
      <c r="Y12" s="14" t="s">
        <v>70</v>
      </c>
      <c r="Z12" s="20" t="s">
        <v>70</v>
      </c>
    </row>
    <row r="13" spans="2:26" s="10" customFormat="1" ht="15" customHeight="1">
      <c r="B13" s="8" t="s">
        <v>27</v>
      </c>
      <c r="C13" s="9">
        <v>44.98129763</v>
      </c>
      <c r="D13" s="9">
        <v>35.794647070000003</v>
      </c>
      <c r="E13" s="9">
        <v>39.61687586</v>
      </c>
      <c r="F13" s="9">
        <v>87.843426239999999</v>
      </c>
      <c r="G13" s="9">
        <v>119.32343384000001</v>
      </c>
      <c r="H13" s="9">
        <v>2.5863533100000002</v>
      </c>
      <c r="I13" s="9">
        <v>-6.7723878499999994</v>
      </c>
      <c r="J13" s="9">
        <v>82.192751319999999</v>
      </c>
      <c r="K13" s="9">
        <v>61.442211819999997</v>
      </c>
      <c r="L13" s="9">
        <v>104.71223451</v>
      </c>
      <c r="M13" s="9">
        <v>143.46654083000001</v>
      </c>
      <c r="N13" s="9">
        <v>77.51743454999999</v>
      </c>
      <c r="O13" s="9">
        <v>53.381002369999997</v>
      </c>
      <c r="P13" s="9">
        <v>64.536148940000004</v>
      </c>
      <c r="Q13" s="9">
        <v>50.035429619999995</v>
      </c>
      <c r="R13" s="9">
        <v>53.106068090000001</v>
      </c>
      <c r="S13" s="9">
        <v>34.306807030000002</v>
      </c>
      <c r="T13" s="9">
        <v>59.206309020000006</v>
      </c>
      <c r="U13" s="9">
        <v>23.81929031</v>
      </c>
      <c r="V13" s="9">
        <v>54.000171200000004</v>
      </c>
      <c r="W13" s="9">
        <v>32.977927610000002</v>
      </c>
      <c r="X13" s="9" t="s">
        <v>70</v>
      </c>
      <c r="Y13" s="9" t="s">
        <v>70</v>
      </c>
      <c r="Z13" s="18" t="s">
        <v>70</v>
      </c>
    </row>
    <row r="14" spans="2:26" s="10" customFormat="1" ht="15" customHeight="1">
      <c r="B14" s="11" t="s">
        <v>28</v>
      </c>
      <c r="C14" s="14">
        <v>9.7758910500651885E-2</v>
      </c>
      <c r="D14" s="14">
        <v>7.4609450325557949E-2</v>
      </c>
      <c r="E14" s="14">
        <v>8.1515483230974142E-2</v>
      </c>
      <c r="F14" s="14">
        <v>0.14402237837099255</v>
      </c>
      <c r="G14" s="14">
        <v>0.22312758187976447</v>
      </c>
      <c r="H14" s="14">
        <v>5.0326481499177065E-3</v>
      </c>
      <c r="I14" s="14">
        <v>-9.4040129007925202E-3</v>
      </c>
      <c r="J14" s="14">
        <v>8.9760984929968757E-2</v>
      </c>
      <c r="K14" s="14">
        <v>8.4923229679684603E-2</v>
      </c>
      <c r="L14" s="14">
        <v>0.11453768511808196</v>
      </c>
      <c r="M14" s="14">
        <v>0.16307041910191136</v>
      </c>
      <c r="N14" s="14">
        <v>7.6867786843821173E-2</v>
      </c>
      <c r="O14" s="14">
        <v>6.4335796357591485E-2</v>
      </c>
      <c r="P14" s="14">
        <v>5.9181943694344041E-2</v>
      </c>
      <c r="Q14" s="14">
        <v>5.9390059265163851E-2</v>
      </c>
      <c r="R14" s="14">
        <v>5.5670454257399533E-2</v>
      </c>
      <c r="S14" s="14">
        <v>4.6317998882960849E-2</v>
      </c>
      <c r="T14" s="14">
        <v>3.7427271388386446E-2</v>
      </c>
      <c r="U14" s="14">
        <v>1.8316816907157113E-2</v>
      </c>
      <c r="V14" s="14">
        <v>3.4918269905090435E-2</v>
      </c>
      <c r="W14" s="14">
        <v>2.6857500525514555E-2</v>
      </c>
      <c r="X14" s="14" t="s">
        <v>70</v>
      </c>
      <c r="Y14" s="14" t="s">
        <v>70</v>
      </c>
      <c r="Z14" s="20" t="s">
        <v>70</v>
      </c>
    </row>
    <row r="15" spans="2:26" s="10" customFormat="1" ht="15" customHeight="1">
      <c r="B15" s="8" t="s">
        <v>31</v>
      </c>
      <c r="C15" s="9">
        <v>44.98129763</v>
      </c>
      <c r="D15" s="9">
        <v>35.794647070000003</v>
      </c>
      <c r="E15" s="9">
        <v>39.61687586</v>
      </c>
      <c r="F15" s="9">
        <v>87.843426239999999</v>
      </c>
      <c r="G15" s="9">
        <v>119.32343384000001</v>
      </c>
      <c r="H15" s="9">
        <v>2.5863533100000002</v>
      </c>
      <c r="I15" s="9">
        <v>-6.7723878499999994</v>
      </c>
      <c r="J15" s="9">
        <v>82.192751319999999</v>
      </c>
      <c r="K15" s="9">
        <v>61.442211819999997</v>
      </c>
      <c r="L15" s="9">
        <v>104.71223451</v>
      </c>
      <c r="M15" s="9">
        <v>143.46654083000001</v>
      </c>
      <c r="N15" s="9">
        <v>77.51743454999999</v>
      </c>
      <c r="O15" s="9">
        <v>53.381002369999997</v>
      </c>
      <c r="P15" s="9">
        <v>64.536148940000004</v>
      </c>
      <c r="Q15" s="9">
        <v>50.035429619999995</v>
      </c>
      <c r="R15" s="9">
        <v>53.106068090000001</v>
      </c>
      <c r="S15" s="9">
        <v>34.306807030000002</v>
      </c>
      <c r="T15" s="9">
        <v>59.206309020000006</v>
      </c>
      <c r="U15" s="9">
        <v>23.81929031</v>
      </c>
      <c r="V15" s="9">
        <v>54.000171200000004</v>
      </c>
      <c r="W15" s="9">
        <v>32.977927610000002</v>
      </c>
      <c r="X15" s="9" t="s">
        <v>70</v>
      </c>
      <c r="Y15" s="9" t="s">
        <v>70</v>
      </c>
      <c r="Z15" s="18" t="s">
        <v>70</v>
      </c>
    </row>
    <row r="16" spans="2:26" s="10" customFormat="1" ht="15" customHeight="1">
      <c r="B16" s="11" t="s">
        <v>32</v>
      </c>
      <c r="C16" s="14">
        <v>9.7758910500651885E-2</v>
      </c>
      <c r="D16" s="14">
        <v>7.4609450325557949E-2</v>
      </c>
      <c r="E16" s="14">
        <v>8.1515483230974142E-2</v>
      </c>
      <c r="F16" s="14">
        <v>0.14402237837099255</v>
      </c>
      <c r="G16" s="14">
        <v>0.22312758187976447</v>
      </c>
      <c r="H16" s="14">
        <v>5.0326481499177065E-3</v>
      </c>
      <c r="I16" s="14">
        <v>-9.4040129007925202E-3</v>
      </c>
      <c r="J16" s="14">
        <v>8.9760984929968757E-2</v>
      </c>
      <c r="K16" s="14">
        <v>8.4923229679684603E-2</v>
      </c>
      <c r="L16" s="14">
        <v>0.11453768511808196</v>
      </c>
      <c r="M16" s="14">
        <v>0.16307041910191136</v>
      </c>
      <c r="N16" s="14">
        <v>7.6867786843821173E-2</v>
      </c>
      <c r="O16" s="14">
        <v>6.4335796357591485E-2</v>
      </c>
      <c r="P16" s="14">
        <v>5.9181943694344041E-2</v>
      </c>
      <c r="Q16" s="14">
        <v>5.9390059265163851E-2</v>
      </c>
      <c r="R16" s="14">
        <v>5.5670454257399533E-2</v>
      </c>
      <c r="S16" s="14">
        <v>4.6317998882960849E-2</v>
      </c>
      <c r="T16" s="14">
        <v>3.7427271388386446E-2</v>
      </c>
      <c r="U16" s="14">
        <v>1.8316816907157113E-2</v>
      </c>
      <c r="V16" s="14">
        <v>3.4918269905090435E-2</v>
      </c>
      <c r="W16" s="14">
        <v>2.6857500525514555E-2</v>
      </c>
      <c r="X16" s="14" t="s">
        <v>70</v>
      </c>
      <c r="Y16" s="14" t="s">
        <v>70</v>
      </c>
      <c r="Z16" s="20" t="s">
        <v>70</v>
      </c>
    </row>
    <row r="17" spans="2:26" s="10" customFormat="1" ht="15" customHeight="1">
      <c r="B17" s="11" t="s">
        <v>23</v>
      </c>
      <c r="C17" s="14"/>
      <c r="D17" s="13"/>
      <c r="E17" s="13"/>
      <c r="F17" s="13"/>
      <c r="G17" s="13">
        <v>1.6527343613230485</v>
      </c>
      <c r="H17" s="13">
        <v>-0.92774469029008366</v>
      </c>
      <c r="I17" s="13">
        <v>-1.170947044737515</v>
      </c>
      <c r="J17" s="13">
        <v>-6.4326668048689264E-2</v>
      </c>
      <c r="K17" s="13">
        <v>-0.48507841383120565</v>
      </c>
      <c r="L17" s="13">
        <v>39.486438610353659</v>
      </c>
      <c r="M17" s="13">
        <v>22.184040844618789</v>
      </c>
      <c r="N17" s="13">
        <v>-5.6882349050437035E-2</v>
      </c>
      <c r="O17" s="13">
        <v>-0.13119985773975673</v>
      </c>
      <c r="P17" s="13">
        <v>-0.38368091138541399</v>
      </c>
      <c r="Q17" s="13">
        <v>-0.6512397292739549</v>
      </c>
      <c r="R17" s="13">
        <v>-0.31491452989526203</v>
      </c>
      <c r="S17" s="13">
        <v>-0.35732179039634615</v>
      </c>
      <c r="T17" s="13">
        <v>-8.2586891339847548E-2</v>
      </c>
      <c r="U17" s="13">
        <v>-0.52395151813628016</v>
      </c>
      <c r="V17" s="13">
        <v>1.6836176018242346E-2</v>
      </c>
      <c r="W17" s="13">
        <v>-3.8735153021904521E-2</v>
      </c>
      <c r="X17" s="13" t="s">
        <v>70</v>
      </c>
      <c r="Y17" s="13" t="s">
        <v>70</v>
      </c>
      <c r="Z17" s="19" t="s">
        <v>70</v>
      </c>
    </row>
    <row r="18" spans="2:26" s="10" customFormat="1" ht="15" customHeight="1">
      <c r="B18" s="8" t="s">
        <v>29</v>
      </c>
      <c r="C18" s="9" t="s">
        <v>70</v>
      </c>
      <c r="D18" s="9" t="s">
        <v>70</v>
      </c>
      <c r="E18" s="9">
        <v>34.438296719999997</v>
      </c>
      <c r="F18" s="9">
        <v>64.186121850000006</v>
      </c>
      <c r="G18" s="9">
        <v>0.606227760000005</v>
      </c>
      <c r="H18" s="9">
        <v>2.39767298999999</v>
      </c>
      <c r="I18" s="9">
        <v>-33.224702559999997</v>
      </c>
      <c r="J18" s="9">
        <v>75.853986980000002</v>
      </c>
      <c r="K18" s="9">
        <v>61.112785799999997</v>
      </c>
      <c r="L18" s="9">
        <v>97.704049150000003</v>
      </c>
      <c r="M18" s="9">
        <v>81.541091989999998</v>
      </c>
      <c r="N18" s="9">
        <v>78.036762180000011</v>
      </c>
      <c r="O18" s="9">
        <v>44.543854799999998</v>
      </c>
      <c r="P18" s="9">
        <v>65.423931629999998</v>
      </c>
      <c r="Q18" s="9">
        <v>37.712904350000002</v>
      </c>
      <c r="R18" s="9">
        <v>43.500111189999998</v>
      </c>
      <c r="S18" s="9">
        <v>27.71325444</v>
      </c>
      <c r="T18" s="9">
        <v>34.715620869999995</v>
      </c>
      <c r="U18" s="9">
        <v>8.6649769799999898</v>
      </c>
      <c r="V18" s="9">
        <v>32.092203959999999</v>
      </c>
      <c r="W18" s="9">
        <v>25.792410920000002</v>
      </c>
      <c r="X18" s="9" t="s">
        <v>70</v>
      </c>
      <c r="Y18" s="9" t="s">
        <v>70</v>
      </c>
      <c r="Z18" s="18" t="s">
        <v>70</v>
      </c>
    </row>
    <row r="19" spans="2:26" s="10" customFormat="1" ht="15" customHeight="1">
      <c r="B19" s="11" t="s">
        <v>30</v>
      </c>
      <c r="C19" s="14" t="s">
        <v>70</v>
      </c>
      <c r="D19" s="14" t="s">
        <v>70</v>
      </c>
      <c r="E19" s="14">
        <v>0.86928350538542432</v>
      </c>
      <c r="F19" s="14">
        <v>0.73068782261105036</v>
      </c>
      <c r="G19" s="14">
        <v>5.0805423586191105E-3</v>
      </c>
      <c r="H19" s="14">
        <v>0.92704773966090104</v>
      </c>
      <c r="I19" s="14">
        <v>4.905906645615401</v>
      </c>
      <c r="J19" s="14">
        <v>0.92287927781707457</v>
      </c>
      <c r="K19" s="14">
        <v>0.99463844138676061</v>
      </c>
      <c r="L19" s="14">
        <v>0.93307195293086098</v>
      </c>
      <c r="M19" s="14">
        <v>0.56836312856125615</v>
      </c>
      <c r="N19" s="14">
        <v>1.0066994945461598</v>
      </c>
      <c r="O19" s="14">
        <v>0.83445144943613014</v>
      </c>
      <c r="P19" s="14">
        <v>1.013756362977676</v>
      </c>
      <c r="Q19" s="14">
        <v>0.75372400389913963</v>
      </c>
      <c r="R19" s="14">
        <v>0.8191175275164303</v>
      </c>
      <c r="S19" s="14">
        <v>0.80780628799893295</v>
      </c>
      <c r="T19" s="14">
        <v>0.58635002662086211</v>
      </c>
      <c r="U19" s="14">
        <v>0.36377981321979991</v>
      </c>
      <c r="V19" s="14">
        <v>0.59429818918796307</v>
      </c>
      <c r="W19" s="14">
        <v>0.78211133292011004</v>
      </c>
      <c r="X19" s="14" t="s">
        <v>70</v>
      </c>
      <c r="Y19" s="14" t="s">
        <v>70</v>
      </c>
      <c r="Z19" s="20" t="s">
        <v>70</v>
      </c>
    </row>
    <row r="20" spans="2:26" s="10" customFormat="1" ht="15" customHeight="1">
      <c r="B20" s="15" t="s">
        <v>23</v>
      </c>
      <c r="C20" s="16"/>
      <c r="D20" s="17" t="s">
        <v>70</v>
      </c>
      <c r="E20" s="17" t="s">
        <v>70</v>
      </c>
      <c r="F20" s="17">
        <v>0.86380070918908125</v>
      </c>
      <c r="G20" s="17">
        <v>-0.99055515830327423</v>
      </c>
      <c r="H20" s="17">
        <v>2.9550696094813773</v>
      </c>
      <c r="I20" s="17"/>
      <c r="J20" s="17">
        <v>3.2830599263610085</v>
      </c>
      <c r="K20" s="17">
        <v>-0.19433653743061305</v>
      </c>
      <c r="L20" s="17">
        <v>0.59874971940814403</v>
      </c>
      <c r="M20" s="17">
        <v>-0.16542771052595628</v>
      </c>
      <c r="N20" s="17">
        <v>-4.2976243320726561E-2</v>
      </c>
      <c r="O20" s="17"/>
      <c r="P20" s="17">
        <v>0.46875325280559244</v>
      </c>
      <c r="Q20" s="17">
        <v>-0.42356102101471943</v>
      </c>
      <c r="R20" s="17">
        <v>0.15345428679507139</v>
      </c>
      <c r="S20" s="17">
        <v>-0.36291531948150862</v>
      </c>
      <c r="T20" s="17">
        <v>0.25267210840070486</v>
      </c>
      <c r="U20" s="17"/>
      <c r="V20" s="17">
        <v>2.7036686922623581</v>
      </c>
      <c r="W20" s="17">
        <v>-0.19630291044678994</v>
      </c>
      <c r="X20" s="17" t="s">
        <v>70</v>
      </c>
      <c r="Y20" s="17" t="s">
        <v>70</v>
      </c>
      <c r="Z20" s="21" t="s">
        <v>70</v>
      </c>
    </row>
    <row r="24" spans="2:26">
      <c r="B24" s="32" t="s">
        <v>43</v>
      </c>
    </row>
    <row r="25" spans="2:26">
      <c r="B25" s="32" t="s">
        <v>66</v>
      </c>
    </row>
    <row r="26" spans="2:26">
      <c r="C26" s="33" t="s">
        <v>46</v>
      </c>
      <c r="D26" s="33" t="s">
        <v>47</v>
      </c>
      <c r="E26" s="33" t="s">
        <v>48</v>
      </c>
      <c r="F26" s="33" t="s">
        <v>49</v>
      </c>
      <c r="G26" s="33" t="s">
        <v>50</v>
      </c>
      <c r="H26" s="33" t="s">
        <v>51</v>
      </c>
      <c r="I26" s="33" t="s">
        <v>52</v>
      </c>
      <c r="J26" s="33" t="s">
        <v>53</v>
      </c>
      <c r="K26" s="33" t="s">
        <v>54</v>
      </c>
      <c r="L26" s="33" t="s">
        <v>55</v>
      </c>
      <c r="M26" s="33" t="s">
        <v>56</v>
      </c>
      <c r="N26" s="33" t="s">
        <v>57</v>
      </c>
      <c r="O26" s="33" t="s">
        <v>58</v>
      </c>
      <c r="P26" s="33" t="s">
        <v>59</v>
      </c>
      <c r="Q26" s="33" t="s">
        <v>60</v>
      </c>
      <c r="R26" s="33" t="s">
        <v>61</v>
      </c>
      <c r="S26" s="33" t="s">
        <v>62</v>
      </c>
      <c r="T26" s="33" t="s">
        <v>63</v>
      </c>
      <c r="U26" s="33" t="s">
        <v>64</v>
      </c>
      <c r="V26" s="33" t="s">
        <v>65</v>
      </c>
    </row>
    <row r="27" spans="2:26">
      <c r="B27" s="35" t="s">
        <v>44</v>
      </c>
      <c r="C27" s="30">
        <v>0.16224277978473634</v>
      </c>
      <c r="D27" s="30">
        <v>7.1191305247111591E-2</v>
      </c>
      <c r="E27" s="30">
        <v>0.48179624014670797</v>
      </c>
      <c r="F27" s="30">
        <v>0.50129701396521753</v>
      </c>
      <c r="G27" s="30">
        <v>0.3529067230826326</v>
      </c>
      <c r="H27" s="30">
        <v>0.77892542667589404</v>
      </c>
      <c r="I27" s="30">
        <v>0.22165009749077025</v>
      </c>
      <c r="J27" s="30">
        <v>0.1013087891560136</v>
      </c>
      <c r="K27" s="30">
        <v>0.14681589727774091</v>
      </c>
      <c r="L27" s="30">
        <v>0.1927922149462471</v>
      </c>
      <c r="M27" s="30">
        <v>-4.2390524322112322E-2</v>
      </c>
      <c r="N27" s="30">
        <v>-5.4058304566277249E-2</v>
      </c>
      <c r="O27" s="30">
        <v>-0.10731863608786629</v>
      </c>
      <c r="P27" s="30">
        <v>0.45066121379143875</v>
      </c>
      <c r="Q27" s="30">
        <v>0.54352951685237305</v>
      </c>
      <c r="R27" s="30">
        <v>0.62114938621401361</v>
      </c>
      <c r="S27" s="30">
        <v>0.65778137344774135</v>
      </c>
      <c r="T27" s="30" t="s">
        <v>70</v>
      </c>
      <c r="U27" s="30" t="s">
        <v>70</v>
      </c>
      <c r="V27" s="30" t="s">
        <v>70</v>
      </c>
    </row>
    <row r="28" spans="2:26">
      <c r="B28" s="35" t="s">
        <v>45</v>
      </c>
      <c r="C28" s="30">
        <v>1.6527343613230485</v>
      </c>
      <c r="D28" s="30">
        <v>-0.92774469029008366</v>
      </c>
      <c r="E28" s="30">
        <v>-1.170947044737515</v>
      </c>
      <c r="F28" s="30">
        <v>-6.4326668048689264E-2</v>
      </c>
      <c r="G28" s="30">
        <v>-0.48507841383120565</v>
      </c>
      <c r="H28" s="30">
        <v>39.486438610353659</v>
      </c>
      <c r="I28" s="30">
        <v>22.184040844618789</v>
      </c>
      <c r="J28" s="30">
        <v>-5.6882349050437035E-2</v>
      </c>
      <c r="K28" s="30">
        <v>-0.13119985773975673</v>
      </c>
      <c r="L28" s="30">
        <v>-0.38368091138541399</v>
      </c>
      <c r="M28" s="30">
        <v>-0.6512397292739549</v>
      </c>
      <c r="N28" s="30">
        <v>-0.31491452989526203</v>
      </c>
      <c r="O28" s="30">
        <v>-0.35732179039634615</v>
      </c>
      <c r="P28" s="30">
        <v>-8.2586891339847548E-2</v>
      </c>
      <c r="Q28" s="30">
        <v>-0.52395151813628016</v>
      </c>
      <c r="R28" s="30">
        <v>1.6836176018242346E-2</v>
      </c>
      <c r="S28" s="30">
        <v>-3.8735153021904521E-2</v>
      </c>
      <c r="T28" s="30" t="s">
        <v>70</v>
      </c>
      <c r="U28" s="30" t="s">
        <v>70</v>
      </c>
      <c r="V28" s="30" t="s">
        <v>70</v>
      </c>
    </row>
    <row r="32" spans="2:26">
      <c r="C32" s="31"/>
      <c r="D32" s="31"/>
      <c r="E32" s="31"/>
      <c r="F32" s="31"/>
      <c r="G32" s="31"/>
      <c r="H32" s="31"/>
      <c r="I32" s="31"/>
      <c r="J32" s="31"/>
      <c r="K32" s="31"/>
      <c r="L32" s="31"/>
      <c r="M32" s="31"/>
      <c r="N32" s="31"/>
      <c r="O32" s="31"/>
      <c r="P32" s="31"/>
      <c r="Q32" s="31"/>
      <c r="R32" s="31"/>
      <c r="S32" s="31"/>
      <c r="T32" s="31"/>
      <c r="U32" s="31"/>
      <c r="V32" s="31"/>
    </row>
    <row r="51" spans="2:26">
      <c r="C51" s="34" t="s">
        <v>71</v>
      </c>
      <c r="D51" s="34" t="s">
        <v>72</v>
      </c>
      <c r="E51" s="34" t="s">
        <v>73</v>
      </c>
      <c r="F51" s="34" t="s">
        <v>74</v>
      </c>
      <c r="G51" s="34" t="s">
        <v>46</v>
      </c>
      <c r="H51" s="34" t="s">
        <v>47</v>
      </c>
      <c r="I51" s="34" t="s">
        <v>48</v>
      </c>
      <c r="J51" s="34" t="s">
        <v>49</v>
      </c>
      <c r="K51" s="34" t="s">
        <v>50</v>
      </c>
      <c r="L51" s="34" t="s">
        <v>51</v>
      </c>
      <c r="M51" s="34" t="s">
        <v>52</v>
      </c>
      <c r="N51" s="34" t="s">
        <v>53</v>
      </c>
      <c r="O51" s="34" t="s">
        <v>54</v>
      </c>
      <c r="P51" s="34" t="s">
        <v>55</v>
      </c>
      <c r="Q51" s="34" t="s">
        <v>56</v>
      </c>
      <c r="R51" s="34" t="s">
        <v>57</v>
      </c>
      <c r="S51" s="34" t="s">
        <v>58</v>
      </c>
      <c r="T51" s="34" t="s">
        <v>59</v>
      </c>
      <c r="U51" s="34" t="s">
        <v>60</v>
      </c>
      <c r="V51" s="34" t="s">
        <v>61</v>
      </c>
      <c r="W51" s="34" t="s">
        <v>62</v>
      </c>
      <c r="X51" s="34" t="s">
        <v>63</v>
      </c>
      <c r="Y51" s="34" t="s">
        <v>64</v>
      </c>
      <c r="Z51" s="34" t="s">
        <v>65</v>
      </c>
    </row>
    <row r="52" spans="2:26">
      <c r="B52" s="35" t="s">
        <v>67</v>
      </c>
      <c r="C52" s="30">
        <v>0.22662926031362501</v>
      </c>
      <c r="D52" s="30">
        <v>0.20438831530643434</v>
      </c>
      <c r="E52" s="30">
        <v>0.19435436549461832</v>
      </c>
      <c r="F52" s="30">
        <v>0.23791169834657311</v>
      </c>
      <c r="G52" s="30">
        <v>0.14350616801924398</v>
      </c>
      <c r="H52" s="30">
        <v>0.14642550390836648</v>
      </c>
      <c r="I52" s="30">
        <v>0.11882191122840452</v>
      </c>
      <c r="J52" s="30">
        <v>0.20274395252468469</v>
      </c>
      <c r="K52" s="30">
        <v>0.25993619303013715</v>
      </c>
      <c r="L52" s="30">
        <v>0.26481859333993646</v>
      </c>
      <c r="M52" s="30">
        <v>0.32496809617552491</v>
      </c>
      <c r="N52" s="30">
        <v>0.30306621789419691</v>
      </c>
      <c r="O52" s="30">
        <v>0.21340359430433045</v>
      </c>
      <c r="P52" s="30">
        <v>0.20253837465609206</v>
      </c>
      <c r="Q52" s="30">
        <v>0.20279571099925273</v>
      </c>
      <c r="R52" s="30">
        <v>0.19219575753356627</v>
      </c>
      <c r="S52" s="30">
        <v>0.21633471699284043</v>
      </c>
      <c r="T52" s="30">
        <v>0.17380567449250722</v>
      </c>
      <c r="U52" s="30">
        <v>0.16900707708602988</v>
      </c>
      <c r="V52" s="30">
        <v>0.17812434210934688</v>
      </c>
      <c r="W52" s="30">
        <v>0.21273601874217735</v>
      </c>
      <c r="X52" s="30" t="s">
        <v>70</v>
      </c>
      <c r="Y52" s="30" t="s">
        <v>70</v>
      </c>
      <c r="Z52" s="30" t="s">
        <v>70</v>
      </c>
    </row>
    <row r="53" spans="2:26">
      <c r="B53" s="35" t="s">
        <v>68</v>
      </c>
      <c r="C53" s="30">
        <v>9.7758910500651885E-2</v>
      </c>
      <c r="D53" s="30">
        <v>7.4609450325557949E-2</v>
      </c>
      <c r="E53" s="30">
        <v>8.1515483230974142E-2</v>
      </c>
      <c r="F53" s="30">
        <v>0.14402237837099255</v>
      </c>
      <c r="G53" s="30">
        <v>0.22312758187976447</v>
      </c>
      <c r="H53" s="30">
        <v>5.0326481499177065E-3</v>
      </c>
      <c r="I53" s="30">
        <v>-9.4040129007925202E-3</v>
      </c>
      <c r="J53" s="30">
        <v>8.9760984929968757E-2</v>
      </c>
      <c r="K53" s="30">
        <v>8.4923229679684603E-2</v>
      </c>
      <c r="L53" s="30">
        <v>0.11453768511808196</v>
      </c>
      <c r="M53" s="30">
        <v>0.16307041910191136</v>
      </c>
      <c r="N53" s="30">
        <v>7.6867786843821173E-2</v>
      </c>
      <c r="O53" s="30">
        <v>6.4335796357591485E-2</v>
      </c>
      <c r="P53" s="30">
        <v>5.9181943694344041E-2</v>
      </c>
      <c r="Q53" s="30">
        <v>5.9390059265163851E-2</v>
      </c>
      <c r="R53" s="30">
        <v>5.5670454257399533E-2</v>
      </c>
      <c r="S53" s="30">
        <v>4.6317998882960849E-2</v>
      </c>
      <c r="T53" s="30">
        <v>3.7427271388386446E-2</v>
      </c>
      <c r="U53" s="30">
        <v>1.8316816907157113E-2</v>
      </c>
      <c r="V53" s="30">
        <v>3.4918269905090435E-2</v>
      </c>
      <c r="W53" s="30">
        <v>2.6857500525514555E-2</v>
      </c>
      <c r="X53" s="30" t="s">
        <v>70</v>
      </c>
      <c r="Y53" s="30" t="s">
        <v>70</v>
      </c>
      <c r="Z53" s="30" t="s">
        <v>70</v>
      </c>
    </row>
  </sheetData>
  <phoneticPr fontId="6"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题目</vt:lpstr>
      <vt:lpstr>模型（年度基础数据）</vt:lpstr>
      <vt:lpstr>模型（季度基础数据）</vt:lpstr>
      <vt:lpstr>按季度重新排序并作图</vt:lpstr>
      <vt:lpstr>Sheet5</vt:lpstr>
      <vt:lpstr>Sheet6</vt:lpstr>
      <vt:lpstr>Sheet7</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joudou3</dc:creator>
  <cp:lastModifiedBy>Jay</cp:lastModifiedBy>
  <dcterms:created xsi:type="dcterms:W3CDTF">2016-08-01T00:08:02Z</dcterms:created>
  <dcterms:modified xsi:type="dcterms:W3CDTF">2017-01-12T02:56:48Z</dcterms:modified>
</cp:coreProperties>
</file>