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E16" i="1" s="1"/>
  <c r="C15" i="1"/>
  <c r="O16" i="1"/>
  <c r="O17" i="1"/>
  <c r="O15" i="1"/>
  <c r="Q17" i="1"/>
  <c r="E15" i="1"/>
  <c r="C18" i="1"/>
  <c r="Q13" i="1"/>
  <c r="Q11" i="1"/>
  <c r="F11" i="1"/>
  <c r="E11" i="1"/>
  <c r="D13" i="1"/>
  <c r="F13" i="1" s="1"/>
  <c r="C13" i="1"/>
  <c r="E13" i="1" s="1"/>
  <c r="D12" i="1"/>
  <c r="F12" i="1" s="1"/>
  <c r="C12" i="1"/>
  <c r="E12" i="1" s="1"/>
  <c r="D11" i="1"/>
  <c r="C11" i="1"/>
  <c r="P13" i="1"/>
  <c r="R13" i="1" s="1"/>
  <c r="O13" i="1"/>
  <c r="P12" i="1"/>
  <c r="R12" i="1" s="1"/>
  <c r="O12" i="1"/>
  <c r="Q12" i="1" s="1"/>
  <c r="P11" i="1"/>
  <c r="R11" i="1" s="1"/>
  <c r="O11" i="1"/>
  <c r="AA48" i="1" l="1"/>
  <c r="AA47" i="1"/>
  <c r="R59" i="1"/>
  <c r="AH10" i="1"/>
  <c r="AC12" i="1"/>
  <c r="AC11" i="1"/>
  <c r="AH11" i="1" l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J8" i="1" s="1"/>
  <c r="X18" i="1"/>
  <c r="X16" i="1"/>
  <c r="X17" i="1"/>
  <c r="X15" i="1"/>
  <c r="E17" i="1"/>
  <c r="O18" i="1"/>
  <c r="Q16" i="1"/>
  <c r="Q15" i="1"/>
  <c r="AH29" i="1" l="1"/>
  <c r="AC13" i="1" s="1"/>
  <c r="AJ10" i="1"/>
  <c r="AJ11" i="1" s="1"/>
  <c r="AJ12" i="1" s="1"/>
  <c r="AJ13" i="1" s="1"/>
  <c r="AJ14" i="1" s="1"/>
  <c r="AJ15" i="1" s="1"/>
  <c r="AJ16" i="1" s="1"/>
  <c r="AJ17" i="1" s="1"/>
  <c r="AJ18" i="1" s="1"/>
  <c r="AL8" i="1" l="1"/>
  <c r="AJ19" i="1"/>
  <c r="AC14" i="1" s="1"/>
  <c r="AL10" i="1" l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l="1"/>
  <c r="AC15" i="1" s="1"/>
  <c r="AC16" i="1" s="1"/>
  <c r="AA16" i="1"/>
</calcChain>
</file>

<file path=xl/sharedStrings.xml><?xml version="1.0" encoding="utf-8"?>
<sst xmlns="http://schemas.openxmlformats.org/spreadsheetml/2006/main" count="237" uniqueCount="120">
  <si>
    <t>Column Parameterizations</t>
  </si>
  <si>
    <t>Created by Mike O'Connor on 26 Jul 18 at 5:14pm EST in Cold Spring Harbor, NY</t>
  </si>
  <si>
    <t>Description: This excel workbook lays out the final parameters chosen to inform the ATS column models</t>
  </si>
  <si>
    <t xml:space="preserve">Source: </t>
  </si>
  <si>
    <t>C:\Users\mo8557\Dropbox\Imnavait UTexas Data\Labwork\Analysis\PaperStoryboard.m</t>
  </si>
  <si>
    <t>Acrotelm</t>
  </si>
  <si>
    <t>Catotelm</t>
  </si>
  <si>
    <t>Mineral Soil</t>
  </si>
  <si>
    <t>[1/cm]</t>
  </si>
  <si>
    <t>Porosity</t>
  </si>
  <si>
    <t>[-]</t>
  </si>
  <si>
    <t>Permeability</t>
  </si>
  <si>
    <t>[m/s]</t>
  </si>
  <si>
    <t>[m^2]</t>
  </si>
  <si>
    <t>[W/m*K]</t>
  </si>
  <si>
    <t>Saturated thermal conductivity</t>
  </si>
  <si>
    <t>Dry thermal conductivity</t>
  </si>
  <si>
    <t>Particle density</t>
  </si>
  <si>
    <t>Van Genuchten alpha</t>
  </si>
  <si>
    <t>[kg/m^3]</t>
  </si>
  <si>
    <t>Bedrock*</t>
  </si>
  <si>
    <t>Input in test 2</t>
  </si>
  <si>
    <t>Input in test 0</t>
  </si>
  <si>
    <t>Van Genuchten m</t>
  </si>
  <si>
    <t>[1/Pa]</t>
  </si>
  <si>
    <t>[g/cm^3]</t>
  </si>
  <si>
    <t>PROPERTIES</t>
  </si>
  <si>
    <t>GEOMETRIES</t>
  </si>
  <si>
    <t>Column Geometry</t>
  </si>
  <si>
    <t>number of cells</t>
  </si>
  <si>
    <t>thickness of each cell</t>
  </si>
  <si>
    <t>layer id</t>
  </si>
  <si>
    <t>total layer thickness</t>
  </si>
  <si>
    <t>[cm]</t>
  </si>
  <si>
    <t>TOTAL:</t>
  </si>
  <si>
    <t>Growth Factor:</t>
  </si>
  <si>
    <t>Increasing column dz:</t>
  </si>
  <si>
    <t>dz*=1.2</t>
  </si>
  <si>
    <t>GEOMETRIES MATRIX</t>
  </si>
  <si>
    <t>Mean</t>
  </si>
  <si>
    <t>Thick</t>
  </si>
  <si>
    <t>Middle</t>
  </si>
  <si>
    <t>Thin</t>
  </si>
  <si>
    <t>Thick, Large Range</t>
  </si>
  <si>
    <t>Thin, Large Range</t>
  </si>
  <si>
    <t>Thin, Small Range</t>
  </si>
  <si>
    <t>No Catotelm</t>
  </si>
  <si>
    <t>Slope</t>
  </si>
  <si>
    <t>25th Percentile</t>
  </si>
  <si>
    <t>75th Percentile</t>
  </si>
  <si>
    <t>Acrotelm Thickness [cm]</t>
  </si>
  <si>
    <t>Catotelm Thickness [cm]</t>
  </si>
  <si>
    <t>PROPERTIES MATRIX</t>
  </si>
  <si>
    <t>VG Alpha</t>
  </si>
  <si>
    <t>Saturated Thermal K</t>
  </si>
  <si>
    <t>Dry Thermal K</t>
  </si>
  <si>
    <t>LC TYPES</t>
  </si>
  <si>
    <t>Birch HI</t>
  </si>
  <si>
    <t>Birch LO</t>
  </si>
  <si>
    <t>Lichen</t>
  </si>
  <si>
    <t>Tussock HI</t>
  </si>
  <si>
    <t>Tussock LO</t>
  </si>
  <si>
    <t>Sedge HI</t>
  </si>
  <si>
    <t>Sedge LO</t>
  </si>
  <si>
    <t>AC Type</t>
  </si>
  <si>
    <t>AC Thickness</t>
  </si>
  <si>
    <t>CT Type</t>
  </si>
  <si>
    <t>CT Thickness</t>
  </si>
  <si>
    <t>MN Type</t>
  </si>
  <si>
    <t>MN Thickness?</t>
  </si>
  <si>
    <t>CT HI</t>
  </si>
  <si>
    <t>CT LO</t>
  </si>
  <si>
    <t>AC</t>
  </si>
  <si>
    <t>MN LD</t>
  </si>
  <si>
    <t>MN MD</t>
  </si>
  <si>
    <t>MN HD</t>
  </si>
  <si>
    <t>MN MD/HI</t>
  </si>
  <si>
    <t>None</t>
  </si>
  <si>
    <t>Thin SV</t>
  </si>
  <si>
    <t>Thin LV</t>
  </si>
  <si>
    <t>Thick LV</t>
  </si>
  <si>
    <t>n/a</t>
  </si>
  <si>
    <t>x3 VG Alphas</t>
  </si>
  <si>
    <t>x3 porosity</t>
  </si>
  <si>
    <t>x3 permeability</t>
  </si>
  <si>
    <t>x3 thermal K</t>
  </si>
  <si>
    <t>x3 thicknesses</t>
  </si>
  <si>
    <t>1) Thickness of layers can vary</t>
  </si>
  <si>
    <t>2) Properties of layers can vary</t>
  </si>
  <si>
    <t>Two ways to test for hydrologic variability:</t>
  </si>
  <si>
    <t xml:space="preserve">If we JUST test the layer THICKNESSES: </t>
  </si>
  <si>
    <t>Layer thicknesses vary between groups</t>
  </si>
  <si>
    <t>overarching sci question: how does thaw and flow change within different land cover types?</t>
  </si>
  <si>
    <t>What are the REASONABLE types we see?</t>
  </si>
  <si>
    <t>Tussock tundra: flow happens in lows</t>
  </si>
  <si>
    <t>Sedges: flow happens in lows</t>
  </si>
  <si>
    <t>Reality: sedges focus flow, birches drain it.  How do we show that without creating an actual hillslope with sedges at the bottom and tussocks on top?</t>
  </si>
  <si>
    <t>This may be backwards--the land cover develops BECAUSE OF the hydraulic/thermal properties of the soil below</t>
  </si>
  <si>
    <t>NOT IN THIS STUDY: Not a lateral feature</t>
  </si>
  <si>
    <t>AC Means</t>
  </si>
  <si>
    <t>AC Stds</t>
  </si>
  <si>
    <t>Standard Dev.</t>
  </si>
  <si>
    <t>Catotelm: GROUP 1</t>
  </si>
  <si>
    <t>Catotelm: GROUP 2</t>
  </si>
  <si>
    <t>Mineral: GROUP 1</t>
  </si>
  <si>
    <t>Mineral: GROUP 2</t>
  </si>
  <si>
    <t>Acrotelm: GROUP 1</t>
  </si>
  <si>
    <t>Ct Means</t>
  </si>
  <si>
    <t>Ct Stds</t>
  </si>
  <si>
    <t>Mn Means</t>
  </si>
  <si>
    <t>Mn Stds</t>
  </si>
  <si>
    <t>dz*=1.1</t>
  </si>
  <si>
    <t>Lo</t>
  </si>
  <si>
    <t>Hi</t>
  </si>
  <si>
    <t>Layer Thicknesses</t>
  </si>
  <si>
    <t>Van Genuchten n - distributions don't fit, we don't use</t>
  </si>
  <si>
    <t>Measured thicknesses</t>
  </si>
  <si>
    <t>Sensitivity Analysis</t>
  </si>
  <si>
    <t>Mean Values</t>
  </si>
  <si>
    <t>Van Genuchten theta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</si>
</sst>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2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P27" sqref="P27"/>
    </sheetView>
  </sheetViews>
  <sheetFormatPr defaultRowHeight="15" x14ac:dyDescent="0.25"/>
  <cols>
    <col min="1" max="1" width="8.42578125" customWidth="1"/>
    <col min="2" max="2" width="12.7109375" customWidth="1"/>
    <col min="3" max="30" width="10.42578125" customWidth="1"/>
  </cols>
  <sheetData>
    <row r="1" spans="1:38" x14ac:dyDescent="0.25">
      <c r="B1" s="1" t="s">
        <v>0</v>
      </c>
    </row>
    <row r="2" spans="1:38" x14ac:dyDescent="0.25">
      <c r="B2" t="s">
        <v>1</v>
      </c>
    </row>
    <row r="3" spans="1:38" x14ac:dyDescent="0.25">
      <c r="B3" t="s">
        <v>2</v>
      </c>
    </row>
    <row r="4" spans="1:38" x14ac:dyDescent="0.25">
      <c r="B4" t="s">
        <v>3</v>
      </c>
      <c r="C4" t="s">
        <v>4</v>
      </c>
    </row>
    <row r="6" spans="1:38" x14ac:dyDescent="0.25">
      <c r="C6" s="17" t="s">
        <v>26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 t="s">
        <v>27</v>
      </c>
      <c r="Z6" s="17"/>
      <c r="AA6" s="17"/>
      <c r="AB6" s="17"/>
      <c r="AC6" s="17"/>
      <c r="AD6" s="17"/>
      <c r="AG6" s="18" t="s">
        <v>36</v>
      </c>
      <c r="AH6" s="18"/>
      <c r="AI6" s="18"/>
      <c r="AJ6" s="18"/>
      <c r="AK6" s="18"/>
      <c r="AL6" s="18"/>
    </row>
    <row r="7" spans="1:38" ht="30" x14ac:dyDescent="0.25">
      <c r="C7" s="21" t="s">
        <v>22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 t="s">
        <v>21</v>
      </c>
      <c r="T7" s="21"/>
      <c r="U7" s="21"/>
      <c r="V7" s="21"/>
      <c r="W7" s="21"/>
      <c r="X7" s="21"/>
      <c r="Y7" s="25" t="s">
        <v>116</v>
      </c>
      <c r="Z7" s="25"/>
      <c r="AA7" s="21" t="s">
        <v>28</v>
      </c>
      <c r="AB7" s="21"/>
      <c r="AC7" s="21"/>
      <c r="AD7" s="21"/>
      <c r="AG7" s="10" t="s">
        <v>35</v>
      </c>
      <c r="AH7" s="2">
        <v>1.1000000000000001</v>
      </c>
      <c r="AI7" s="10" t="s">
        <v>35</v>
      </c>
      <c r="AJ7" s="2">
        <v>1.2</v>
      </c>
      <c r="AK7" s="10" t="s">
        <v>35</v>
      </c>
      <c r="AL7" s="2">
        <v>1.2</v>
      </c>
    </row>
    <row r="8" spans="1:38" s="3" customFormat="1" ht="45" x14ac:dyDescent="0.25">
      <c r="C8" s="18" t="s">
        <v>18</v>
      </c>
      <c r="D8" s="18"/>
      <c r="E8" s="18"/>
      <c r="F8" s="18"/>
      <c r="G8" s="18" t="s">
        <v>115</v>
      </c>
      <c r="H8" s="18"/>
      <c r="I8" s="18" t="s">
        <v>23</v>
      </c>
      <c r="J8" s="18"/>
      <c r="K8" s="18" t="s">
        <v>119</v>
      </c>
      <c r="L8" s="18"/>
      <c r="M8" s="18" t="s">
        <v>9</v>
      </c>
      <c r="N8" s="18"/>
      <c r="O8" s="18" t="s">
        <v>11</v>
      </c>
      <c r="P8" s="18"/>
      <c r="Q8" s="18"/>
      <c r="R8" s="18"/>
      <c r="S8" s="18" t="s">
        <v>15</v>
      </c>
      <c r="T8" s="18"/>
      <c r="U8" s="18" t="s">
        <v>16</v>
      </c>
      <c r="V8" s="18"/>
      <c r="W8" s="18" t="s">
        <v>17</v>
      </c>
      <c r="X8" s="18"/>
      <c r="Y8" s="17" t="s">
        <v>114</v>
      </c>
      <c r="Z8" s="17"/>
      <c r="AA8" s="3" t="s">
        <v>29</v>
      </c>
      <c r="AB8" s="3" t="s">
        <v>30</v>
      </c>
      <c r="AC8" s="3" t="s">
        <v>32</v>
      </c>
      <c r="AD8" s="3" t="s">
        <v>31</v>
      </c>
      <c r="AG8">
        <v>1</v>
      </c>
      <c r="AH8" s="4">
        <v>0.02</v>
      </c>
      <c r="AI8">
        <v>1</v>
      </c>
      <c r="AJ8" s="4">
        <f>AH28*AJ7</f>
        <v>0.14678181707619511</v>
      </c>
      <c r="AK8">
        <v>1</v>
      </c>
      <c r="AL8" s="4">
        <f>AJ18*AL7</f>
        <v>0.90883432293673139</v>
      </c>
    </row>
    <row r="9" spans="1:38" s="10" customFormat="1" x14ac:dyDescent="0.25">
      <c r="C9" s="22" t="s">
        <v>112</v>
      </c>
      <c r="D9" s="22" t="s">
        <v>113</v>
      </c>
      <c r="E9" s="22" t="s">
        <v>112</v>
      </c>
      <c r="F9" s="22" t="s">
        <v>113</v>
      </c>
      <c r="G9" s="22" t="s">
        <v>112</v>
      </c>
      <c r="H9" s="22" t="s">
        <v>113</v>
      </c>
      <c r="I9" s="22" t="s">
        <v>112</v>
      </c>
      <c r="J9" s="22" t="s">
        <v>113</v>
      </c>
      <c r="K9" s="22" t="s">
        <v>112</v>
      </c>
      <c r="L9" s="22" t="s">
        <v>113</v>
      </c>
      <c r="M9" s="22" t="s">
        <v>112</v>
      </c>
      <c r="N9" s="22" t="s">
        <v>113</v>
      </c>
      <c r="O9" s="22" t="s">
        <v>112</v>
      </c>
      <c r="P9" s="22" t="s">
        <v>113</v>
      </c>
      <c r="Q9" s="22" t="s">
        <v>112</v>
      </c>
      <c r="R9" s="22" t="s">
        <v>113</v>
      </c>
      <c r="S9" s="22" t="s">
        <v>112</v>
      </c>
      <c r="T9" s="22" t="s">
        <v>113</v>
      </c>
      <c r="U9" s="22" t="s">
        <v>112</v>
      </c>
      <c r="V9" s="22" t="s">
        <v>113</v>
      </c>
      <c r="W9" s="22" t="s">
        <v>112</v>
      </c>
      <c r="X9" s="22" t="s">
        <v>113</v>
      </c>
      <c r="Y9" s="22" t="s">
        <v>112</v>
      </c>
      <c r="Z9" s="22" t="s">
        <v>113</v>
      </c>
      <c r="AG9" s="2"/>
      <c r="AH9" s="23"/>
      <c r="AI9" s="2"/>
      <c r="AJ9" s="23"/>
      <c r="AK9" s="2"/>
      <c r="AL9" s="23"/>
    </row>
    <row r="10" spans="1:38" s="2" customFormat="1" x14ac:dyDescent="0.25">
      <c r="C10" s="21" t="s">
        <v>8</v>
      </c>
      <c r="D10" s="21"/>
      <c r="E10" s="21" t="s">
        <v>24</v>
      </c>
      <c r="F10" s="21"/>
      <c r="G10" s="21" t="s">
        <v>10</v>
      </c>
      <c r="H10" s="21"/>
      <c r="I10" s="21" t="s">
        <v>10</v>
      </c>
      <c r="J10" s="21"/>
      <c r="K10" s="21" t="s">
        <v>10</v>
      </c>
      <c r="L10" s="21"/>
      <c r="M10" s="21" t="s">
        <v>10</v>
      </c>
      <c r="N10" s="21"/>
      <c r="O10" s="21" t="s">
        <v>12</v>
      </c>
      <c r="P10" s="21"/>
      <c r="Q10" s="21" t="s">
        <v>13</v>
      </c>
      <c r="R10" s="21"/>
      <c r="S10" s="21" t="s">
        <v>14</v>
      </c>
      <c r="T10" s="21"/>
      <c r="U10" s="21" t="s">
        <v>14</v>
      </c>
      <c r="V10" s="21"/>
      <c r="W10" s="2" t="s">
        <v>25</v>
      </c>
      <c r="X10" s="2" t="s">
        <v>19</v>
      </c>
      <c r="Y10" s="2" t="s">
        <v>33</v>
      </c>
      <c r="Z10" s="2" t="s">
        <v>33</v>
      </c>
      <c r="AA10" s="2" t="s">
        <v>10</v>
      </c>
      <c r="AB10" s="2" t="s">
        <v>33</v>
      </c>
      <c r="AC10" s="2" t="s">
        <v>33</v>
      </c>
      <c r="AD10" s="2" t="s">
        <v>10</v>
      </c>
      <c r="AG10">
        <v>2</v>
      </c>
      <c r="AH10" s="4">
        <f>AH8*$AH$7</f>
        <v>2.2000000000000002E-2</v>
      </c>
      <c r="AI10">
        <v>2</v>
      </c>
      <c r="AJ10" s="4">
        <f>AJ8*$AJ$7</f>
        <v>0.17613818049143412</v>
      </c>
      <c r="AK10">
        <v>2</v>
      </c>
      <c r="AL10" s="4">
        <f>AL8*$AL$7</f>
        <v>1.0906011875240775</v>
      </c>
    </row>
    <row r="11" spans="1:38" x14ac:dyDescent="0.25">
      <c r="A11" s="19" t="s">
        <v>117</v>
      </c>
      <c r="B11" s="1" t="s">
        <v>5</v>
      </c>
      <c r="C11" s="5">
        <f>10^-1.53</f>
        <v>2.9512092266663844E-2</v>
      </c>
      <c r="D11" s="5">
        <f>10^-0.95</f>
        <v>0.11220184543019632</v>
      </c>
      <c r="E11" s="5">
        <f>C11*100/9806.38</f>
        <v>3.0094787543072821E-4</v>
      </c>
      <c r="F11" s="5">
        <f>D11*100/9806.38</f>
        <v>1.1441719108396405E-3</v>
      </c>
      <c r="G11" s="4">
        <v>1.31</v>
      </c>
      <c r="H11" s="4">
        <v>1.48</v>
      </c>
      <c r="I11" s="4"/>
      <c r="J11" s="4"/>
      <c r="K11" s="4"/>
      <c r="L11" s="4"/>
      <c r="M11" s="4">
        <v>0.83</v>
      </c>
      <c r="N11" s="4">
        <v>0.98</v>
      </c>
      <c r="O11" s="5">
        <f>10^-3.39</f>
        <v>4.0738027780411217E-4</v>
      </c>
      <c r="P11" s="5">
        <f>10^-2.51</f>
        <v>3.0902954325135908E-3</v>
      </c>
      <c r="Q11" s="5">
        <f>(O11*0.00089)/(1000*9.81)</f>
        <v>3.6959066997518838E-11</v>
      </c>
      <c r="R11" s="5">
        <f>(P11*0.00089)/(1000*9.81)</f>
        <v>2.8036319418319018E-10</v>
      </c>
      <c r="Y11">
        <v>3.56</v>
      </c>
      <c r="Z11">
        <v>21.67</v>
      </c>
      <c r="AA11">
        <v>4</v>
      </c>
      <c r="AB11">
        <v>0.01</v>
      </c>
      <c r="AC11">
        <f>AA11*AB11</f>
        <v>0.04</v>
      </c>
      <c r="AD11">
        <v>1001</v>
      </c>
      <c r="AG11">
        <v>3</v>
      </c>
      <c r="AH11" s="4">
        <f t="shared" ref="AH11:AH28" si="0">AH10*$AH$7</f>
        <v>2.4200000000000003E-2</v>
      </c>
      <c r="AI11">
        <v>3</v>
      </c>
      <c r="AJ11" s="4">
        <f t="shared" ref="AJ11:AJ18" si="1">AJ10*$AJ$7</f>
        <v>0.21136581658972095</v>
      </c>
      <c r="AK11">
        <v>3</v>
      </c>
      <c r="AL11" s="4">
        <f t="shared" ref="AL11:AL17" si="2">AL10*$AL$7</f>
        <v>1.308721425028893</v>
      </c>
    </row>
    <row r="12" spans="1:38" x14ac:dyDescent="0.25">
      <c r="A12" s="19"/>
      <c r="B12" s="1" t="s">
        <v>6</v>
      </c>
      <c r="C12" s="5">
        <f>10^-2.35</f>
        <v>4.4668359215096279E-3</v>
      </c>
      <c r="D12" s="5">
        <f>10^-1.55</f>
        <v>2.8183829312644532E-2</v>
      </c>
      <c r="E12" s="5">
        <f t="shared" ref="E12:F13" si="3">C12*100/9806.38</f>
        <v>4.5550304205115731E-5</v>
      </c>
      <c r="F12" s="5">
        <f t="shared" si="3"/>
        <v>2.8740298981524818E-4</v>
      </c>
      <c r="G12" s="4">
        <v>1.25</v>
      </c>
      <c r="H12" s="4">
        <v>1.78</v>
      </c>
      <c r="I12" s="4"/>
      <c r="J12" s="4"/>
      <c r="K12" s="4"/>
      <c r="L12" s="4"/>
      <c r="M12" s="4">
        <v>0.78</v>
      </c>
      <c r="N12" s="4">
        <v>0.92</v>
      </c>
      <c r="O12" s="5">
        <f>10^-5.66</f>
        <v>2.1877616239495505E-6</v>
      </c>
      <c r="P12" s="5">
        <f>10^-3.95</f>
        <v>1.1220184543019618E-4</v>
      </c>
      <c r="Q12" s="5">
        <f t="shared" ref="Q12:R13" si="4">(O12*0.00089)/(1000*9.81)</f>
        <v>1.9848194141846072E-13</v>
      </c>
      <c r="R12" s="5">
        <f t="shared" si="4"/>
        <v>1.0179372317316472E-11</v>
      </c>
      <c r="Y12">
        <v>0.86</v>
      </c>
      <c r="Z12">
        <v>40.19</v>
      </c>
      <c r="AA12">
        <v>0</v>
      </c>
      <c r="AB12">
        <v>0.02</v>
      </c>
      <c r="AC12">
        <f t="shared" ref="AC12" si="5">AA12*AB12</f>
        <v>0</v>
      </c>
      <c r="AD12">
        <v>1002</v>
      </c>
      <c r="AG12">
        <v>4</v>
      </c>
      <c r="AH12" s="4">
        <f t="shared" si="0"/>
        <v>2.6620000000000005E-2</v>
      </c>
      <c r="AI12">
        <v>4</v>
      </c>
      <c r="AJ12" s="4">
        <f t="shared" si="1"/>
        <v>0.25363897990766515</v>
      </c>
      <c r="AK12">
        <v>4</v>
      </c>
      <c r="AL12" s="4">
        <f t="shared" si="2"/>
        <v>1.5704657100346715</v>
      </c>
    </row>
    <row r="13" spans="1:38" x14ac:dyDescent="0.25">
      <c r="A13" s="19"/>
      <c r="B13" s="1" t="s">
        <v>7</v>
      </c>
      <c r="C13" s="5">
        <f>10^-3.09</f>
        <v>8.1283051616409872E-4</v>
      </c>
      <c r="D13" s="5">
        <f>10^-2.33</f>
        <v>4.6773514128719777E-3</v>
      </c>
      <c r="E13" s="5">
        <f t="shared" si="3"/>
        <v>8.2887927671995049E-6</v>
      </c>
      <c r="F13" s="5">
        <f t="shared" si="3"/>
        <v>4.7697023905579618E-5</v>
      </c>
      <c r="G13" s="4">
        <v>1.01</v>
      </c>
      <c r="H13" s="4">
        <v>2.15</v>
      </c>
      <c r="I13" s="4"/>
      <c r="J13" s="4"/>
      <c r="K13" s="4"/>
      <c r="L13" s="4"/>
      <c r="M13" s="4">
        <v>0.38</v>
      </c>
      <c r="N13" s="4">
        <v>0.76</v>
      </c>
      <c r="O13" s="5">
        <f>10^-7.62</f>
        <v>2.3988329190194864E-8</v>
      </c>
      <c r="P13" s="5">
        <f>10^-5.15</f>
        <v>7.0794578438413623E-6</v>
      </c>
      <c r="Q13" s="5">
        <f t="shared" si="4"/>
        <v>2.17631121093511E-15</v>
      </c>
      <c r="R13" s="5">
        <f t="shared" si="4"/>
        <v>6.4227497258091867E-13</v>
      </c>
      <c r="AA13">
        <v>20</v>
      </c>
      <c r="AB13" t="s">
        <v>111</v>
      </c>
      <c r="AC13" s="4">
        <f>AH29</f>
        <v>1.145499989865121</v>
      </c>
      <c r="AD13">
        <v>1003</v>
      </c>
      <c r="AG13">
        <v>5</v>
      </c>
      <c r="AH13" s="4">
        <f t="shared" si="0"/>
        <v>2.9282000000000006E-2</v>
      </c>
      <c r="AI13">
        <v>5</v>
      </c>
      <c r="AJ13" s="4">
        <f t="shared" si="1"/>
        <v>0.30436677588919819</v>
      </c>
      <c r="AK13">
        <v>5</v>
      </c>
      <c r="AL13" s="4">
        <f t="shared" si="2"/>
        <v>1.8845588520416057</v>
      </c>
    </row>
    <row r="14" spans="1:38" x14ac:dyDescent="0.25">
      <c r="A14" s="19"/>
      <c r="B14" s="1" t="s">
        <v>20</v>
      </c>
      <c r="E14" s="5"/>
      <c r="AA14">
        <v>10</v>
      </c>
      <c r="AB14" t="s">
        <v>37</v>
      </c>
      <c r="AC14" s="4">
        <f>AJ19</f>
        <v>3.8102625293026819</v>
      </c>
      <c r="AD14">
        <v>1003</v>
      </c>
      <c r="AG14">
        <v>6</v>
      </c>
      <c r="AH14" s="4">
        <f t="shared" si="0"/>
        <v>3.2210200000000008E-2</v>
      </c>
      <c r="AI14">
        <v>6</v>
      </c>
      <c r="AJ14" s="4">
        <f t="shared" si="1"/>
        <v>0.36524013106703784</v>
      </c>
      <c r="AK14">
        <v>6</v>
      </c>
      <c r="AL14" s="4">
        <f t="shared" si="2"/>
        <v>2.2614706224499268</v>
      </c>
    </row>
    <row r="15" spans="1:38" x14ac:dyDescent="0.25">
      <c r="A15" s="19" t="s">
        <v>118</v>
      </c>
      <c r="B15" s="1" t="s">
        <v>5</v>
      </c>
      <c r="C15">
        <f>10^-1.24</f>
        <v>5.7543993733715687E-2</v>
      </c>
      <c r="E15" s="24">
        <f>C15*100/9806.38</f>
        <v>5.8680158971726251E-4</v>
      </c>
      <c r="G15">
        <v>1.39</v>
      </c>
      <c r="K15">
        <v>0.05</v>
      </c>
      <c r="M15">
        <v>0.91</v>
      </c>
      <c r="O15" s="5">
        <f>10^-2.95</f>
        <v>1.1220184543019622E-3</v>
      </c>
      <c r="P15" s="5"/>
      <c r="Q15" s="5">
        <f>(O15*0.00089)/(1000*9.81)</f>
        <v>1.0179372317316474E-10</v>
      </c>
      <c r="S15">
        <v>0.56000000000000005</v>
      </c>
      <c r="U15">
        <v>0.08</v>
      </c>
      <c r="W15">
        <v>0.4</v>
      </c>
      <c r="X15">
        <f>W15*1000</f>
        <v>400</v>
      </c>
      <c r="Y15">
        <v>9.6</v>
      </c>
      <c r="AA15">
        <v>10</v>
      </c>
      <c r="AB15" t="s">
        <v>37</v>
      </c>
      <c r="AC15" s="4">
        <f>AL21</f>
        <v>35.972118955949476</v>
      </c>
      <c r="AD15">
        <v>1004</v>
      </c>
      <c r="AG15">
        <v>7</v>
      </c>
      <c r="AH15" s="4">
        <f t="shared" si="0"/>
        <v>3.5431220000000013E-2</v>
      </c>
      <c r="AI15">
        <v>7</v>
      </c>
      <c r="AJ15" s="4">
        <f t="shared" si="1"/>
        <v>0.4382881572804454</v>
      </c>
      <c r="AK15">
        <v>7</v>
      </c>
      <c r="AL15" s="4">
        <f t="shared" si="2"/>
        <v>2.713764746939912</v>
      </c>
    </row>
    <row r="16" spans="1:38" x14ac:dyDescent="0.25">
      <c r="A16" s="19"/>
      <c r="B16" s="1" t="s">
        <v>6</v>
      </c>
      <c r="C16">
        <f>10^-1.95</f>
        <v>1.1220184543019634E-2</v>
      </c>
      <c r="E16" s="24">
        <f>C16*100/9806.38</f>
        <v>1.1441719108396405E-4</v>
      </c>
      <c r="G16">
        <v>1.52</v>
      </c>
      <c r="K16">
        <v>0.1</v>
      </c>
      <c r="M16">
        <v>0.85</v>
      </c>
      <c r="O16" s="5">
        <f>10^-4.81</f>
        <v>1.5488166189124811E-5</v>
      </c>
      <c r="P16" s="5"/>
      <c r="Q16" s="5">
        <f>(O16*0.00089)/(1000*9.81)</f>
        <v>1.4051445370357881E-12</v>
      </c>
      <c r="S16">
        <v>0.67</v>
      </c>
      <c r="U16">
        <v>0.09</v>
      </c>
      <c r="W16">
        <v>1.4</v>
      </c>
      <c r="X16">
        <f>W16*1000</f>
        <v>1400</v>
      </c>
      <c r="Y16">
        <v>14</v>
      </c>
      <c r="AA16">
        <f ca="1">SUM(AA11:AA16)</f>
        <v>44</v>
      </c>
      <c r="AC16" s="9">
        <f>SUM(AC11:AC15)</f>
        <v>40.967881475117281</v>
      </c>
      <c r="AG16">
        <v>8</v>
      </c>
      <c r="AH16" s="4">
        <f t="shared" si="0"/>
        <v>3.8974342000000016E-2</v>
      </c>
      <c r="AI16">
        <v>8</v>
      </c>
      <c r="AJ16" s="4">
        <f t="shared" si="1"/>
        <v>0.52594578873653441</v>
      </c>
      <c r="AK16">
        <v>8</v>
      </c>
      <c r="AL16" s="4">
        <f t="shared" si="2"/>
        <v>3.2565176963278941</v>
      </c>
    </row>
    <row r="17" spans="1:38" x14ac:dyDescent="0.25">
      <c r="A17" s="19"/>
      <c r="B17" s="1" t="s">
        <v>7</v>
      </c>
      <c r="C17">
        <f>10^-2.71</f>
        <v>1.9498445997580441E-3</v>
      </c>
      <c r="E17" s="24">
        <f>C17*100/9806.38</f>
        <v>1.9883428948888829E-5</v>
      </c>
      <c r="G17">
        <v>1.58</v>
      </c>
      <c r="K17">
        <v>0.19900000000000001</v>
      </c>
      <c r="M17">
        <v>0.56999999999999995</v>
      </c>
      <c r="O17" s="5">
        <f>10^-6.38</f>
        <v>4.1686938347033493E-7</v>
      </c>
      <c r="P17" s="5"/>
      <c r="Q17" s="5">
        <f>(O17*0.00089)/(1000*9.81)</f>
        <v>3.7819954259795933E-14</v>
      </c>
      <c r="S17">
        <v>1.65</v>
      </c>
      <c r="U17">
        <v>0.4</v>
      </c>
      <c r="W17">
        <v>2.42</v>
      </c>
      <c r="X17">
        <f>W17*1000</f>
        <v>2420</v>
      </c>
      <c r="AG17">
        <v>9</v>
      </c>
      <c r="AH17" s="4">
        <f t="shared" si="0"/>
        <v>4.2871776200000024E-2</v>
      </c>
      <c r="AI17">
        <v>9</v>
      </c>
      <c r="AJ17" s="4">
        <f t="shared" si="1"/>
        <v>0.63113494648384127</v>
      </c>
      <c r="AK17">
        <v>9</v>
      </c>
      <c r="AL17" s="4">
        <f t="shared" si="2"/>
        <v>3.9078212355934729</v>
      </c>
    </row>
    <row r="18" spans="1:38" x14ac:dyDescent="0.25">
      <c r="A18" s="19"/>
      <c r="B18" s="1" t="s">
        <v>20</v>
      </c>
      <c r="C18" s="4">
        <f>E18/100*9806.38</f>
        <v>5.3444771000000002E-2</v>
      </c>
      <c r="D18" s="4"/>
      <c r="E18" s="24">
        <v>5.4500000000000002E-4</v>
      </c>
      <c r="I18">
        <v>0.19089999999999999</v>
      </c>
      <c r="M18">
        <v>0.25</v>
      </c>
      <c r="O18" s="5">
        <f>Q18*1000*9.81/(0.00089)</f>
        <v>1.102247191011236E-8</v>
      </c>
      <c r="Q18" s="5">
        <v>1.0000000000000001E-15</v>
      </c>
      <c r="W18">
        <v>2.17</v>
      </c>
      <c r="X18">
        <f>W18*1000</f>
        <v>2170</v>
      </c>
      <c r="AG18">
        <v>10</v>
      </c>
      <c r="AH18" s="4">
        <f t="shared" si="0"/>
        <v>4.715895382000003E-2</v>
      </c>
      <c r="AI18">
        <v>10</v>
      </c>
      <c r="AJ18" s="4">
        <f t="shared" si="1"/>
        <v>0.75736193578060951</v>
      </c>
      <c r="AK18">
        <v>10</v>
      </c>
      <c r="AL18" s="4">
        <f t="shared" ref="AL18:AL20" si="6">AL17*$AL$7</f>
        <v>4.6893854827121677</v>
      </c>
    </row>
    <row r="19" spans="1:38" x14ac:dyDescent="0.25">
      <c r="AG19">
        <v>11</v>
      </c>
      <c r="AH19" s="4">
        <f t="shared" si="0"/>
        <v>5.1874849202000035E-2</v>
      </c>
      <c r="AI19" s="1" t="s">
        <v>34</v>
      </c>
      <c r="AJ19" s="9">
        <f>SUM(AJ8:AJ18)</f>
        <v>3.8102625293026819</v>
      </c>
      <c r="AK19">
        <v>11</v>
      </c>
      <c r="AL19" s="4">
        <f t="shared" si="6"/>
        <v>5.6272625792546007</v>
      </c>
    </row>
    <row r="20" spans="1:38" x14ac:dyDescent="0.25">
      <c r="AG20">
        <v>12</v>
      </c>
      <c r="AH20" s="4">
        <f t="shared" si="0"/>
        <v>5.7062334122200041E-2</v>
      </c>
      <c r="AJ20" s="4"/>
      <c r="AK20">
        <v>12</v>
      </c>
      <c r="AL20" s="4">
        <f t="shared" si="6"/>
        <v>6.752715095105521</v>
      </c>
    </row>
    <row r="21" spans="1:38" x14ac:dyDescent="0.25">
      <c r="AG21">
        <v>13</v>
      </c>
      <c r="AH21" s="4">
        <f t="shared" si="0"/>
        <v>6.2768567534420047E-2</v>
      </c>
      <c r="AJ21" s="4"/>
      <c r="AK21" s="1" t="s">
        <v>34</v>
      </c>
      <c r="AL21" s="9">
        <f>SUM(AL8:AL20)</f>
        <v>35.972118955949476</v>
      </c>
    </row>
    <row r="22" spans="1:38" x14ac:dyDescent="0.25">
      <c r="A22" s="17" t="s">
        <v>38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AG22">
        <v>14</v>
      </c>
      <c r="AH22" s="4">
        <f t="shared" si="0"/>
        <v>6.9045424287862062E-2</v>
      </c>
      <c r="AJ22" s="4"/>
    </row>
    <row r="23" spans="1:38" x14ac:dyDescent="0.25">
      <c r="B23" s="15" t="s">
        <v>50</v>
      </c>
      <c r="C23" s="15"/>
      <c r="D23" s="15"/>
      <c r="E23" s="15"/>
      <c r="F23" s="15"/>
      <c r="G23" s="15" t="s">
        <v>51</v>
      </c>
      <c r="H23" s="15"/>
      <c r="I23" s="15"/>
      <c r="J23" s="15"/>
      <c r="K23" s="15"/>
      <c r="L23" s="15"/>
      <c r="M23" s="15"/>
      <c r="N23" s="15"/>
      <c r="O23" s="15"/>
      <c r="P23" s="6"/>
      <c r="Q23" s="6"/>
      <c r="R23" s="20" t="s">
        <v>47</v>
      </c>
      <c r="AG23">
        <v>15</v>
      </c>
      <c r="AH23" s="4">
        <f t="shared" si="0"/>
        <v>7.5949966716648276E-2</v>
      </c>
      <c r="AJ23" s="4"/>
    </row>
    <row r="24" spans="1:38" ht="45" x14ac:dyDescent="0.25">
      <c r="A24" s="12"/>
      <c r="B24" s="12" t="s">
        <v>40</v>
      </c>
      <c r="C24" s="12" t="s">
        <v>41</v>
      </c>
      <c r="D24" s="12"/>
      <c r="E24" s="12"/>
      <c r="F24" s="12" t="s">
        <v>42</v>
      </c>
      <c r="G24" s="12" t="s">
        <v>43</v>
      </c>
      <c r="H24" s="12"/>
      <c r="I24" s="12"/>
      <c r="J24" s="12" t="s">
        <v>44</v>
      </c>
      <c r="K24" s="12" t="s">
        <v>43</v>
      </c>
      <c r="L24" s="12"/>
      <c r="M24" s="12" t="s">
        <v>45</v>
      </c>
      <c r="N24" s="12"/>
      <c r="O24" s="12" t="s">
        <v>46</v>
      </c>
      <c r="P24" s="12"/>
      <c r="Q24" s="12"/>
      <c r="R24" s="20"/>
      <c r="S24" s="12"/>
      <c r="T24" s="12"/>
      <c r="U24" s="12"/>
      <c r="AG24">
        <v>16</v>
      </c>
      <c r="AH24" s="4">
        <f t="shared" si="0"/>
        <v>8.3544963388313104E-2</v>
      </c>
      <c r="AJ24" s="4"/>
    </row>
    <row r="25" spans="1:38" x14ac:dyDescent="0.25">
      <c r="A25" t="s">
        <v>48</v>
      </c>
      <c r="B25">
        <v>17</v>
      </c>
      <c r="C25">
        <v>12</v>
      </c>
      <c r="F25">
        <v>2</v>
      </c>
      <c r="G25">
        <v>30</v>
      </c>
      <c r="J25">
        <v>24</v>
      </c>
      <c r="K25">
        <v>30</v>
      </c>
      <c r="M25">
        <v>15</v>
      </c>
      <c r="O25">
        <v>1</v>
      </c>
      <c r="R25" s="13">
        <v>0.02</v>
      </c>
      <c r="AG25">
        <v>17</v>
      </c>
      <c r="AH25" s="4">
        <f t="shared" si="0"/>
        <v>9.1899459727144417E-2</v>
      </c>
      <c r="AJ25" s="4"/>
    </row>
    <row r="26" spans="1:38" x14ac:dyDescent="0.25">
      <c r="A26" t="s">
        <v>39</v>
      </c>
      <c r="B26">
        <v>12</v>
      </c>
      <c r="C26">
        <v>10</v>
      </c>
      <c r="F26">
        <v>1</v>
      </c>
      <c r="G26">
        <v>18</v>
      </c>
      <c r="J26">
        <v>11</v>
      </c>
      <c r="K26">
        <v>18</v>
      </c>
      <c r="M26">
        <v>9</v>
      </c>
      <c r="O26">
        <v>0.5</v>
      </c>
      <c r="R26" s="13">
        <v>0.05</v>
      </c>
      <c r="AG26">
        <v>18</v>
      </c>
      <c r="AH26" s="4">
        <f t="shared" si="0"/>
        <v>0.10108940569985887</v>
      </c>
    </row>
    <row r="27" spans="1:38" x14ac:dyDescent="0.25">
      <c r="A27" t="s">
        <v>49</v>
      </c>
      <c r="B27">
        <v>10</v>
      </c>
      <c r="C27">
        <v>7</v>
      </c>
      <c r="F27">
        <v>0</v>
      </c>
      <c r="G27">
        <v>12</v>
      </c>
      <c r="J27">
        <v>5</v>
      </c>
      <c r="K27">
        <v>12</v>
      </c>
      <c r="M27">
        <v>7</v>
      </c>
      <c r="O27">
        <v>0</v>
      </c>
      <c r="R27" s="13">
        <v>0.09</v>
      </c>
      <c r="AG27">
        <v>19</v>
      </c>
      <c r="AH27" s="4">
        <f t="shared" si="0"/>
        <v>0.11119834626984477</v>
      </c>
    </row>
    <row r="28" spans="1:38" x14ac:dyDescent="0.25">
      <c r="AE28" s="4"/>
      <c r="AG28">
        <v>20</v>
      </c>
      <c r="AH28" s="4">
        <f t="shared" si="0"/>
        <v>0.12231818089682926</v>
      </c>
    </row>
    <row r="29" spans="1:38" x14ac:dyDescent="0.25">
      <c r="A29" s="17" t="s">
        <v>52</v>
      </c>
      <c r="B29" s="17"/>
      <c r="C29" s="17"/>
      <c r="D29" s="17"/>
      <c r="E29" s="17"/>
      <c r="F29" s="17"/>
      <c r="G29" s="17"/>
      <c r="H29" s="17"/>
      <c r="I29" s="17"/>
      <c r="J29" s="17"/>
      <c r="K29" s="8"/>
      <c r="L29" s="8"/>
      <c r="M29" s="11"/>
      <c r="N29" s="11"/>
      <c r="O29" s="11"/>
      <c r="P29" s="11"/>
      <c r="Q29" s="11"/>
      <c r="R29" s="11"/>
      <c r="AG29" s="1" t="s">
        <v>34</v>
      </c>
      <c r="AH29" s="4">
        <f>SUM(AH8:AH28)</f>
        <v>1.145499989865121</v>
      </c>
    </row>
    <row r="30" spans="1:38" x14ac:dyDescent="0.25">
      <c r="B30" s="15" t="s">
        <v>106</v>
      </c>
      <c r="C30" s="15"/>
      <c r="D30" s="15"/>
      <c r="E30" s="15"/>
      <c r="F30" s="15"/>
      <c r="G30" s="15"/>
      <c r="H30" s="15"/>
      <c r="I30" s="15"/>
      <c r="J30" s="15"/>
      <c r="K30" s="6"/>
      <c r="L30" s="6"/>
      <c r="M30" s="15" t="s">
        <v>102</v>
      </c>
      <c r="N30" s="15"/>
      <c r="O30" s="15"/>
      <c r="P30" s="15"/>
      <c r="Q30" s="15"/>
      <c r="R30" s="15"/>
      <c r="S30" s="15"/>
      <c r="T30" s="15"/>
      <c r="U30" s="15"/>
      <c r="V30" s="15"/>
      <c r="W30" s="15" t="s">
        <v>104</v>
      </c>
      <c r="X30" s="15"/>
      <c r="Y30" s="15"/>
      <c r="Z30" s="15"/>
      <c r="AA30" s="15"/>
      <c r="AB30" s="15"/>
      <c r="AC30" s="15"/>
      <c r="AH30" s="4"/>
    </row>
    <row r="31" spans="1:38" ht="30" x14ac:dyDescent="0.25">
      <c r="A31" s="12"/>
      <c r="B31" s="12" t="s">
        <v>53</v>
      </c>
      <c r="C31" s="12" t="s">
        <v>9</v>
      </c>
      <c r="D31" s="12"/>
      <c r="E31" s="12"/>
      <c r="F31" s="12" t="s">
        <v>11</v>
      </c>
      <c r="G31" s="12" t="s">
        <v>54</v>
      </c>
      <c r="H31" s="12"/>
      <c r="I31" s="12"/>
      <c r="J31" s="12" t="s">
        <v>55</v>
      </c>
      <c r="K31" s="12" t="s">
        <v>54</v>
      </c>
      <c r="L31" s="12"/>
      <c r="M31" s="12" t="s">
        <v>53</v>
      </c>
      <c r="N31" s="12"/>
      <c r="O31" s="12" t="s">
        <v>9</v>
      </c>
      <c r="P31" s="12"/>
      <c r="Q31" s="12"/>
      <c r="R31" s="12" t="s">
        <v>11</v>
      </c>
      <c r="S31" s="12" t="s">
        <v>54</v>
      </c>
      <c r="T31" s="12"/>
      <c r="U31" s="12"/>
      <c r="V31" s="12" t="s">
        <v>55</v>
      </c>
      <c r="W31" s="12" t="s">
        <v>53</v>
      </c>
      <c r="X31" s="12" t="s">
        <v>9</v>
      </c>
      <c r="Y31" s="12"/>
      <c r="Z31" s="12"/>
      <c r="AA31" s="12" t="s">
        <v>11</v>
      </c>
      <c r="AB31" s="12" t="s">
        <v>54</v>
      </c>
      <c r="AC31" s="12" t="s">
        <v>55</v>
      </c>
      <c r="AH31" s="4"/>
    </row>
    <row r="32" spans="1:38" x14ac:dyDescent="0.25">
      <c r="A32" t="s">
        <v>39</v>
      </c>
      <c r="AH32" s="4"/>
    </row>
    <row r="33" spans="1:34" x14ac:dyDescent="0.25">
      <c r="A33" t="s">
        <v>101</v>
      </c>
      <c r="AH33" s="4"/>
    </row>
    <row r="34" spans="1:34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6"/>
      <c r="L34" s="6"/>
      <c r="M34" s="15" t="s">
        <v>103</v>
      </c>
      <c r="N34" s="15"/>
      <c r="O34" s="15"/>
      <c r="P34" s="15"/>
      <c r="Q34" s="15"/>
      <c r="R34" s="15"/>
      <c r="S34" s="15"/>
      <c r="T34" s="15"/>
      <c r="U34" s="15"/>
      <c r="V34" s="15"/>
      <c r="W34" s="15" t="s">
        <v>105</v>
      </c>
      <c r="X34" s="15"/>
      <c r="Y34" s="15"/>
      <c r="Z34" s="15"/>
      <c r="AA34" s="15"/>
      <c r="AB34" s="15"/>
      <c r="AC34" s="15"/>
      <c r="AH34" s="4"/>
    </row>
    <row r="35" spans="1:34" ht="30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 t="s">
        <v>53</v>
      </c>
      <c r="N35" s="12"/>
      <c r="O35" s="12" t="s">
        <v>9</v>
      </c>
      <c r="P35" s="12"/>
      <c r="Q35" s="12"/>
      <c r="R35" s="12" t="s">
        <v>11</v>
      </c>
      <c r="S35" s="12" t="s">
        <v>54</v>
      </c>
      <c r="T35" s="12"/>
      <c r="U35" s="12"/>
      <c r="V35" s="12" t="s">
        <v>55</v>
      </c>
      <c r="W35" s="12" t="s">
        <v>53</v>
      </c>
      <c r="X35" s="12" t="s">
        <v>9</v>
      </c>
      <c r="Y35" s="12"/>
      <c r="Z35" s="12"/>
      <c r="AA35" s="12" t="s">
        <v>11</v>
      </c>
      <c r="AB35" s="12" t="s">
        <v>54</v>
      </c>
      <c r="AC35" s="12" t="s">
        <v>55</v>
      </c>
      <c r="AH35" s="4"/>
    </row>
    <row r="36" spans="1:34" x14ac:dyDescent="0.25">
      <c r="W36" s="12"/>
      <c r="X36" s="12"/>
      <c r="Y36" s="12"/>
      <c r="Z36" s="12"/>
      <c r="AA36" s="12"/>
      <c r="AB36" s="12"/>
      <c r="AC36" s="12"/>
      <c r="AH36" s="4"/>
    </row>
    <row r="37" spans="1:34" x14ac:dyDescent="0.25">
      <c r="AH37" s="4"/>
    </row>
    <row r="38" spans="1:34" x14ac:dyDescent="0.25">
      <c r="A38" t="s">
        <v>99</v>
      </c>
      <c r="C38" t="s">
        <v>100</v>
      </c>
      <c r="J38" t="s">
        <v>107</v>
      </c>
      <c r="O38" t="s">
        <v>108</v>
      </c>
      <c r="V38" t="s">
        <v>109</v>
      </c>
      <c r="X38" t="s">
        <v>110</v>
      </c>
      <c r="AH38" s="4"/>
    </row>
    <row r="39" spans="1:34" x14ac:dyDescent="0.25">
      <c r="A39">
        <v>6.6275100401606404E-2</v>
      </c>
      <c r="B39">
        <v>6.5601070950468604E-2</v>
      </c>
      <c r="C39">
        <v>1.7479465757641099E-2</v>
      </c>
      <c r="F39">
        <v>2.9318262727550198E-2</v>
      </c>
      <c r="J39">
        <v>0.245912477719644</v>
      </c>
      <c r="M39">
        <v>0.210738247106071</v>
      </c>
      <c r="O39">
        <v>0.10146163700543399</v>
      </c>
      <c r="R39">
        <v>9.8051473051200502E-2</v>
      </c>
      <c r="V39">
        <v>0.756113685511276</v>
      </c>
      <c r="W39">
        <v>1.2888487282463199</v>
      </c>
      <c r="X39">
        <v>0.43915221779712699</v>
      </c>
      <c r="AA39">
        <v>0.42217930928409297</v>
      </c>
      <c r="AH39" s="4"/>
    </row>
    <row r="40" spans="1:34" x14ac:dyDescent="0.25">
      <c r="A40">
        <v>0.94434301780298802</v>
      </c>
      <c r="B40">
        <v>0.77262876612545195</v>
      </c>
      <c r="C40">
        <v>0.64630933975480698</v>
      </c>
      <c r="F40">
        <v>0.55240310448822305</v>
      </c>
      <c r="J40">
        <v>1.4986961960135099</v>
      </c>
      <c r="M40">
        <v>1.64778664201392</v>
      </c>
      <c r="O40">
        <v>0.53727487957818199</v>
      </c>
      <c r="R40">
        <v>0.45087764595575702</v>
      </c>
      <c r="V40">
        <v>2.3260741070220101</v>
      </c>
      <c r="W40" s="7">
        <v>2.35744435985958</v>
      </c>
      <c r="X40" s="7">
        <v>0.32893464531663102</v>
      </c>
      <c r="Y40" s="7"/>
      <c r="Z40" s="7"/>
      <c r="AA40" s="7">
        <v>0.221143509422916</v>
      </c>
      <c r="AB40" s="7"/>
      <c r="AC40" s="7"/>
    </row>
    <row r="41" spans="1:34" x14ac:dyDescent="0.25">
      <c r="A41">
        <v>0.68176923076923102</v>
      </c>
      <c r="B41">
        <v>0.46949999999999997</v>
      </c>
      <c r="C41">
        <v>0.53295061588702497</v>
      </c>
      <c r="F41">
        <v>0.10142395270259499</v>
      </c>
      <c r="J41">
        <v>0.63759999999999994</v>
      </c>
      <c r="M41">
        <v>0.57338095238095199</v>
      </c>
      <c r="O41">
        <v>0.23076945824164599</v>
      </c>
      <c r="R41">
        <v>7.5618434386382397E-2</v>
      </c>
      <c r="V41">
        <v>1.03981818181818</v>
      </c>
      <c r="W41" s="12">
        <v>1.6171111111111101</v>
      </c>
      <c r="X41" s="12">
        <v>0.457868063568932</v>
      </c>
      <c r="Y41" s="12"/>
      <c r="Z41" s="12"/>
      <c r="AA41" s="12">
        <v>0.47843454213832798</v>
      </c>
      <c r="AB41" s="12"/>
      <c r="AC41" s="12"/>
      <c r="AH41" s="4"/>
    </row>
    <row r="42" spans="1:34" x14ac:dyDescent="0.25">
      <c r="A42">
        <v>0.93100401606425698</v>
      </c>
      <c r="B42">
        <v>0.89065327978580999</v>
      </c>
      <c r="C42">
        <v>7.6807645165019894E-2</v>
      </c>
      <c r="F42">
        <v>7.7527448285279799E-2</v>
      </c>
      <c r="J42">
        <v>0.83140730785025896</v>
      </c>
      <c r="M42">
        <v>0.87118710134656296</v>
      </c>
      <c r="O42">
        <v>6.5327046790284199E-2</v>
      </c>
      <c r="R42">
        <v>7.1462011704913703E-2</v>
      </c>
      <c r="V42">
        <v>0.68658325610132798</v>
      </c>
      <c r="W42">
        <v>0.47107095046854103</v>
      </c>
      <c r="X42">
        <v>0.153917271130108</v>
      </c>
      <c r="AA42">
        <v>0.13813629421722601</v>
      </c>
      <c r="AH42" s="4"/>
    </row>
    <row r="43" spans="1:34" x14ac:dyDescent="0.25">
      <c r="A43">
        <v>-2.9517196112947799</v>
      </c>
      <c r="B43">
        <v>-2.9466862777576499</v>
      </c>
      <c r="C43">
        <v>0.459302369189036</v>
      </c>
      <c r="F43">
        <v>0.36862013770581997</v>
      </c>
      <c r="J43">
        <v>-4.99277450470335</v>
      </c>
      <c r="M43">
        <v>-4.6371337852436101</v>
      </c>
      <c r="O43">
        <v>0.87654244537326298</v>
      </c>
      <c r="R43">
        <v>0.63657867608778895</v>
      </c>
      <c r="V43">
        <v>-5.9080623473043303</v>
      </c>
      <c r="W43">
        <v>-6.8486722641157298</v>
      </c>
      <c r="X43">
        <v>1.3406482090555201</v>
      </c>
      <c r="AA43">
        <v>0.84058531018900196</v>
      </c>
      <c r="AH43" s="4"/>
    </row>
    <row r="44" spans="1:34" x14ac:dyDescent="0.25">
      <c r="AH44" s="4"/>
    </row>
    <row r="45" spans="1:34" x14ac:dyDescent="0.25">
      <c r="AH45" s="4"/>
    </row>
    <row r="46" spans="1:34" x14ac:dyDescent="0.25">
      <c r="AH46" s="4"/>
    </row>
    <row r="47" spans="1:34" ht="30" customHeight="1" x14ac:dyDescent="0.25">
      <c r="F47" s="16" t="s">
        <v>98</v>
      </c>
      <c r="AA47">
        <f>4^3*3</f>
        <v>192</v>
      </c>
      <c r="AH47" s="4"/>
    </row>
    <row r="48" spans="1:34" x14ac:dyDescent="0.25">
      <c r="F48" s="16"/>
      <c r="AA48">
        <f>3^4</f>
        <v>81</v>
      </c>
      <c r="AH48" s="4"/>
    </row>
    <row r="49" spans="1:34" x14ac:dyDescent="0.25">
      <c r="F49" s="16"/>
      <c r="AH49" s="4"/>
    </row>
    <row r="50" spans="1:34" x14ac:dyDescent="0.25">
      <c r="A50" s="1" t="s">
        <v>56</v>
      </c>
      <c r="B50" s="14" t="s">
        <v>57</v>
      </c>
      <c r="C50" s="14" t="s">
        <v>58</v>
      </c>
      <c r="D50" s="14"/>
      <c r="E50" s="14"/>
      <c r="F50" s="14" t="s">
        <v>59</v>
      </c>
      <c r="G50" s="14" t="s">
        <v>60</v>
      </c>
      <c r="H50" s="14"/>
      <c r="I50" s="14"/>
      <c r="J50" s="14" t="s">
        <v>61</v>
      </c>
      <c r="K50" s="14" t="s">
        <v>60</v>
      </c>
      <c r="L50" s="14"/>
      <c r="M50" s="14" t="s">
        <v>62</v>
      </c>
      <c r="N50" s="14"/>
      <c r="O50" s="14" t="s">
        <v>63</v>
      </c>
      <c r="P50" s="14"/>
      <c r="Q50" s="14"/>
      <c r="AH50" s="4"/>
    </row>
    <row r="51" spans="1:34" x14ac:dyDescent="0.25">
      <c r="A51" s="2" t="s">
        <v>64</v>
      </c>
      <c r="B51" t="s">
        <v>72</v>
      </c>
      <c r="C51" t="s">
        <v>72</v>
      </c>
      <c r="F51" t="s">
        <v>72</v>
      </c>
      <c r="G51" t="s">
        <v>72</v>
      </c>
      <c r="J51" t="s">
        <v>72</v>
      </c>
      <c r="K51" t="s">
        <v>72</v>
      </c>
      <c r="M51" t="s">
        <v>72</v>
      </c>
      <c r="O51" t="s">
        <v>72</v>
      </c>
      <c r="R51" t="s">
        <v>82</v>
      </c>
      <c r="S51" t="s">
        <v>83</v>
      </c>
      <c r="V51" t="s">
        <v>84</v>
      </c>
      <c r="W51" t="s">
        <v>85</v>
      </c>
      <c r="AG51" s="1"/>
      <c r="AH51" s="9"/>
    </row>
    <row r="52" spans="1:34" x14ac:dyDescent="0.25">
      <c r="A52" s="2" t="s">
        <v>65</v>
      </c>
      <c r="B52" t="s">
        <v>40</v>
      </c>
      <c r="C52" t="s">
        <v>42</v>
      </c>
      <c r="F52" t="s">
        <v>77</v>
      </c>
      <c r="G52" t="s">
        <v>40</v>
      </c>
      <c r="J52" t="s">
        <v>42</v>
      </c>
      <c r="K52" t="s">
        <v>40</v>
      </c>
      <c r="M52" t="s">
        <v>42</v>
      </c>
      <c r="O52" t="s">
        <v>42</v>
      </c>
      <c r="R52" t="s">
        <v>86</v>
      </c>
    </row>
    <row r="53" spans="1:34" x14ac:dyDescent="0.25">
      <c r="A53" s="2" t="s">
        <v>66</v>
      </c>
      <c r="B53" t="s">
        <v>70</v>
      </c>
      <c r="C53" t="s">
        <v>71</v>
      </c>
      <c r="F53" t="s">
        <v>71</v>
      </c>
      <c r="G53" t="s">
        <v>70</v>
      </c>
      <c r="J53" t="s">
        <v>71</v>
      </c>
      <c r="K53" t="s">
        <v>70</v>
      </c>
      <c r="M53" t="s">
        <v>71</v>
      </c>
      <c r="O53" t="s">
        <v>71</v>
      </c>
      <c r="R53" t="s">
        <v>82</v>
      </c>
      <c r="S53" t="s">
        <v>83</v>
      </c>
      <c r="V53" t="s">
        <v>84</v>
      </c>
      <c r="W53" t="s">
        <v>85</v>
      </c>
    </row>
    <row r="54" spans="1:34" x14ac:dyDescent="0.25">
      <c r="A54" s="2" t="s">
        <v>67</v>
      </c>
      <c r="B54" t="s">
        <v>78</v>
      </c>
      <c r="C54" t="s">
        <v>79</v>
      </c>
      <c r="F54" t="s">
        <v>77</v>
      </c>
      <c r="G54" t="s">
        <v>78</v>
      </c>
      <c r="J54" t="s">
        <v>79</v>
      </c>
      <c r="K54" t="s">
        <v>78</v>
      </c>
      <c r="M54" t="s">
        <v>80</v>
      </c>
      <c r="O54" t="s">
        <v>80</v>
      </c>
      <c r="R54" t="s">
        <v>86</v>
      </c>
    </row>
    <row r="55" spans="1:34" x14ac:dyDescent="0.25">
      <c r="A55" s="2" t="s">
        <v>68</v>
      </c>
      <c r="B55" t="s">
        <v>73</v>
      </c>
      <c r="C55" t="s">
        <v>74</v>
      </c>
      <c r="F55" t="s">
        <v>75</v>
      </c>
      <c r="G55" t="s">
        <v>74</v>
      </c>
      <c r="J55" t="s">
        <v>75</v>
      </c>
      <c r="K55" t="s">
        <v>74</v>
      </c>
      <c r="M55" t="s">
        <v>76</v>
      </c>
      <c r="O55" t="s">
        <v>76</v>
      </c>
      <c r="R55" t="s">
        <v>82</v>
      </c>
      <c r="S55" t="s">
        <v>83</v>
      </c>
      <c r="V55" t="s">
        <v>84</v>
      </c>
      <c r="W55" t="s">
        <v>85</v>
      </c>
    </row>
    <row r="56" spans="1:34" x14ac:dyDescent="0.25">
      <c r="A56" s="2" t="s">
        <v>69</v>
      </c>
      <c r="B56" t="s">
        <v>81</v>
      </c>
      <c r="C56" t="s">
        <v>81</v>
      </c>
      <c r="F56" t="s">
        <v>81</v>
      </c>
      <c r="G56" t="s">
        <v>81</v>
      </c>
      <c r="J56" t="s">
        <v>81</v>
      </c>
      <c r="K56" t="s">
        <v>81</v>
      </c>
      <c r="M56" t="s">
        <v>81</v>
      </c>
      <c r="O56" t="s">
        <v>81</v>
      </c>
    </row>
    <row r="59" spans="1:34" x14ac:dyDescent="0.25">
      <c r="R59">
        <f>3^10</f>
        <v>59049</v>
      </c>
    </row>
    <row r="60" spans="1:34" x14ac:dyDescent="0.25">
      <c r="A60" t="s">
        <v>89</v>
      </c>
      <c r="G60" s="1" t="s">
        <v>92</v>
      </c>
      <c r="H60" s="1"/>
      <c r="I60" s="1"/>
      <c r="K60" s="1" t="s">
        <v>92</v>
      </c>
      <c r="L60" s="1"/>
    </row>
    <row r="61" spans="1:34" x14ac:dyDescent="0.25">
      <c r="A61" t="s">
        <v>87</v>
      </c>
      <c r="G61" t="s">
        <v>93</v>
      </c>
      <c r="K61" t="s">
        <v>93</v>
      </c>
    </row>
    <row r="62" spans="1:34" x14ac:dyDescent="0.25">
      <c r="A62" t="s">
        <v>88</v>
      </c>
      <c r="G62" t="s">
        <v>94</v>
      </c>
      <c r="K62" t="s">
        <v>94</v>
      </c>
    </row>
    <row r="63" spans="1:34" x14ac:dyDescent="0.25">
      <c r="G63" t="s">
        <v>95</v>
      </c>
      <c r="K63" t="s">
        <v>95</v>
      </c>
    </row>
    <row r="64" spans="1:34" x14ac:dyDescent="0.25">
      <c r="A64" t="s">
        <v>90</v>
      </c>
      <c r="G64" t="s">
        <v>96</v>
      </c>
      <c r="K64" t="s">
        <v>96</v>
      </c>
    </row>
    <row r="65" spans="1:11" x14ac:dyDescent="0.25">
      <c r="A65" t="s">
        <v>91</v>
      </c>
      <c r="G65" t="s">
        <v>97</v>
      </c>
      <c r="K65" t="s">
        <v>97</v>
      </c>
    </row>
  </sheetData>
  <mergeCells count="41">
    <mergeCell ref="A15:A18"/>
    <mergeCell ref="K8:L8"/>
    <mergeCell ref="K10:L10"/>
    <mergeCell ref="M10:N10"/>
    <mergeCell ref="I10:J10"/>
    <mergeCell ref="G10:H10"/>
    <mergeCell ref="E10:F10"/>
    <mergeCell ref="C10:D10"/>
    <mergeCell ref="S10:T10"/>
    <mergeCell ref="U10:V10"/>
    <mergeCell ref="Y6:AD6"/>
    <mergeCell ref="Y8:Z8"/>
    <mergeCell ref="O10:P10"/>
    <mergeCell ref="Q10:R10"/>
    <mergeCell ref="Y7:Z7"/>
    <mergeCell ref="S7:X7"/>
    <mergeCell ref="G8:H8"/>
    <mergeCell ref="I8:J8"/>
    <mergeCell ref="M8:N8"/>
    <mergeCell ref="U8:V8"/>
    <mergeCell ref="S8:T8"/>
    <mergeCell ref="A29:J29"/>
    <mergeCell ref="B30:J30"/>
    <mergeCell ref="M30:V30"/>
    <mergeCell ref="AG6:AL6"/>
    <mergeCell ref="A11:A14"/>
    <mergeCell ref="B23:F23"/>
    <mergeCell ref="G23:O23"/>
    <mergeCell ref="R23:R24"/>
    <mergeCell ref="A22:R22"/>
    <mergeCell ref="C6:X6"/>
    <mergeCell ref="AA7:AD7"/>
    <mergeCell ref="C8:F8"/>
    <mergeCell ref="O8:R8"/>
    <mergeCell ref="C7:R7"/>
    <mergeCell ref="W8:X8"/>
    <mergeCell ref="W30:AC30"/>
    <mergeCell ref="F47:F49"/>
    <mergeCell ref="M34:V34"/>
    <mergeCell ref="W34:AC34"/>
    <mergeCell ref="B34:J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2018-10-04T18:28:04Z</dcterms:modified>
</cp:coreProperties>
</file>