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isiones" sheetId="1" r:id="rId3"/>
    <sheet state="visible" name="LCo" sheetId="2" r:id="rId4"/>
    <sheet state="visible" name="Datos" sheetId="3" r:id="rId5"/>
  </sheets>
  <definedNames/>
  <calcPr/>
</workbook>
</file>

<file path=xl/sharedStrings.xml><?xml version="1.0" encoding="utf-8"?>
<sst xmlns="http://schemas.openxmlformats.org/spreadsheetml/2006/main" count="245" uniqueCount="60">
  <si>
    <t>Nombre:</t>
  </si>
  <si>
    <t>Núm. Vend:</t>
  </si>
  <si>
    <t>Folio:</t>
  </si>
  <si>
    <t>FESJC</t>
  </si>
  <si>
    <t>Almacen:</t>
  </si>
  <si>
    <t>Reporte de Ventas y Utilidades</t>
  </si>
  <si>
    <t>| Ene 2023 |</t>
  </si>
  <si>
    <t>| Feb 2023 |</t>
  </si>
  <si>
    <t>| Mar 2023 |</t>
  </si>
  <si>
    <t>| Abr 2023 |</t>
  </si>
  <si>
    <t>| May 2023 |</t>
  </si>
  <si>
    <t>| Jun 2023 |</t>
  </si>
  <si>
    <t>| Jul 2023 |</t>
  </si>
  <si>
    <t>| Ago 2023 |</t>
  </si>
  <si>
    <t>| Sep 2023 |</t>
  </si>
  <si>
    <t>| Oct 2023 |</t>
  </si>
  <si>
    <t>| Nov 2023 |</t>
  </si>
  <si>
    <t>| Dic 2023 |</t>
  </si>
  <si>
    <t>Monto Utilidad</t>
  </si>
  <si>
    <t>Archivo</t>
  </si>
  <si>
    <t>*Favor de escribir el monto de utilidad sin IVA</t>
  </si>
  <si>
    <t>Reporte de Ventas</t>
  </si>
  <si>
    <t>Vendedora</t>
  </si>
  <si>
    <t>Utilidades Reales</t>
  </si>
  <si>
    <t>% de comisión</t>
  </si>
  <si>
    <t>$ de comisión</t>
  </si>
  <si>
    <t>Bono de Ventas</t>
  </si>
  <si>
    <t>Monto vendido</t>
  </si>
  <si>
    <t>Reportes de Cobranza</t>
  </si>
  <si>
    <t>Cobrado en:</t>
  </si>
  <si>
    <t>Vendido en:</t>
  </si>
  <si>
    <t>| Nov 2022 |</t>
  </si>
  <si>
    <t>| Dic 2022 |</t>
  </si>
  <si>
    <t>Total:</t>
  </si>
  <si>
    <t>% de cobranza 1</t>
  </si>
  <si>
    <t>Comisión 1</t>
  </si>
  <si>
    <t>% de cobranza 2</t>
  </si>
  <si>
    <t>Comisión 2</t>
  </si>
  <si>
    <t>% de cobranza 3</t>
  </si>
  <si>
    <t>Comisión 3</t>
  </si>
  <si>
    <t>Total Comisión</t>
  </si>
  <si>
    <t>Bono + Comisión</t>
  </si>
  <si>
    <t>Recibido 1:</t>
  </si>
  <si>
    <t>Efectivo</t>
  </si>
  <si>
    <t>Transferencia</t>
  </si>
  <si>
    <t>Comentario 1</t>
  </si>
  <si>
    <t>Abono CRE SAE $500.00</t>
  </si>
  <si>
    <t>Abono CRE SAE $2,000.00</t>
  </si>
  <si>
    <t>Abono CRE SAE $1,000.00 + $100.00</t>
  </si>
  <si>
    <t>Abono CRE SAE $2,500.00</t>
  </si>
  <si>
    <t>Abono CRE SAE $1,847.97</t>
  </si>
  <si>
    <t>Abono CRE SAE $10,000.00</t>
  </si>
  <si>
    <t>Abono Cre SAE $4,895.92</t>
  </si>
  <si>
    <t>Abono CRE SAE $26,000.00 de comsiones adelantadas</t>
  </si>
  <si>
    <t>Abono Cre SAE $4,962.74</t>
  </si>
  <si>
    <t>Recibido 2:</t>
  </si>
  <si>
    <t>Comentario 2</t>
  </si>
  <si>
    <t>Ya no se alcanzo a descontar en ocutubre. Descontar facturas del cliente 16127, $241.78. Gretel Gómez</t>
  </si>
  <si>
    <t>Recibido 3:</t>
  </si>
  <si>
    <t>Comentario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</si>
</sst>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mm yyyy"/>
    <numFmt numFmtId="166" formatCode="m-yyyy"/>
  </numFmts>
  <fonts count="22">
    <font>
      <sz val="10.0"/>
      <color rgb="FF000000"/>
      <name val="Arial"/>
    </font>
    <font>
      <b/>
      <color rgb="FFFFFFFF"/>
      <name val="Arial"/>
    </font>
    <font>
      <b/>
      <name val="Arial"/>
    </font>
    <font/>
    <font>
      <name val="Arial"/>
    </font>
    <font>
      <b/>
    </font>
    <font>
      <b/>
      <sz val="10.0"/>
    </font>
    <font>
      <sz val="9.0"/>
      <color rgb="FF1F1F1F"/>
      <name val="&quot;Google Sans&quot;"/>
    </font>
    <font>
      <sz val="11.0"/>
      <name val="Arial"/>
    </font>
    <font>
      <sz val="7.0"/>
    </font>
    <font>
      <u/>
      <sz val="9.0"/>
      <color rgb="FF0000FF"/>
      <name val="Arial"/>
    </font>
    <font>
      <sz val="9.0"/>
      <name val="Arial"/>
    </font>
    <font>
      <b/>
      <sz val="6.0"/>
      <name val="Arial"/>
    </font>
    <font>
      <sz val="8.0"/>
      <name val="Arial"/>
    </font>
    <font>
      <b/>
      <sz val="8.0"/>
      <name val="Arial"/>
    </font>
    <font>
      <b/>
      <sz val="12.0"/>
    </font>
    <font>
      <u/>
      <sz val="8.0"/>
      <color rgb="FF0000FF"/>
    </font>
    <font>
      <u/>
      <sz val="9.0"/>
      <color rgb="FF0000FF"/>
      <name val="Arial"/>
    </font>
    <font>
      <b/>
      <sz val="9.0"/>
    </font>
    <font>
      <sz val="8.0"/>
    </font>
    <font>
      <sz val="9.0"/>
      <color rgb="FF000000"/>
      <name val="Arial"/>
    </font>
    <font>
      <b/>
      <sz val="9.0"/>
      <color rgb="FF000000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DDEBF7"/>
        <bgColor rgb="FFDDEBF7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3" fontId="2" numFmtId="0" xfId="0" applyAlignment="1" applyBorder="1" applyFill="1" applyFont="1">
      <alignment vertical="bottom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vertical="bottom"/>
    </xf>
    <xf borderId="3" fillId="2" fontId="1" numFmtId="0" xfId="0" applyAlignment="1" applyBorder="1" applyFont="1">
      <alignment horizontal="center" vertical="bottom"/>
    </xf>
    <xf borderId="3" fillId="3" fontId="2" numFmtId="0" xfId="0" applyAlignment="1" applyBorder="1" applyFont="1">
      <alignment horizontal="center" vertical="bottom"/>
    </xf>
    <xf borderId="4" fillId="0" fontId="4" numFmtId="0" xfId="0" applyAlignment="1" applyBorder="1" applyFont="1">
      <alignment vertical="bottom"/>
    </xf>
    <xf borderId="3" fillId="2" fontId="1" numFmtId="0" xfId="0" applyAlignment="1" applyBorder="1" applyFont="1">
      <alignment horizontal="center" vertical="bottom"/>
    </xf>
    <xf borderId="3" fillId="3" fontId="2" numFmtId="0" xfId="0" applyAlignment="1" applyBorder="1" applyFont="1">
      <alignment horizontal="center" readingOrder="0" vertical="bottom"/>
    </xf>
    <xf borderId="5" fillId="0" fontId="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0" fillId="0" fontId="5" numFmtId="0" xfId="0" applyAlignment="1" applyFont="1">
      <alignment horizontal="center" readingOrder="0"/>
    </xf>
    <xf borderId="6" fillId="4" fontId="6" numFmtId="0" xfId="0" applyAlignment="1" applyBorder="1" applyFill="1" applyFont="1">
      <alignment horizontal="center" readingOrder="0"/>
    </xf>
    <xf borderId="0" fillId="0" fontId="6" numFmtId="0" xfId="0" applyFont="1"/>
    <xf borderId="1" fillId="5" fontId="2" numFmtId="0" xfId="0" applyAlignment="1" applyBorder="1" applyFill="1" applyFont="1">
      <alignment horizontal="center" readingOrder="0" vertical="bottom"/>
    </xf>
    <xf borderId="1" fillId="5" fontId="5" numFmtId="0" xfId="0" applyAlignment="1" applyBorder="1" applyFont="1">
      <alignment horizontal="center" readingOrder="0"/>
    </xf>
    <xf borderId="1" fillId="4" fontId="6" numFmtId="0" xfId="0" applyAlignment="1" applyBorder="1" applyFont="1">
      <alignment readingOrder="0" vertical="center"/>
    </xf>
    <xf borderId="1" fillId="0" fontId="4" numFmtId="164" xfId="0" applyAlignment="1" applyBorder="1" applyFont="1" applyNumberFormat="1">
      <alignment horizontal="center" readingOrder="0" vertical="center"/>
    </xf>
    <xf borderId="0" fillId="6" fontId="7" numFmtId="164" xfId="0" applyAlignment="1" applyFill="1" applyFont="1" applyNumberFormat="1">
      <alignment readingOrder="0"/>
    </xf>
    <xf borderId="1" fillId="0" fontId="8" numFmtId="164" xfId="0" applyAlignment="1" applyBorder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vertical="center"/>
    </xf>
    <xf borderId="0" fillId="0" fontId="9" numFmtId="0" xfId="0" applyAlignment="1" applyFont="1">
      <alignment readingOrder="0" vertical="top"/>
    </xf>
    <xf borderId="1" fillId="0" fontId="10" numFmtId="0" xfId="0" applyAlignment="1" applyBorder="1" applyFont="1">
      <alignment horizontal="center" readingOrder="0" vertical="bottom"/>
    </xf>
    <xf borderId="1" fillId="0" fontId="11" numFmtId="0" xfId="0" applyAlignment="1" applyBorder="1" applyFont="1">
      <alignment horizontal="center" readingOrder="0" vertical="bottom"/>
    </xf>
    <xf borderId="0" fillId="0" fontId="3" numFmtId="164" xfId="0" applyAlignment="1" applyFont="1" applyNumberFormat="1">
      <alignment readingOrder="0"/>
    </xf>
    <xf borderId="6" fillId="7" fontId="2" numFmtId="0" xfId="0" applyAlignment="1" applyBorder="1" applyFill="1" applyFont="1">
      <alignment horizontal="center" vertical="bottom"/>
    </xf>
    <xf borderId="0" fillId="0" fontId="4" numFmtId="0" xfId="0" applyAlignment="1" applyFont="1">
      <alignment vertical="bottom"/>
    </xf>
    <xf borderId="7" fillId="0" fontId="4" numFmtId="0" xfId="0" applyAlignment="1" applyBorder="1" applyFont="1">
      <alignment vertical="bottom"/>
    </xf>
    <xf borderId="3" fillId="8" fontId="2" numFmtId="0" xfId="0" applyAlignment="1" applyBorder="1" applyFill="1" applyFont="1">
      <alignment horizontal="center" vertical="bottom"/>
    </xf>
    <xf borderId="3" fillId="8" fontId="2" numFmtId="164" xfId="0" applyAlignment="1" applyBorder="1" applyFont="1" applyNumberFormat="1">
      <alignment horizontal="center" vertical="bottom"/>
    </xf>
    <xf borderId="3" fillId="8" fontId="2" numFmtId="0" xfId="0" applyAlignment="1" applyBorder="1" applyFont="1">
      <alignment horizontal="center" vertical="bottom"/>
    </xf>
    <xf borderId="8" fillId="7" fontId="2" numFmtId="0" xfId="0" applyBorder="1" applyFont="1"/>
    <xf borderId="7" fillId="0" fontId="4" numFmtId="164" xfId="0" applyAlignment="1" applyBorder="1" applyFont="1" applyNumberFormat="1">
      <alignment horizontal="center"/>
    </xf>
    <xf borderId="7" fillId="8" fontId="2" numFmtId="0" xfId="0" applyAlignment="1" applyBorder="1" applyFont="1">
      <alignment horizontal="center" vertical="bottom"/>
    </xf>
    <xf borderId="7" fillId="8" fontId="2" numFmtId="164" xfId="0" applyAlignment="1" applyBorder="1" applyFont="1" applyNumberFormat="1">
      <alignment horizontal="center" vertical="bottom"/>
    </xf>
    <xf borderId="7" fillId="8" fontId="2" numFmtId="0" xfId="0" applyAlignment="1" applyBorder="1" applyFont="1">
      <alignment horizontal="center" vertical="bottom"/>
    </xf>
    <xf borderId="8" fillId="9" fontId="2" numFmtId="0" xfId="0" applyAlignment="1" applyBorder="1" applyFill="1" applyFont="1">
      <alignment horizontal="center"/>
    </xf>
    <xf borderId="8" fillId="9" fontId="12" numFmtId="0" xfId="0" applyBorder="1" applyFont="1"/>
    <xf borderId="7" fillId="0" fontId="11" numFmtId="164" xfId="0" applyAlignment="1" applyBorder="1" applyFont="1" applyNumberFormat="1">
      <alignment horizontal="center" vertical="bottom"/>
    </xf>
    <xf borderId="5" fillId="0" fontId="4" numFmtId="0" xfId="0" applyBorder="1" applyFont="1"/>
    <xf borderId="5" fillId="0" fontId="4" numFmtId="164" xfId="0" applyBorder="1" applyFont="1" applyNumberFormat="1"/>
    <xf borderId="7" fillId="0" fontId="11" numFmtId="164" xfId="0" applyAlignment="1" applyBorder="1" applyFont="1" applyNumberFormat="1">
      <alignment horizontal="center" readingOrder="0" vertical="bottom"/>
    </xf>
    <xf borderId="9" fillId="0" fontId="4" numFmtId="0" xfId="0" applyAlignment="1" applyBorder="1" applyFont="1">
      <alignment vertical="top"/>
    </xf>
    <xf borderId="9" fillId="0" fontId="4" numFmtId="0" xfId="0" applyAlignment="1" applyBorder="1" applyFont="1">
      <alignment vertical="bottom"/>
    </xf>
    <xf borderId="9" fillId="0" fontId="4" numFmtId="10" xfId="0" applyAlignment="1" applyBorder="1" applyFont="1" applyNumberFormat="1">
      <alignment vertical="bottom"/>
    </xf>
    <xf borderId="5" fillId="0" fontId="4" numFmtId="10" xfId="0" applyAlignment="1" applyBorder="1" applyFont="1" applyNumberFormat="1">
      <alignment vertical="bottom"/>
    </xf>
    <xf borderId="7" fillId="10" fontId="2" numFmtId="0" xfId="0" applyAlignment="1" applyBorder="1" applyFill="1" applyFont="1">
      <alignment horizontal="center" vertical="bottom"/>
    </xf>
    <xf borderId="7" fillId="10" fontId="2" numFmtId="164" xfId="0" applyAlignment="1" applyBorder="1" applyFont="1" applyNumberFormat="1">
      <alignment horizontal="center" vertical="bottom"/>
    </xf>
    <xf borderId="7" fillId="10" fontId="2" numFmtId="10" xfId="0" applyAlignment="1" applyBorder="1" applyFont="1" applyNumberFormat="1">
      <alignment horizontal="center" vertical="bottom"/>
    </xf>
    <xf borderId="8" fillId="10" fontId="4" numFmtId="0" xfId="0" applyAlignment="1" applyBorder="1" applyFont="1">
      <alignment vertical="bottom"/>
    </xf>
    <xf borderId="7" fillId="0" fontId="4" numFmtId="164" xfId="0" applyAlignment="1" applyBorder="1" applyFont="1" applyNumberFormat="1">
      <alignment vertical="bottom"/>
    </xf>
    <xf borderId="0" fillId="0" fontId="4" numFmtId="10" xfId="0" applyAlignment="1" applyFont="1" applyNumberFormat="1">
      <alignment vertical="bottom"/>
    </xf>
    <xf borderId="10" fillId="11" fontId="2" numFmtId="0" xfId="0" applyAlignment="1" applyBorder="1" applyFill="1" applyFont="1">
      <alignment horizontal="center" vertical="bottom"/>
    </xf>
    <xf borderId="5" fillId="0" fontId="3" numFmtId="0" xfId="0" applyBorder="1" applyFont="1"/>
    <xf borderId="7" fillId="0" fontId="3" numFmtId="0" xfId="0" applyBorder="1" applyFont="1"/>
    <xf borderId="7" fillId="12" fontId="2" numFmtId="0" xfId="0" applyAlignment="1" applyBorder="1" applyFill="1" applyFont="1">
      <alignment horizontal="center" vertical="bottom"/>
    </xf>
    <xf borderId="8" fillId="11" fontId="2" numFmtId="0" xfId="0" applyAlignment="1" applyBorder="1" applyFont="1">
      <alignment vertical="bottom"/>
    </xf>
    <xf borderId="7" fillId="0" fontId="4" numFmtId="164" xfId="0" applyAlignment="1" applyBorder="1" applyFont="1" applyNumberFormat="1">
      <alignment horizontal="center" vertical="bottom"/>
    </xf>
    <xf borderId="8" fillId="11" fontId="2" numFmtId="0" xfId="0" applyAlignment="1" applyBorder="1" applyFont="1">
      <alignment vertical="bottom"/>
    </xf>
    <xf borderId="7" fillId="12" fontId="13" numFmtId="9" xfId="0" applyAlignment="1" applyBorder="1" applyFont="1" applyNumberFormat="1">
      <alignment horizontal="center"/>
    </xf>
    <xf borderId="7" fillId="12" fontId="4" numFmtId="164" xfId="0" applyAlignment="1" applyBorder="1" applyFont="1" applyNumberFormat="1">
      <alignment horizontal="center"/>
    </xf>
    <xf borderId="0" fillId="0" fontId="3" numFmtId="0" xfId="0" applyAlignment="1" applyFont="1">
      <alignment horizontal="center" vertical="center"/>
    </xf>
    <xf borderId="0" fillId="0" fontId="9" numFmtId="165" xfId="0" applyAlignment="1" applyFont="1" applyNumberForma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9" numFmtId="164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readingOrder="0"/>
    </xf>
    <xf borderId="0" fillId="0" fontId="3" numFmtId="10" xfId="0" applyFont="1" applyNumberFormat="1"/>
    <xf borderId="6" fillId="13" fontId="2" numFmtId="0" xfId="0" applyAlignment="1" applyBorder="1" applyFill="1" applyFont="1">
      <alignment horizontal="center" vertical="bottom"/>
    </xf>
    <xf borderId="8" fillId="14" fontId="2" numFmtId="0" xfId="0" applyAlignment="1" applyBorder="1" applyFill="1" applyFont="1">
      <alignment horizontal="center"/>
    </xf>
    <xf borderId="7" fillId="14" fontId="2" numFmtId="0" xfId="0" applyAlignment="1" applyBorder="1" applyFont="1">
      <alignment horizontal="center" vertical="bottom"/>
    </xf>
    <xf borderId="8" fillId="15" fontId="2" numFmtId="0" xfId="0" applyAlignment="1" applyBorder="1" applyFill="1" applyFont="1">
      <alignment horizontal="center"/>
    </xf>
    <xf borderId="7" fillId="15" fontId="2" numFmtId="0" xfId="0" applyAlignment="1" applyBorder="1" applyFont="1">
      <alignment horizontal="center" vertical="bottom"/>
    </xf>
    <xf borderId="7" fillId="0" fontId="14" numFmtId="10" xfId="0" applyAlignment="1" applyBorder="1" applyFont="1" applyNumberFormat="1">
      <alignment horizontal="center"/>
    </xf>
    <xf borderId="7" fillId="0" fontId="2" numFmtId="164" xfId="0" applyAlignment="1" applyBorder="1" applyFont="1" applyNumberFormat="1">
      <alignment horizontal="center" vertical="bottom"/>
    </xf>
    <xf borderId="7" fillId="15" fontId="2" numFmtId="0" xfId="0" applyAlignment="1" applyBorder="1" applyFont="1">
      <alignment horizontal="center" vertical="bottom"/>
    </xf>
    <xf borderId="5" fillId="0" fontId="4" numFmtId="0" xfId="0" applyBorder="1" applyFont="1"/>
    <xf borderId="7" fillId="15" fontId="4" numFmtId="164" xfId="0" applyAlignment="1" applyBorder="1" applyFont="1" applyNumberFormat="1">
      <alignment horizontal="center" vertical="bottom"/>
    </xf>
    <xf borderId="0" fillId="0" fontId="4" numFmtId="0" xfId="0" applyAlignment="1" applyFont="1">
      <alignment vertical="bottom"/>
    </xf>
    <xf borderId="7" fillId="0" fontId="4" numFmtId="0" xfId="0" applyAlignment="1" applyBorder="1" applyFont="1">
      <alignment vertical="bottom"/>
    </xf>
    <xf borderId="1" fillId="16" fontId="5" numFmtId="0" xfId="0" applyAlignment="1" applyBorder="1" applyFill="1" applyFont="1">
      <alignment horizontal="center" readingOrder="0"/>
    </xf>
    <xf borderId="1" fillId="16" fontId="2" numFmtId="0" xfId="0" applyAlignment="1" applyBorder="1" applyFont="1">
      <alignment horizontal="center" shrinkToFit="0" vertical="center" wrapText="1"/>
    </xf>
    <xf borderId="3" fillId="17" fontId="4" numFmtId="164" xfId="0" applyAlignment="1" applyBorder="1" applyFill="1" applyFont="1" applyNumberFormat="1">
      <alignment vertical="center"/>
    </xf>
    <xf borderId="5" fillId="0" fontId="4" numFmtId="0" xfId="0" applyAlignment="1" applyBorder="1" applyFont="1">
      <alignment vertical="bottom"/>
    </xf>
    <xf borderId="0" fillId="0" fontId="15" numFmtId="0" xfId="0" applyAlignment="1" applyFont="1">
      <alignment horizontal="center" vertical="center"/>
    </xf>
    <xf borderId="1" fillId="16" fontId="2" numFmtId="0" xfId="0" applyAlignment="1" applyBorder="1" applyFont="1">
      <alignment readingOrder="0"/>
    </xf>
    <xf borderId="1" fillId="0" fontId="16" numFmtId="164" xfId="0" applyAlignment="1" applyBorder="1" applyFont="1" applyNumberFormat="1">
      <alignment horizontal="center" readingOrder="0" vertical="center"/>
    </xf>
    <xf borderId="1" fillId="0" fontId="17" numFmtId="164" xfId="0" applyAlignment="1" applyBorder="1" applyFont="1" applyNumberFormat="1">
      <alignment horizontal="center" readingOrder="0"/>
    </xf>
    <xf borderId="1" fillId="18" fontId="18" numFmtId="164" xfId="0" applyAlignment="1" applyBorder="1" applyFill="1" applyFont="1" applyNumberFormat="1">
      <alignment horizontal="center" readingOrder="0" vertical="center"/>
    </xf>
    <xf borderId="1" fillId="0" fontId="19" numFmtId="164" xfId="0" applyAlignment="1" applyBorder="1" applyFont="1" applyNumberFormat="1">
      <alignment horizontal="center" readingOrder="0" vertical="center"/>
    </xf>
    <xf borderId="1" fillId="0" fontId="20" numFmtId="164" xfId="0" applyAlignment="1" applyBorder="1" applyFont="1" applyNumberFormat="1">
      <alignment horizontal="center" readingOrder="0"/>
    </xf>
    <xf borderId="1" fillId="0" fontId="19" numFmtId="164" xfId="0" applyAlignment="1" applyBorder="1" applyFont="1" applyNumberFormat="1">
      <alignment horizontal="center" readingOrder="0" shrinkToFit="0" vertical="center" wrapText="0"/>
    </xf>
    <xf borderId="6" fillId="19" fontId="21" numFmtId="0" xfId="0" applyAlignment="1" applyBorder="1" applyFill="1" applyFont="1">
      <alignment horizontal="center" vertical="bottom"/>
    </xf>
    <xf borderId="0" fillId="0" fontId="11" numFmtId="0" xfId="0" applyAlignment="1" applyFont="1">
      <alignment vertical="bottom"/>
    </xf>
    <xf borderId="1" fillId="20" fontId="21" numFmtId="0" xfId="0" applyAlignment="1" applyBorder="1" applyFill="1" applyFont="1">
      <alignment horizontal="center" vertical="bottom"/>
    </xf>
    <xf borderId="1" fillId="0" fontId="20" numFmtId="164" xfId="0" applyAlignment="1" applyBorder="1" applyFont="1" applyNumberFormat="1">
      <alignment horizontal="center" vertical="bottom"/>
    </xf>
    <xf borderId="1" fillId="0" fontId="20" numFmtId="164" xfId="0" applyAlignment="1" applyBorder="1" applyFont="1" applyNumberFormat="1">
      <alignment horizontal="center" vertical="bottom"/>
    </xf>
    <xf borderId="1" fillId="0" fontId="20" numFmtId="9" xfId="0" applyAlignment="1" applyBorder="1" applyFont="1" applyNumberFormat="1">
      <alignment horizontal="center" vertical="bottom"/>
    </xf>
    <xf borderId="0" fillId="0" fontId="11" numFmtId="0" xfId="0" applyAlignment="1" applyFont="1">
      <alignment vertical="bottom"/>
    </xf>
    <xf borderId="0" fillId="0" fontId="20" numFmtId="9" xfId="0" applyAlignment="1" applyFont="1" applyNumberFormat="1">
      <alignment horizontal="center" vertical="bottom"/>
    </xf>
    <xf borderId="0" fillId="0" fontId="20" numFmtId="164" xfId="0" applyAlignment="1" applyFont="1" applyNumberFormat="1">
      <alignment horizontal="center" vertical="bottom"/>
    </xf>
    <xf borderId="1" fillId="8" fontId="2" numFmtId="0" xfId="0" applyAlignment="1" applyBorder="1" applyFont="1">
      <alignment horizontal="center" vertical="bottom"/>
    </xf>
    <xf borderId="2" fillId="8" fontId="14" numFmtId="0" xfId="0" applyAlignment="1" applyBorder="1" applyFont="1">
      <alignment horizontal="left" vertical="bottom"/>
    </xf>
    <xf borderId="3" fillId="8" fontId="2" numFmtId="0" xfId="0" applyAlignment="1" applyBorder="1" applyFont="1">
      <alignment horizontal="center" vertical="bottom"/>
    </xf>
    <xf borderId="8" fillId="0" fontId="4" numFmtId="0" xfId="0" applyAlignment="1" applyBorder="1" applyFont="1">
      <alignment horizontal="center" vertical="bottom"/>
    </xf>
    <xf borderId="5" fillId="0" fontId="13" numFmtId="0" xfId="0" applyAlignment="1" applyBorder="1" applyFont="1">
      <alignment horizontal="left" vertical="bottom"/>
    </xf>
    <xf borderId="7" fillId="0" fontId="4" numFmtId="164" xfId="0" applyAlignment="1" applyBorder="1" applyFont="1" applyNumberFormat="1">
      <alignment horizontal="right" vertical="bottom"/>
    </xf>
    <xf borderId="7" fillId="0" fontId="4" numFmtId="164" xfId="0" applyAlignment="1" applyBorder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164" xfId="0" applyAlignment="1" applyFont="1" applyNumberFormat="1">
      <alignment vertical="bottom"/>
    </xf>
    <xf borderId="5" fillId="0" fontId="4" numFmtId="0" xfId="0" applyAlignment="1" applyBorder="1" applyFont="1">
      <alignment vertical="bottom"/>
    </xf>
    <xf borderId="5" fillId="0" fontId="4" numFmtId="0" xfId="0" applyAlignment="1" applyBorder="1" applyFont="1">
      <alignment horizontal="left" vertical="bottom"/>
    </xf>
    <xf borderId="8" fillId="12" fontId="2" numFmtId="0" xfId="0" applyAlignment="1" applyBorder="1" applyFont="1">
      <alignment horizontal="center" vertical="bottom"/>
    </xf>
    <xf borderId="7" fillId="12" fontId="2" numFmtId="0" xfId="0" applyAlignment="1" applyBorder="1" applyFont="1">
      <alignment horizontal="left" vertical="bottom"/>
    </xf>
    <xf borderId="7" fillId="12" fontId="2" numFmtId="0" xfId="0" applyAlignment="1" applyBorder="1" applyFont="1">
      <alignment horizontal="center" vertical="bottom"/>
    </xf>
    <xf borderId="7" fillId="12" fontId="2" numFmtId="0" xfId="0" applyAlignment="1" applyBorder="1" applyFont="1">
      <alignment vertical="bottom"/>
    </xf>
    <xf borderId="7" fillId="0" fontId="4" numFmtId="0" xfId="0" applyAlignment="1" applyBorder="1" applyFont="1">
      <alignment horizontal="left" vertical="bottom"/>
    </xf>
    <xf borderId="7" fillId="0" fontId="4" numFmtId="0" xfId="0" applyAlignment="1" applyBorder="1" applyFont="1">
      <alignment horizontal="center" vertical="bottom"/>
    </xf>
    <xf borderId="7" fillId="0" fontId="4" numFmtId="0" xfId="0" applyAlignment="1" applyBorder="1" applyFont="1">
      <alignment vertical="bottom"/>
    </xf>
    <xf borderId="7" fillId="0" fontId="4" numFmtId="10" xfId="0" applyAlignment="1" applyBorder="1" applyFont="1" applyNumberFormat="1">
      <alignment horizontal="center" vertical="bottom"/>
    </xf>
    <xf borderId="7" fillId="0" fontId="4" numFmtId="164" xfId="0" applyAlignment="1" applyBorder="1" applyFont="1" applyNumberFormat="1">
      <alignment horizontal="center" vertical="bottom"/>
    </xf>
    <xf borderId="7" fillId="0" fontId="4" numFmtId="166" xfId="0" applyAlignment="1" applyBorder="1" applyFont="1" applyNumberFormat="1">
      <alignment horizontal="center" vertical="bottom"/>
    </xf>
    <xf borderId="1" fillId="10" fontId="2" numFmtId="0" xfId="0" applyAlignment="1" applyBorder="1" applyFont="1">
      <alignment horizontal="center" vertical="bottom"/>
    </xf>
    <xf borderId="3" fillId="10" fontId="2" numFmtId="0" xfId="0" applyAlignment="1" applyBorder="1" applyFont="1">
      <alignment horizontal="center" vertical="bottom"/>
    </xf>
    <xf borderId="3" fillId="10" fontId="2" numFmtId="0" xfId="0" applyAlignment="1" applyBorder="1" applyFont="1">
      <alignment vertical="bottom"/>
    </xf>
    <xf borderId="3" fillId="10" fontId="2" numFmtId="164" xfId="0" applyAlignment="1" applyBorder="1" applyFont="1" applyNumberFormat="1">
      <alignment horizontal="center" vertical="bottom"/>
    </xf>
    <xf borderId="11" fillId="0" fontId="4" numFmtId="0" xfId="0" applyAlignment="1" applyBorder="1" applyFont="1">
      <alignment vertical="bottom"/>
    </xf>
    <xf borderId="9" fillId="0" fontId="3" numFmtId="0" xfId="0" applyBorder="1" applyFont="1"/>
    <xf borderId="12" fillId="0" fontId="3" numFmtId="0" xfId="0" applyBorder="1" applyFont="1"/>
    <xf borderId="7" fillId="0" fontId="4" numFmtId="10" xfId="0" applyAlignment="1" applyBorder="1" applyFont="1" applyNumberFormat="1">
      <alignment vertical="bottom"/>
    </xf>
    <xf borderId="7" fillId="0" fontId="4" numFmtId="164" xfId="0" applyAlignment="1" applyBorder="1" applyFont="1" applyNumberFormat="1">
      <alignment readingOrder="0" vertical="bottom"/>
    </xf>
    <xf borderId="13" fillId="0" fontId="3" numFmtId="0" xfId="0" applyBorder="1" applyFont="1"/>
    <xf borderId="4" fillId="0" fontId="3" numFmtId="0" xfId="0" applyBorder="1" applyFont="1"/>
    <xf borderId="10" fillId="0" fontId="3" numFmtId="0" xfId="0" applyBorder="1" applyFont="1"/>
    <xf borderId="5" fillId="0" fontId="4" numFmtId="164" xfId="0" applyAlignment="1" applyBorder="1" applyFont="1" applyNumberFormat="1">
      <alignment vertical="bottom"/>
    </xf>
    <xf borderId="4" fillId="0" fontId="4" numFmtId="0" xfId="0" applyAlignment="1" applyBorder="1" applyFont="1">
      <alignment vertical="bottom"/>
    </xf>
    <xf borderId="7" fillId="13" fontId="2" numFmtId="164" xfId="0" applyAlignment="1" applyBorder="1" applyFont="1" applyNumberFormat="1">
      <alignment vertical="bottom"/>
    </xf>
    <xf borderId="5" fillId="13" fontId="2" numFmtId="0" xfId="0" applyAlignment="1" applyBorder="1" applyFont="1">
      <alignment horizontal="center" vertical="bottom"/>
    </xf>
    <xf borderId="7" fillId="13" fontId="2" numFmtId="0" xfId="0" applyAlignment="1" applyBorder="1" applyFont="1">
      <alignment horizontal="center" vertical="bottom"/>
    </xf>
    <xf borderId="4" fillId="15" fontId="2" numFmtId="164" xfId="0" applyAlignment="1" applyBorder="1" applyFont="1" applyNumberFormat="1">
      <alignment vertical="bottom"/>
    </xf>
    <xf borderId="0" fillId="15" fontId="2" numFmtId="166" xfId="0" applyAlignment="1" applyFont="1" applyNumberFormat="1">
      <alignment horizontal="center" vertical="bottom"/>
    </xf>
    <xf borderId="0" fillId="15" fontId="2" numFmtId="0" xfId="0" applyAlignment="1" applyFont="1">
      <alignment horizontal="center" vertical="bottom"/>
    </xf>
    <xf borderId="4" fillId="15" fontId="2" numFmtId="0" xfId="0" applyAlignment="1" applyBorder="1" applyFont="1">
      <alignment horizontal="center" vertical="bottom"/>
    </xf>
    <xf borderId="5" fillId="0" fontId="4" numFmtId="164" xfId="0" applyAlignment="1" applyBorder="1" applyFont="1" applyNumberFormat="1">
      <alignment horizontal="right" vertical="bottom"/>
    </xf>
    <xf borderId="0" fillId="0" fontId="19" numFmtId="0" xfId="0" applyAlignment="1" applyFont="1">
      <alignment horizontal="center"/>
    </xf>
    <xf borderId="0" fillId="0" fontId="19" numFmtId="0" xfId="0" applyAlignment="1" applyFont="1">
      <alignment horizontal="left"/>
    </xf>
    <xf borderId="0" fillId="0" fontId="19" numFmtId="0" xfId="0" applyFont="1"/>
    <xf borderId="0" fillId="0" fontId="13" numFmtId="0" xfId="0" applyAlignment="1" applyFont="1">
      <alignment vertical="bottom"/>
    </xf>
    <xf borderId="0" fillId="0" fontId="13" numFmtId="164" xfId="0" applyAlignment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ropbox.com/scl/fi/yhrj6d8kg8wbb1nwi6a7c/BRENDA-LUZ-ACOSTA-LOPEZ-COMISION-JULIO-2.pdf?rlkey=l6eoclmql29l64qur7wtnpqt5&amp;dl=0" TargetMode="External"/><Relationship Id="rId22" Type="http://schemas.openxmlformats.org/officeDocument/2006/relationships/hyperlink" Target="https://www.dropbox.com/scl/fi/69ewrysml59tt2ojsxkdg/BRENDA-LUZ-ACOSTA-LOPEZ-COMISION-NOVIEMBRE-B.pdf?rlkey=ln0k6gc1mqvu2ebt7f26zyc4m&amp;dl=0" TargetMode="External"/><Relationship Id="rId21" Type="http://schemas.openxmlformats.org/officeDocument/2006/relationships/hyperlink" Target="https://www.dropbox.com/scl/fi/ztvexz2bduo3rj37t3vqu/BRENDA-LUZ-ACOSTA-LOPEZ-COMISION-OCTUBRE-B.pdf?rlkey=j4o36et71mo4ywyqirzuns5v0&amp;dl=0" TargetMode="External"/><Relationship Id="rId24" Type="http://schemas.openxmlformats.org/officeDocument/2006/relationships/hyperlink" Target="https://www.dropbox.com/s/4d8ve673mprxfgj/BRENDA%20LUZ%20ACOSTA%20LOPEZ%20-%20COMISION%20ENERO%20E.pdf?dl=0" TargetMode="External"/><Relationship Id="rId23" Type="http://schemas.openxmlformats.org/officeDocument/2006/relationships/hyperlink" Target="https://www.dropbox.com/s/98uqz656nbhj5w6/BRENDA%20LUZ%20ACOSTA%20LOPEZ%20-%20COMISION%20ENERO%20D.jpeg?dl=0" TargetMode="External"/><Relationship Id="rId1" Type="http://schemas.openxmlformats.org/officeDocument/2006/relationships/hyperlink" Target="https://www.dropbox.com/s/lxhcpkuq1j5dgnt/Utilidad%20Enero%202023.pdf?dl=0" TargetMode="External"/><Relationship Id="rId2" Type="http://schemas.openxmlformats.org/officeDocument/2006/relationships/hyperlink" Target="https://www.dropbox.com/s/fwuvkakgx1hd1kj/Utilidad%20Febrero%202023.pdf?dl=0" TargetMode="External"/><Relationship Id="rId3" Type="http://schemas.openxmlformats.org/officeDocument/2006/relationships/hyperlink" Target="https://www.dropbox.com/s/ghuuii8cc6pab56/BRENDA%20LUZ%20ACOSTA%20LOPEZ%20-%20COMISION%20ENERO%20A.jpeg?dl=0" TargetMode="External"/><Relationship Id="rId4" Type="http://schemas.openxmlformats.org/officeDocument/2006/relationships/hyperlink" Target="https://www.dropbox.com/s/3hwsyshc7f0npuo/BRENDA%20LUZ%20ACOSTA%20LOPEZ%20-%20COMISION%20FEBRERO.pdf?dl=0" TargetMode="External"/><Relationship Id="rId9" Type="http://schemas.openxmlformats.org/officeDocument/2006/relationships/hyperlink" Target="https://www.dropbox.com/scl/fi/39uj9jqrcooadzhlwaaut/BRENDA-LUZ-ACOSTA-LOPEZ-COMISION-JULIO.pdf?rlkey=wzmqwae5n95n1yfaw2vn67sq4&amp;dl=0" TargetMode="External"/><Relationship Id="rId26" Type="http://schemas.openxmlformats.org/officeDocument/2006/relationships/hyperlink" Target="https://www.dropbox.com/s/uchvnkwcfk45ciq/BRENDA%20LUZ%20ACOSTA%20LOPEZ%20-%20COMISION%20MAYO%20C.pdf?dl=0" TargetMode="External"/><Relationship Id="rId25" Type="http://schemas.openxmlformats.org/officeDocument/2006/relationships/hyperlink" Target="https://www.dropbox.com/s/epcbegpof3ieswb/BRENDA%20LUZ%20ACOSTA%20LOPEZ%20-%20COMIISON%20MARZO%20C.jpeg?dl=0" TargetMode="External"/><Relationship Id="rId28" Type="http://schemas.openxmlformats.org/officeDocument/2006/relationships/hyperlink" Target="https://www.dropbox.com/scl/fi/edk0mpvuzcct7mk5khfo7/BRENDA-LUZ-ACOSTA-LOPEZ-COMISION-JULIO-3.pdf?rlkey=bfw05egin9g1un7pe5kxto1fl&amp;dl=0" TargetMode="External"/><Relationship Id="rId27" Type="http://schemas.openxmlformats.org/officeDocument/2006/relationships/hyperlink" Target="https://www.dropbox.com/s/jczwzu7xfrfcza8/BRENDA%20LUZ%20ACOSTA%20LOPEZ%20-%20COMISION%20JUNIO%20C.pdf?dl=0" TargetMode="External"/><Relationship Id="rId5" Type="http://schemas.openxmlformats.org/officeDocument/2006/relationships/hyperlink" Target="https://www.dropbox.com/s/42bqvg5b4707ll7/BRENDA%20LUZ%20ACOSTA%20LOPEZ%20-%20COMISION%20MARZO.pdf?dl=0" TargetMode="External"/><Relationship Id="rId6" Type="http://schemas.openxmlformats.org/officeDocument/2006/relationships/hyperlink" Target="https://www.dropbox.com/s/s98rm8mjj3mlvkj/BRENDA%20LUZ%20ACOSTA%20LOPEZ%20-%20COMISION%20ABRIL.pdf?dl=0" TargetMode="External"/><Relationship Id="rId29" Type="http://schemas.openxmlformats.org/officeDocument/2006/relationships/hyperlink" Target="https://www.dropbox.com/scl/fi/6axq0y83q9ohkckup4yoo/BRENDA-LUZ-ACOSTA-LOPEZ-COMISION-NOVIEMBRE-C.pdf?rlkey=hm6jt2ckcwrsodysn7ere24dj&amp;dl=0" TargetMode="External"/><Relationship Id="rId7" Type="http://schemas.openxmlformats.org/officeDocument/2006/relationships/hyperlink" Target="https://www.dropbox.com/s/muk4ujcttmik71u/BRENDA%20LUZ%20ACOSTA%20LOPEZ%20-%20COMISION%20MAYO.pdf?dl=0" TargetMode="External"/><Relationship Id="rId8" Type="http://schemas.openxmlformats.org/officeDocument/2006/relationships/hyperlink" Target="https://www.dropbox.com/s/7p00369rxtvf4yn/BRENDA%20LUZ%20ACOSTA%20LOPEZ%20-%20COMISION%20JUNIO.pdf?dl=0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www.dropbox.com/scl/fi/sgpz1or9xin9mxszbfpbf/BRENDA-LUZ-ACOSTA-LOPEZ-COMISION-SEPTIEMBRE.pdf?rlkey=68cao2xeuxb9nkngsl14i9rd1&amp;dl=0" TargetMode="External"/><Relationship Id="rId10" Type="http://schemas.openxmlformats.org/officeDocument/2006/relationships/hyperlink" Target="https://www.dropbox.com/scl/fi/evvosjr9749apr9h420hx/BRENDA-LUZ-ACOSTA-LOPEZ-COMISION-AGOSTO.pdf?rlkey=1bjfn1hjrn1uzyrld7uce42nx&amp;dl=0" TargetMode="External"/><Relationship Id="rId13" Type="http://schemas.openxmlformats.org/officeDocument/2006/relationships/hyperlink" Target="https://www.dropbox.com/scl/fi/6o3d16wpdyeglmsg5mh9y/BRENDA-LUZ-ACOSTA-LOPEZ-COMISION-NOVIEMBRE.pdf?rlkey=3ctoexyibnfwxx4mbrndm4npk&amp;dl=0" TargetMode="External"/><Relationship Id="rId12" Type="http://schemas.openxmlformats.org/officeDocument/2006/relationships/hyperlink" Target="https://www.dropbox.com/scl/fi/25exzfo0tp4x5axmvnlv4/BRENDA-LUZ-ACOSTA-LOPEZ-COMISION-OCTUBRE.pdf?rlkey=2aott9mci0c642y7dr3kvskj7&amp;dl=0" TargetMode="External"/><Relationship Id="rId15" Type="http://schemas.openxmlformats.org/officeDocument/2006/relationships/hyperlink" Target="https://www.dropbox.com/s/9y8jdys4mc6yrn5/BRENDA%20LUZ%20ACOSTA%20LOPEZ%20-%20COMISION%20ENERO%20B.jpeg?dl=0" TargetMode="External"/><Relationship Id="rId14" Type="http://schemas.openxmlformats.org/officeDocument/2006/relationships/hyperlink" Target="https://www.dropbox.com/scl/fi/50a4gk7skldez8zwx1ph7/BRENDA-LUZ-ACOSTA-LOPEZ-COMISION-DICIEMBRE.pdf?rlkey=64zl6etbs80orz94o6w4agfaa&amp;dl=0" TargetMode="External"/><Relationship Id="rId17" Type="http://schemas.openxmlformats.org/officeDocument/2006/relationships/hyperlink" Target="https://www.dropbox.com/s/l244cign5o3pxk2/BRENDA%20LUZ%20ACOSTA%20LOPEZ%20-%20COMIISON%20MARZO%20B.pdf?dl=0" TargetMode="External"/><Relationship Id="rId16" Type="http://schemas.openxmlformats.org/officeDocument/2006/relationships/hyperlink" Target="https://www.dropbox.com/s/gc5uaxwbko2uewx/BRENDA%20LUZ%20ACOSTA%20LOPEZ%20-%20COMISION%20ENERO%20C.pdf?dl=0" TargetMode="External"/><Relationship Id="rId19" Type="http://schemas.openxmlformats.org/officeDocument/2006/relationships/hyperlink" Target="https://www.dropbox.com/s/um698ttt7regsnc/BRENDA%20LUZ%20ACOSTA%20LOPEZ%20-%20COMISION%20JUNIO%20B.pdf?dl=0" TargetMode="External"/><Relationship Id="rId18" Type="http://schemas.openxmlformats.org/officeDocument/2006/relationships/hyperlink" Target="https://www.dropbox.com/s/4llfbdh5sm21gu7/BRENDA%20LUZ%20ACOSTA%20LOPEZ%20-%20COMISION%20MAYO%20B.pdf?dl=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2" max="13" width="13.5"/>
  </cols>
  <sheetData>
    <row r="1" ht="17.25" customHeight="1">
      <c r="A1" s="1" t="s">
        <v>0</v>
      </c>
      <c r="B1" s="2" t="str">
        <f>Datos!B2</f>
        <v>Brenda Luz Acosta Lopez</v>
      </c>
      <c r="C1" s="3"/>
      <c r="D1" s="4"/>
      <c r="E1" s="5"/>
      <c r="F1" s="6" t="s">
        <v>1</v>
      </c>
      <c r="G1" s="7">
        <f>Datos!A2</f>
        <v>5</v>
      </c>
      <c r="H1" s="8"/>
      <c r="I1" s="9" t="s">
        <v>2</v>
      </c>
      <c r="J1" s="10" t="s">
        <v>3</v>
      </c>
      <c r="K1" s="8"/>
      <c r="L1" s="9" t="s">
        <v>4</v>
      </c>
      <c r="M1" s="10">
        <v>2.0</v>
      </c>
    </row>
    <row r="2">
      <c r="A2" s="11"/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</row>
    <row r="3">
      <c r="A3" s="14" t="s">
        <v>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>
      <c r="A4" s="15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>
      <c r="A5" s="15"/>
      <c r="B5" s="16" t="s">
        <v>6</v>
      </c>
      <c r="C5" s="16" t="s">
        <v>7</v>
      </c>
      <c r="D5" s="17" t="s">
        <v>8</v>
      </c>
      <c r="E5" s="17" t="s">
        <v>9</v>
      </c>
      <c r="F5" s="17" t="s">
        <v>10</v>
      </c>
      <c r="G5" s="17" t="s">
        <v>11</v>
      </c>
      <c r="H5" s="17" t="s">
        <v>12</v>
      </c>
      <c r="I5" s="17" t="s">
        <v>13</v>
      </c>
      <c r="J5" s="17" t="s">
        <v>14</v>
      </c>
      <c r="K5" s="17" t="s">
        <v>15</v>
      </c>
      <c r="L5" s="17" t="s">
        <v>16</v>
      </c>
      <c r="M5" s="17" t="s">
        <v>17</v>
      </c>
    </row>
    <row r="6">
      <c r="A6" s="18" t="s">
        <v>18</v>
      </c>
      <c r="B6" s="19">
        <v>414189.91</v>
      </c>
      <c r="C6" s="20">
        <v>352448.96</v>
      </c>
      <c r="D6" s="21">
        <v>732140.24</v>
      </c>
      <c r="E6" s="21">
        <v>357208.93</v>
      </c>
      <c r="F6" s="21">
        <v>476780.65</v>
      </c>
      <c r="G6" s="21">
        <v>567842.57</v>
      </c>
      <c r="H6" s="21">
        <v>443404.49</v>
      </c>
      <c r="I6" s="21">
        <v>362284.98</v>
      </c>
      <c r="J6" s="21">
        <v>308073.84</v>
      </c>
      <c r="K6" s="21">
        <v>605534.57</v>
      </c>
      <c r="L6" s="22">
        <v>416770.58</v>
      </c>
      <c r="M6" s="21">
        <v>265204.46</v>
      </c>
    </row>
    <row r="7">
      <c r="A7" s="23"/>
      <c r="B7" s="24" t="s">
        <v>19</v>
      </c>
      <c r="C7" s="24" t="s">
        <v>19</v>
      </c>
      <c r="D7" s="25" t="s">
        <v>19</v>
      </c>
      <c r="E7" s="25" t="s">
        <v>19</v>
      </c>
      <c r="F7" s="25" t="s">
        <v>19</v>
      </c>
      <c r="G7" s="25" t="s">
        <v>19</v>
      </c>
      <c r="H7" s="25" t="s">
        <v>19</v>
      </c>
      <c r="I7" s="25" t="s">
        <v>19</v>
      </c>
      <c r="J7" s="25" t="s">
        <v>19</v>
      </c>
      <c r="K7" s="25" t="s">
        <v>19</v>
      </c>
      <c r="L7" s="25" t="s">
        <v>19</v>
      </c>
      <c r="M7" s="25" t="s">
        <v>19</v>
      </c>
    </row>
    <row r="8">
      <c r="A8" s="23" t="s">
        <v>20</v>
      </c>
    </row>
    <row r="9">
      <c r="D9" s="26"/>
    </row>
    <row r="10">
      <c r="C10" s="26"/>
    </row>
    <row r="12">
      <c r="A12" s="27" t="s">
        <v>21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>
      <c r="A13" s="28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>
      <c r="A14" s="29"/>
      <c r="B14" s="30" t="s">
        <v>6</v>
      </c>
      <c r="C14" s="30" t="s">
        <v>7</v>
      </c>
      <c r="D14" s="31" t="s">
        <v>8</v>
      </c>
      <c r="E14" s="31" t="s">
        <v>9</v>
      </c>
      <c r="F14" s="32" t="s">
        <v>10</v>
      </c>
      <c r="G14" s="32" t="s">
        <v>11</v>
      </c>
      <c r="H14" s="32" t="s">
        <v>12</v>
      </c>
      <c r="I14" s="32" t="s">
        <v>13</v>
      </c>
      <c r="J14" s="32" t="s">
        <v>14</v>
      </c>
      <c r="K14" s="32" t="s">
        <v>15</v>
      </c>
      <c r="L14" s="32" t="s">
        <v>16</v>
      </c>
      <c r="M14" s="32" t="s">
        <v>17</v>
      </c>
    </row>
    <row r="15">
      <c r="A15" s="33" t="s">
        <v>22</v>
      </c>
      <c r="B15" s="34">
        <f>Datos!G2</f>
        <v>1506963.38</v>
      </c>
      <c r="C15" s="34">
        <f>Datos!H2</f>
        <v>1065340.5</v>
      </c>
      <c r="D15" s="34">
        <f>Datos!I2</f>
        <v>2038455.74</v>
      </c>
      <c r="E15" s="34">
        <f>Datos!J2</f>
        <v>1108560.78</v>
      </c>
      <c r="F15" s="34">
        <f>Datos!K2</f>
        <v>1375527.35</v>
      </c>
      <c r="G15" s="34">
        <f>Datos!L2</f>
        <v>1404744.98</v>
      </c>
      <c r="H15" s="34">
        <f>Datos!M2</f>
        <v>1361293.35</v>
      </c>
      <c r="I15" s="34">
        <f>Datos!N2</f>
        <v>1034780.1</v>
      </c>
      <c r="J15" s="34">
        <f>Datos!O2</f>
        <v>925726.4</v>
      </c>
      <c r="K15" s="34">
        <f>Datos!P2</f>
        <v>1873892.19</v>
      </c>
      <c r="L15" s="34">
        <f>Datos!Q2</f>
        <v>1200567.44</v>
      </c>
      <c r="M15" s="34">
        <f>Datos!R2</f>
        <v>756619.8</v>
      </c>
    </row>
    <row r="16">
      <c r="A16" s="28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>
      <c r="A17" s="29"/>
      <c r="B17" s="35" t="s">
        <v>6</v>
      </c>
      <c r="C17" s="35" t="s">
        <v>7</v>
      </c>
      <c r="D17" s="36" t="s">
        <v>8</v>
      </c>
      <c r="E17" s="36" t="s">
        <v>9</v>
      </c>
      <c r="F17" s="37" t="s">
        <v>10</v>
      </c>
      <c r="G17" s="37" t="s">
        <v>11</v>
      </c>
      <c r="H17" s="37" t="s">
        <v>12</v>
      </c>
      <c r="I17" s="37" t="s">
        <v>13</v>
      </c>
      <c r="J17" s="37" t="s">
        <v>14</v>
      </c>
      <c r="K17" s="37" t="s">
        <v>15</v>
      </c>
      <c r="L17" s="37" t="s">
        <v>16</v>
      </c>
      <c r="M17" s="37" t="s">
        <v>17</v>
      </c>
    </row>
    <row r="18">
      <c r="A18" s="38">
        <f>Datos!A6</f>
        <v>15351</v>
      </c>
      <c r="B18" s="34" t="str">
        <f>IF(Datos!G6=0,"",Datos!G6)</f>
        <v/>
      </c>
      <c r="C18" s="34" t="str">
        <f>IF(Datos!H6=0,"",Datos!H6)</f>
        <v/>
      </c>
      <c r="D18" s="34" t="str">
        <f>IF(Datos!I6=0,"",Datos!I6)</f>
        <v/>
      </c>
      <c r="E18" s="34" t="str">
        <f>IF(Datos!J6=0,"",Datos!J6)</f>
        <v/>
      </c>
      <c r="F18" s="34" t="str">
        <f>IF(Datos!K6=0,"",Datos!K6)</f>
        <v/>
      </c>
      <c r="G18" s="34" t="str">
        <f>IF(Datos!L6=0,"",Datos!L6)</f>
        <v/>
      </c>
      <c r="H18" s="34" t="str">
        <f>IF(Datos!M6=0,"",Datos!M6)</f>
        <v/>
      </c>
      <c r="I18" s="34" t="str">
        <f>IF(Datos!N6=0,"",Datos!N6)</f>
        <v/>
      </c>
      <c r="J18" s="34" t="str">
        <f>IF(Datos!O6=0,"",Datos!O6)</f>
        <v/>
      </c>
      <c r="K18" s="34" t="str">
        <f>IF(Datos!P6=0,"",Datos!P6)</f>
        <v/>
      </c>
      <c r="L18" s="34" t="str">
        <f>IF(Datos!Q6=0,"",Datos!Q6)</f>
        <v/>
      </c>
      <c r="M18" s="34" t="str">
        <f>IF(Datos!R6=0,"",Datos!R6)</f>
        <v/>
      </c>
    </row>
    <row r="19">
      <c r="A19" s="39" t="str">
        <f>Datos!B6</f>
        <v>CBR Hotel Owner S. de R.L. de C.V.</v>
      </c>
      <c r="B19" s="40" t="str">
        <f>IF(B18="","",B18/1.16*Datos!$E$6)</f>
        <v/>
      </c>
      <c r="C19" s="40" t="str">
        <f>IF(C18="","",C18/1.16*Datos!$E$6)</f>
        <v/>
      </c>
      <c r="D19" s="40" t="str">
        <f>IF(D18="","",D18/1.16*Datos!$E$6)</f>
        <v/>
      </c>
      <c r="E19" s="40" t="str">
        <f>IF(E18="","",E18/1.16*Datos!$E$6)</f>
        <v/>
      </c>
      <c r="F19" s="40" t="str">
        <f>IF(F18="","",F18/1.16*Datos!$E$6)</f>
        <v/>
      </c>
      <c r="G19" s="40" t="str">
        <f>IF(G18="","",G18/1.16*Datos!$E$6)</f>
        <v/>
      </c>
      <c r="H19" s="40" t="str">
        <f>IF(H18="","",H18/1.16*Datos!$E$6)</f>
        <v/>
      </c>
      <c r="I19" s="40" t="str">
        <f>IF(I18="","",I18/1.16*Datos!$E$6)</f>
        <v/>
      </c>
      <c r="J19" s="40" t="str">
        <f>IF(J18="","",J18/1.16*Datos!$E$6)</f>
        <v/>
      </c>
      <c r="K19" s="40" t="str">
        <f>IF(K18="","",K18/1.16*Datos!$E$6)</f>
        <v/>
      </c>
      <c r="L19" s="40" t="str">
        <f>IF(L18="","",L18/1.16*Datos!$E$6)</f>
        <v/>
      </c>
      <c r="M19" s="40" t="str">
        <f>IF(M18="","",M18/1.16*Datos!$E$6)</f>
        <v/>
      </c>
    </row>
    <row r="20" ht="8.25" customHeight="1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</row>
    <row r="21">
      <c r="A21" s="38">
        <f>Datos!A7</f>
        <v>18284</v>
      </c>
      <c r="B21" s="34" t="str">
        <f>IF(Datos!G7=0,"",Datos!G7)</f>
        <v/>
      </c>
      <c r="C21" s="34" t="str">
        <f>IF(Datos!H7=0,"",Datos!H7)</f>
        <v/>
      </c>
      <c r="D21" s="34" t="str">
        <f>IF(Datos!I7=0,"",Datos!I7)</f>
        <v/>
      </c>
      <c r="E21" s="34" t="str">
        <f>IF(Datos!J7=0,"",Datos!J7)</f>
        <v/>
      </c>
      <c r="F21" s="34" t="str">
        <f>IF(Datos!K7=0,"",Datos!K7)</f>
        <v/>
      </c>
      <c r="G21" s="34" t="str">
        <f>IF(Datos!L7=0,"",Datos!L7)</f>
        <v/>
      </c>
      <c r="H21" s="34" t="str">
        <f>IF(Datos!M7=0,"",Datos!M7)</f>
        <v/>
      </c>
      <c r="I21" s="34" t="str">
        <f>IF(Datos!N7=0,"",Datos!N7)</f>
        <v/>
      </c>
      <c r="J21" s="34" t="str">
        <f>IF(Datos!O7=0,"",Datos!O7)</f>
        <v/>
      </c>
      <c r="K21" s="34" t="str">
        <f>IF(Datos!P7=0,"",Datos!P7)</f>
        <v/>
      </c>
      <c r="L21" s="34" t="str">
        <f>IF(Datos!Q7=0,"",Datos!Q7)</f>
        <v/>
      </c>
      <c r="M21" s="34" t="str">
        <f>IF(Datos!R7=0,"",Datos!R7)</f>
        <v/>
      </c>
    </row>
    <row r="22">
      <c r="A22" s="39" t="str">
        <f>Datos!B7</f>
        <v>SV-CB RESORT SA DE CV</v>
      </c>
      <c r="B22" s="40" t="str">
        <f>IF(B21="","",B21/1.16*Datos!$E$7)</f>
        <v/>
      </c>
      <c r="C22" s="40" t="str">
        <f>IF(C21="","",C21/1.16*Datos!$E$7)</f>
        <v/>
      </c>
      <c r="D22" s="40" t="str">
        <f>IF(D21="","",D21/1.16*Datos!$E$7)</f>
        <v/>
      </c>
      <c r="E22" s="40" t="str">
        <f>IF(E21="","",E21/1.16*Datos!$E$7)</f>
        <v/>
      </c>
      <c r="F22" s="40" t="str">
        <f>IF(F21="","",F21/1.16*Datos!$E$7)</f>
        <v/>
      </c>
      <c r="G22" s="40" t="str">
        <f>IF(G21="","",G21/1.16*Datos!$E$7)</f>
        <v/>
      </c>
      <c r="H22" s="40" t="str">
        <f>IF(H21="","",H21/1.16*Datos!$E$7)</f>
        <v/>
      </c>
      <c r="I22" s="40" t="str">
        <f>IF(I21="","",I21/1.16*Datos!$E$7)</f>
        <v/>
      </c>
      <c r="J22" s="40" t="str">
        <f>IF(J21="","",J21/1.16*Datos!$E$7)</f>
        <v/>
      </c>
      <c r="K22" s="40" t="str">
        <f>IF(K21="","",K21/1.16*Datos!$E$7)</f>
        <v/>
      </c>
      <c r="L22" s="40" t="str">
        <f>IF(L21="","",L21/1.16*Datos!$E$7)</f>
        <v/>
      </c>
      <c r="M22" s="40" t="str">
        <f>IF(M21="","",M21/1.16*Datos!$E$7)</f>
        <v/>
      </c>
    </row>
    <row r="23" ht="8.25" customHeight="1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>
      <c r="A24" s="38">
        <f>Datos!A8</f>
        <v>18354</v>
      </c>
      <c r="B24" s="34" t="str">
        <f>IF(Datos!G8=0,"",Datos!G8)</f>
        <v/>
      </c>
      <c r="C24" s="34" t="str">
        <f>IF(Datos!H8=0,"",Datos!H8)</f>
        <v/>
      </c>
      <c r="D24" s="34" t="str">
        <f>IF(Datos!I8=0,"",Datos!I8)</f>
        <v/>
      </c>
      <c r="E24" s="34" t="str">
        <f>IF(Datos!J8=0,"",Datos!J8)</f>
        <v/>
      </c>
      <c r="F24" s="34" t="str">
        <f>IF(Datos!K8=0,"",Datos!K8)</f>
        <v/>
      </c>
      <c r="G24" s="34" t="str">
        <f>IF(Datos!L8=0,"",Datos!L8)</f>
        <v/>
      </c>
      <c r="H24" s="34" t="str">
        <f>IF(Datos!M8=0,"",Datos!M8)</f>
        <v/>
      </c>
      <c r="I24" s="34" t="str">
        <f>IF(Datos!N8=0,"",Datos!N8)</f>
        <v/>
      </c>
      <c r="J24" s="34" t="str">
        <f>IF(Datos!O8=0,"",Datos!O8)</f>
        <v/>
      </c>
      <c r="K24" s="34" t="str">
        <f>IF(Datos!P8=0,"",Datos!P8)</f>
        <v/>
      </c>
      <c r="L24" s="34" t="str">
        <f>IF(Datos!Q8=0,"",Datos!Q8)</f>
        <v/>
      </c>
      <c r="M24" s="34" t="str">
        <f>IF(Datos!R8=0,"",Datos!R8)</f>
        <v/>
      </c>
    </row>
    <row r="25">
      <c r="A25" s="39" t="str">
        <f>Datos!B8</f>
        <v>Corporación Inmobiliaria KTRC</v>
      </c>
      <c r="B25" s="40" t="str">
        <f>IF(B24="","",B24/1.16*Datos!$E$8)</f>
        <v/>
      </c>
      <c r="C25" s="40" t="str">
        <f>IF(C24="","",C24/1.16*Datos!$E$8)</f>
        <v/>
      </c>
      <c r="D25" s="40" t="str">
        <f>IF(D24="","",D24/1.16*Datos!$E$8)</f>
        <v/>
      </c>
      <c r="E25" s="40" t="str">
        <f>IF(E24="","",E24/1.16*Datos!$E$8)</f>
        <v/>
      </c>
      <c r="F25" s="40" t="str">
        <f>IF(F24="","",F24/1.16*Datos!$E$8)</f>
        <v/>
      </c>
      <c r="G25" s="40" t="str">
        <f>IF(G24="","",G24/1.16*Datos!$E$8)</f>
        <v/>
      </c>
      <c r="H25" s="40" t="str">
        <f>IF(H24="","",H24/1.16*Datos!$E$8)</f>
        <v/>
      </c>
      <c r="I25" s="40" t="str">
        <f>IF(I24="","",I24/1.16*Datos!$E$8)</f>
        <v/>
      </c>
      <c r="J25" s="40" t="str">
        <f>IF(J24="","",J24/1.16*Datos!$E$8)</f>
        <v/>
      </c>
      <c r="K25" s="40" t="str">
        <f>IF(K24="","",K24/1.16*Datos!$E$8)</f>
        <v/>
      </c>
      <c r="L25" s="40" t="str">
        <f>IF(L24="","",L24/1.16*Datos!$E$8)</f>
        <v/>
      </c>
      <c r="M25" s="40" t="str">
        <f>IF(M24="","",M24/1.16*Datos!$E$8)</f>
        <v/>
      </c>
    </row>
    <row r="26" ht="8.25" customHeight="1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</row>
    <row r="27">
      <c r="A27" s="38">
        <f>Datos!A9</f>
        <v>16023</v>
      </c>
      <c r="B27" s="34" t="str">
        <f>IF(Datos!G9=0,"",Datos!G9)</f>
        <v/>
      </c>
      <c r="C27" s="34" t="str">
        <f>IF(Datos!H9=0,"",Datos!H9)</f>
        <v/>
      </c>
      <c r="D27" s="34" t="str">
        <f>IF(Datos!I9=0,"",Datos!I9)</f>
        <v/>
      </c>
      <c r="E27" s="34" t="str">
        <f>IF(Datos!J9=0,"",Datos!J9)</f>
        <v/>
      </c>
      <c r="F27" s="34" t="str">
        <f>IF(Datos!K9=0,"",Datos!K9)</f>
        <v/>
      </c>
      <c r="G27" s="34" t="str">
        <f>IF(Datos!L9=0,"",Datos!L9)</f>
        <v/>
      </c>
      <c r="H27" s="34" t="str">
        <f>IF(Datos!M9=0,"",Datos!M9)</f>
        <v/>
      </c>
      <c r="I27" s="34" t="str">
        <f>IF(Datos!N9=0,"",Datos!N9)</f>
        <v/>
      </c>
      <c r="J27" s="34" t="str">
        <f>IF(Datos!O9=0,"",Datos!O9)</f>
        <v/>
      </c>
      <c r="K27" s="34" t="str">
        <f>IF(Datos!P9=0,"",Datos!P9)</f>
        <v/>
      </c>
      <c r="L27" s="34" t="str">
        <f>IF(Datos!Q9=0,"",Datos!Q9)</f>
        <v/>
      </c>
      <c r="M27" s="34" t="str">
        <f>IF(Datos!R9=0,"",Datos!R9)</f>
        <v/>
      </c>
    </row>
    <row r="28">
      <c r="A28" s="39" t="str">
        <f>Datos!B9</f>
        <v>Fuerza Momunentos S. De R.L. De C.V.</v>
      </c>
      <c r="B28" s="40" t="str">
        <f>IF(B27="","",B27/1.16*Datos!$E$9)</f>
        <v/>
      </c>
      <c r="C28" s="40" t="str">
        <f>IF(C27="","",C27/1.16*Datos!$E$9)</f>
        <v/>
      </c>
      <c r="D28" s="40" t="str">
        <f>IF(D27="","",D27/1.16*Datos!$E$9)</f>
        <v/>
      </c>
      <c r="E28" s="40" t="str">
        <f>IF(E27="","",E27/1.16*Datos!$E$9)</f>
        <v/>
      </c>
      <c r="F28" s="40" t="str">
        <f>IF(F27="","",F27/1.16*Datos!$E$9)</f>
        <v/>
      </c>
      <c r="G28" s="40" t="str">
        <f>IF(G27="","",G27/1.16*Datos!$E$9)</f>
        <v/>
      </c>
      <c r="H28" s="40" t="str">
        <f>IF(H27="","",H27/1.16*Datos!$E$9)</f>
        <v/>
      </c>
      <c r="I28" s="40" t="str">
        <f>IF(I27="","",I27/1.16*Datos!$E$9)</f>
        <v/>
      </c>
      <c r="J28" s="40" t="str">
        <f>IF(J27="","",J27/1.16*Datos!$E$9)</f>
        <v/>
      </c>
      <c r="K28" s="40" t="str">
        <f>IF(K27="","",K27/1.16*Datos!$E$9)</f>
        <v/>
      </c>
      <c r="L28" s="40" t="str">
        <f>IF(L27="","",L27/1.16*Datos!$E$9)</f>
        <v/>
      </c>
      <c r="M28" s="40" t="str">
        <f>IF(M27="","",M27/1.16*Datos!$E$9)</f>
        <v/>
      </c>
    </row>
    <row r="29" ht="8.25" customHeight="1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</row>
    <row r="30">
      <c r="A30" s="38">
        <f>Datos!A10</f>
        <v>10978</v>
      </c>
      <c r="B30" s="34" t="str">
        <f>IF(Datos!G10=0,"",Datos!G10)</f>
        <v/>
      </c>
      <c r="C30" s="34" t="str">
        <f>IF(Datos!H10=0,"",Datos!H10)</f>
        <v/>
      </c>
      <c r="D30" s="34" t="str">
        <f>IF(Datos!I10=0,"",Datos!I10)</f>
        <v/>
      </c>
      <c r="E30" s="34" t="str">
        <f>IF(Datos!J10=0,"",Datos!J10)</f>
        <v/>
      </c>
      <c r="F30" s="34" t="str">
        <f>IF(Datos!K10=0,"",Datos!K10)</f>
        <v/>
      </c>
      <c r="G30" s="34" t="str">
        <f>IF(Datos!L10=0,"",Datos!L10)</f>
        <v/>
      </c>
      <c r="H30" s="34" t="str">
        <f>IF(Datos!M10=0,"",Datos!M10)</f>
        <v/>
      </c>
      <c r="I30" s="34" t="str">
        <f>IF(Datos!N10=0,"",Datos!N10)</f>
        <v/>
      </c>
      <c r="J30" s="34" t="str">
        <f>IF(Datos!O10=0,"",Datos!O10)</f>
        <v/>
      </c>
      <c r="K30" s="34" t="str">
        <f>IF(Datos!P10=0,"",Datos!P10)</f>
        <v/>
      </c>
      <c r="L30" s="34" t="str">
        <f>IF(Datos!Q10=0,"",Datos!Q10)</f>
        <v/>
      </c>
      <c r="M30" s="34" t="str">
        <f>IF(Datos!R10=0,"",Datos!R10)</f>
        <v/>
      </c>
    </row>
    <row r="31">
      <c r="A31" s="39" t="str">
        <f>Datos!B10</f>
        <v>Operadora Hotel Esperanza S.de R.L de C.V</v>
      </c>
      <c r="B31" s="40" t="str">
        <f>IF(B30="","",B30/1.16*Datos!$E$10)</f>
        <v/>
      </c>
      <c r="C31" s="40" t="str">
        <f>IF(C30="","",C30/1.16*Datos!$E$10)</f>
        <v/>
      </c>
      <c r="D31" s="40" t="str">
        <f>IF(D30="","",D30/1.16*Datos!$E$10)</f>
        <v/>
      </c>
      <c r="E31" s="40" t="str">
        <f>IF(E30="","",E30/1.16*Datos!$E$10)</f>
        <v/>
      </c>
      <c r="F31" s="40" t="str">
        <f>IF(F30="","",F30/1.16*Datos!$E$10)</f>
        <v/>
      </c>
      <c r="G31" s="40" t="str">
        <f>IF(G30="","",G30/1.16*Datos!$E$10)</f>
        <v/>
      </c>
      <c r="H31" s="40" t="str">
        <f>IF(H30="","",H30/1.16*Datos!$E$10)</f>
        <v/>
      </c>
      <c r="I31" s="40" t="str">
        <f>IF(I30="","",I30/1.16*Datos!$E$10)</f>
        <v/>
      </c>
      <c r="J31" s="40" t="str">
        <f>IF(J30="","",J30/1.16*Datos!$E$10)</f>
        <v/>
      </c>
      <c r="K31" s="40" t="str">
        <f>IF(K30="","",K30/1.16*Datos!$E$10)</f>
        <v/>
      </c>
      <c r="L31" s="40" t="str">
        <f>IF(L30="","",L30/1.16*Datos!$E$10)</f>
        <v/>
      </c>
      <c r="M31" s="40" t="str">
        <f>IF(M30="","",M30/1.16*Datos!$E$10)</f>
        <v/>
      </c>
    </row>
    <row r="32" ht="8.25" customHeight="1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</row>
    <row r="33">
      <c r="A33" s="38">
        <f>Datos!A11</f>
        <v>3707</v>
      </c>
      <c r="B33" s="34" t="str">
        <f>IF(Datos!G11=0,"",Datos!G11)</f>
        <v/>
      </c>
      <c r="C33" s="34" t="str">
        <f>IF(Datos!H11=0,"",Datos!H11)</f>
        <v/>
      </c>
      <c r="D33" s="34" t="str">
        <f>IF(Datos!I11=0,"",Datos!I11)</f>
        <v/>
      </c>
      <c r="E33" s="34" t="str">
        <f>IF(Datos!J11=0,"",Datos!J11)</f>
        <v/>
      </c>
      <c r="F33" s="34" t="str">
        <f>IF(Datos!K11=0,"",Datos!K11)</f>
        <v/>
      </c>
      <c r="G33" s="34" t="str">
        <f>IF(Datos!L11=0,"",Datos!L11)</f>
        <v/>
      </c>
      <c r="H33" s="34" t="str">
        <f>IF(Datos!M11=0,"",Datos!M11)</f>
        <v/>
      </c>
      <c r="I33" s="34" t="str">
        <f>IF(Datos!N11=0,"",Datos!N11)</f>
        <v/>
      </c>
      <c r="J33" s="34" t="str">
        <f>IF(Datos!O11=0,"",Datos!O11)</f>
        <v/>
      </c>
      <c r="K33" s="34" t="str">
        <f>IF(Datos!P11=0,"",Datos!P11)</f>
        <v/>
      </c>
      <c r="L33" s="34" t="str">
        <f>IF(Datos!Q11=0,"",Datos!Q11)</f>
        <v/>
      </c>
      <c r="M33" s="34" t="str">
        <f>IF(Datos!R11=0,"",Datos!R11)</f>
        <v/>
      </c>
    </row>
    <row r="34">
      <c r="A34" s="39" t="str">
        <f>Datos!B11</f>
        <v>Condominio Esperanza AC</v>
      </c>
      <c r="B34" s="40" t="str">
        <f>IF(B33="","",B33/1.16*Datos!$E$11)</f>
        <v/>
      </c>
      <c r="C34" s="40" t="str">
        <f>IF(C33="","",C33/1.16*Datos!$E$11)</f>
        <v/>
      </c>
      <c r="D34" s="40" t="str">
        <f>IF(D33="","",D33/1.16*Datos!$E$11)</f>
        <v/>
      </c>
      <c r="E34" s="40" t="str">
        <f>IF(E33="","",E33/1.16*Datos!$E$11)</f>
        <v/>
      </c>
      <c r="F34" s="40" t="str">
        <f>IF(F33="","",F33/1.16*Datos!$E$11)</f>
        <v/>
      </c>
      <c r="G34" s="40" t="str">
        <f>IF(G33="","",G33/1.16*Datos!$E$11)</f>
        <v/>
      </c>
      <c r="H34" s="40" t="str">
        <f>IF(H33="","",H33/1.16*Datos!$E$11)</f>
        <v/>
      </c>
      <c r="I34" s="40" t="str">
        <f>IF(I33="","",I33/1.16*Datos!$E$11)</f>
        <v/>
      </c>
      <c r="J34" s="40" t="str">
        <f>IF(J33="","",J33/1.16*Datos!$E$11)</f>
        <v/>
      </c>
      <c r="K34" s="40" t="str">
        <f>IF(K33="","",K33/1.16*Datos!$E$11)</f>
        <v/>
      </c>
      <c r="L34" s="40" t="str">
        <f>IF(L33="","",L33/1.16*Datos!$E$11)</f>
        <v/>
      </c>
      <c r="M34" s="40" t="str">
        <f>IF(M33="","",M33/1.16*Datos!$E$11)</f>
        <v/>
      </c>
    </row>
    <row r="35" ht="8.25" customHeight="1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</row>
    <row r="36">
      <c r="A36" s="38">
        <f>Datos!A12</f>
        <v>18312</v>
      </c>
      <c r="B36" s="34" t="str">
        <f>IF(Datos!G12=0,"",Datos!G12)</f>
        <v/>
      </c>
      <c r="C36" s="34" t="str">
        <f>IF(Datos!H12=0,"",Datos!H12)</f>
        <v/>
      </c>
      <c r="D36" s="34" t="str">
        <f>IF(Datos!I12=0,"",Datos!I12)</f>
        <v/>
      </c>
      <c r="E36" s="34" t="str">
        <f>IF(Datos!J12=0,"",Datos!J12)</f>
        <v/>
      </c>
      <c r="F36" s="34" t="str">
        <f>IF(Datos!K12=0,"",Datos!K12)</f>
        <v/>
      </c>
      <c r="G36" s="34" t="str">
        <f>IF(Datos!L12=0,"",Datos!L12)</f>
        <v/>
      </c>
      <c r="H36" s="34" t="str">
        <f>IF(Datos!M12=0,"",Datos!M12)</f>
        <v/>
      </c>
      <c r="I36" s="34" t="str">
        <f>IF(Datos!N12=0,"",Datos!N12)</f>
        <v/>
      </c>
      <c r="J36" s="34" t="str">
        <f>IF(Datos!O12=0,"",Datos!O12)</f>
        <v/>
      </c>
      <c r="K36" s="34" t="str">
        <f>IF(Datos!P12=0,"",Datos!P12)</f>
        <v/>
      </c>
      <c r="L36" s="34" t="str">
        <f>IF(Datos!Q12=0,"",Datos!Q12)</f>
        <v/>
      </c>
      <c r="M36" s="34" t="str">
        <f>IF(Datos!R12=0,"",Datos!R12)</f>
        <v/>
      </c>
    </row>
    <row r="37">
      <c r="A37" s="39" t="str">
        <f>Datos!B12</f>
        <v>OPERADORA FS CP S DE RL DE CV</v>
      </c>
      <c r="B37" s="40" t="str">
        <f>IF(B36="","",B36/1.16*Datos!$E$12)</f>
        <v/>
      </c>
      <c r="C37" s="40" t="str">
        <f>IF(C36="","",C36/1.16*Datos!$E$12)</f>
        <v/>
      </c>
      <c r="D37" s="40" t="str">
        <f>IF(D36="","",D36/1.16*Datos!$E$12)</f>
        <v/>
      </c>
      <c r="E37" s="40" t="str">
        <f>IF(E36="","",E36/1.16*Datos!$E$12)</f>
        <v/>
      </c>
      <c r="F37" s="40" t="str">
        <f>IF(F36="","",F36/1.16*Datos!$E$12)</f>
        <v/>
      </c>
      <c r="G37" s="40" t="str">
        <f>IF(G36="","",G36/1.16*Datos!$E$12)</f>
        <v/>
      </c>
      <c r="H37" s="40" t="str">
        <f>IF(H36="","",H36/1.16*Datos!$E$12)</f>
        <v/>
      </c>
      <c r="I37" s="40" t="str">
        <f>IF(I36="","",I36/1.16*Datos!$E$12)</f>
        <v/>
      </c>
      <c r="J37" s="40" t="str">
        <f>IF(J36="","",J36/1.16*Datos!$E$12)</f>
        <v/>
      </c>
      <c r="K37" s="40" t="str">
        <f>IF(K36="","",K36/1.16*Datos!$E$12)</f>
        <v/>
      </c>
      <c r="L37" s="40" t="str">
        <f>IF(L36="","",L36/1.16*Datos!$E$12)</f>
        <v/>
      </c>
      <c r="M37" s="40" t="str">
        <f>IF(M36="","",M36/1.16*Datos!$E$12)</f>
        <v/>
      </c>
    </row>
    <row r="38" ht="8.25" customHeight="1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</row>
    <row r="39">
      <c r="A39" s="38">
        <f>Datos!A13</f>
        <v>1161</v>
      </c>
      <c r="B39" s="34" t="str">
        <f>IF(Datos!G13=0,"",Datos!G13)</f>
        <v/>
      </c>
      <c r="C39" s="34" t="str">
        <f>IF(Datos!H13=0,"",Datos!H13)</f>
        <v/>
      </c>
      <c r="D39" s="34" t="str">
        <f>IF(Datos!I13=0,"",Datos!I13)</f>
        <v/>
      </c>
      <c r="E39" s="34" t="str">
        <f>IF(Datos!J13=0,"",Datos!J13)</f>
        <v/>
      </c>
      <c r="F39" s="34" t="str">
        <f>IF(Datos!K13=0,"",Datos!K13)</f>
        <v/>
      </c>
      <c r="G39" s="34" t="str">
        <f>IF(Datos!L13=0,"",Datos!L13)</f>
        <v/>
      </c>
      <c r="H39" s="34" t="str">
        <f>IF(Datos!M13=0,"",Datos!M13)</f>
        <v/>
      </c>
      <c r="I39" s="34" t="str">
        <f>IF(Datos!N13=0,"",Datos!N13)</f>
        <v/>
      </c>
      <c r="J39" s="34" t="str">
        <f>IF(Datos!O13=0,"",Datos!O13)</f>
        <v/>
      </c>
      <c r="K39" s="34" t="str">
        <f>IF(Datos!P13=0,"",Datos!P13)</f>
        <v/>
      </c>
      <c r="L39" s="34" t="str">
        <f>IF(Datos!Q13=0,"",Datos!Q13)</f>
        <v/>
      </c>
      <c r="M39" s="34" t="str">
        <f>IF(Datos!R13=0,"",Datos!R13)</f>
        <v/>
      </c>
    </row>
    <row r="40">
      <c r="A40" s="39" t="str">
        <f>Datos!B13</f>
        <v>Administradora Fase Las Estrellas Ac</v>
      </c>
      <c r="B40" s="40" t="str">
        <f>IF(B39="","",B39/1.16*Datos!$E$13)</f>
        <v/>
      </c>
      <c r="C40" s="40" t="str">
        <f>IF(C39="","",C39/1.16*Datos!$E$13)</f>
        <v/>
      </c>
      <c r="D40" s="40" t="str">
        <f>IF(D39="","",D39/1.16*Datos!$E$13)</f>
        <v/>
      </c>
      <c r="E40" s="40" t="str">
        <f>IF(E39="","",E39/1.16*Datos!$E$13)</f>
        <v/>
      </c>
      <c r="F40" s="40" t="str">
        <f>IF(F39="","",F39/1.16*Datos!$E$13)</f>
        <v/>
      </c>
      <c r="G40" s="40" t="str">
        <f>IF(G39="","",G39/1.16*Datos!$E$13)</f>
        <v/>
      </c>
      <c r="H40" s="40" t="str">
        <f>IF(H39="","",H39/1.16*Datos!$E$13)</f>
        <v/>
      </c>
      <c r="I40" s="40" t="str">
        <f>IF(I39="","",I39/1.16*Datos!$E$13)</f>
        <v/>
      </c>
      <c r="J40" s="40" t="str">
        <f>IF(J39="","",J39/1.16*Datos!$E$13)</f>
        <v/>
      </c>
      <c r="K40" s="40" t="str">
        <f>IF(K39="","",K39/1.16*Datos!$E$13)</f>
        <v/>
      </c>
      <c r="L40" s="40" t="str">
        <f>IF(L39="","",L39/1.16*Datos!$E$13)</f>
        <v/>
      </c>
      <c r="M40" s="40" t="str">
        <f>IF(M39="","",M39/1.16*Datos!$E$13)</f>
        <v/>
      </c>
    </row>
    <row r="41" ht="8.25" customHeight="1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</row>
    <row r="42">
      <c r="A42" s="38">
        <f>Datos!A14</f>
        <v>19769</v>
      </c>
      <c r="B42" s="34" t="str">
        <f>IF(Datos!G14=0,"",Datos!G14)</f>
        <v/>
      </c>
      <c r="C42" s="34" t="str">
        <f>IF(Datos!H14=0,"",Datos!H14)</f>
        <v/>
      </c>
      <c r="D42" s="34" t="str">
        <f>IF(Datos!I14=0,"",Datos!I14)</f>
        <v/>
      </c>
      <c r="E42" s="34" t="str">
        <f>IF(Datos!J14=0,"",Datos!J14)</f>
        <v/>
      </c>
      <c r="F42" s="34" t="str">
        <f>IF(Datos!K14=0,"",Datos!K14)</f>
        <v/>
      </c>
      <c r="G42" s="34" t="str">
        <f>IF(Datos!L14=0,"",Datos!L14)</f>
        <v/>
      </c>
      <c r="H42" s="34" t="str">
        <f>IF(Datos!M14=0,"",Datos!M14)</f>
        <v/>
      </c>
      <c r="I42" s="34" t="str">
        <f>IF(Datos!N14=0,"",Datos!N14)</f>
        <v/>
      </c>
      <c r="J42" s="34" t="str">
        <f>IF(Datos!O14=0,"",Datos!O14)</f>
        <v/>
      </c>
      <c r="K42" s="34" t="str">
        <f>IF(Datos!P14=0,"",Datos!P14)</f>
        <v/>
      </c>
      <c r="L42" s="34" t="str">
        <f>IF(Datos!Q14=0,"",Datos!Q14)</f>
        <v/>
      </c>
      <c r="M42" s="34" t="str">
        <f>IF(Datos!R14=0,"",Datos!R14)</f>
        <v/>
      </c>
    </row>
    <row r="43">
      <c r="A43" s="39" t="str">
        <f>Datos!B14</f>
        <v>DCSL Construction Services S. de R.L. de C.V.</v>
      </c>
      <c r="B43" s="40" t="str">
        <f>IF(B42="","",B42/1.16*Datos!$E$14)</f>
        <v/>
      </c>
      <c r="C43" s="40" t="str">
        <f>IF(C42="","",C42/1.16*Datos!$E$14)</f>
        <v/>
      </c>
      <c r="D43" s="40" t="str">
        <f>IF(D42="","",D42/1.16*Datos!$E$14)</f>
        <v/>
      </c>
      <c r="E43" s="40" t="str">
        <f>IF(E42="","",E42/1.16*Datos!$E$14)</f>
        <v/>
      </c>
      <c r="F43" s="40" t="str">
        <f>IF(F42="","",F42/1.16*Datos!$E$14)</f>
        <v/>
      </c>
      <c r="G43" s="40" t="str">
        <f>IF(G42="","",G42/1.16*Datos!$E$14)</f>
        <v/>
      </c>
      <c r="H43" s="40" t="str">
        <f>IF(H42="","",H42/1.16*Datos!$E$14)</f>
        <v/>
      </c>
      <c r="I43" s="40" t="str">
        <f>IF(I42="","",I42/1.16*Datos!$E$14)</f>
        <v/>
      </c>
      <c r="J43" s="40" t="str">
        <f>IF(J42="","",J42/1.16*Datos!$E$14)</f>
        <v/>
      </c>
      <c r="K43" s="40" t="str">
        <f>IF(K42="","",K42/1.16*Datos!$E$14)</f>
        <v/>
      </c>
      <c r="L43" s="40" t="str">
        <f>IF(L42="","",L42/1.16*Datos!$E$14)</f>
        <v/>
      </c>
      <c r="M43" s="40" t="str">
        <f>IF(M42="","",M42/1.16*Datos!$E$14)</f>
        <v/>
      </c>
    </row>
    <row r="44" ht="8.25" customHeight="1">
      <c r="A44" s="41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</row>
    <row r="45">
      <c r="A45" s="38">
        <f>Datos!A15</f>
        <v>11604</v>
      </c>
      <c r="B45" s="34">
        <f>IF(Datos!G15=0,"",Datos!G15)</f>
        <v>68389.01</v>
      </c>
      <c r="C45" s="34">
        <f>IF(Datos!H15=0,"",Datos!H15)</f>
        <v>49539.29</v>
      </c>
      <c r="D45" s="34">
        <f>IF(Datos!I15=0,"",Datos!I15)</f>
        <v>53469.69</v>
      </c>
      <c r="E45" s="34">
        <f>IF(Datos!J15=0,"",Datos!J15)</f>
        <v>102974.31</v>
      </c>
      <c r="F45" s="34">
        <f>IF(Datos!K15=0,"",Datos!K15)</f>
        <v>101174.72</v>
      </c>
      <c r="G45" s="34" t="str">
        <f>IF(Datos!L15=0,"",Datos!L15)</f>
        <v/>
      </c>
      <c r="H45" s="34" t="str">
        <f>IF(Datos!M15=0,"",Datos!M15)</f>
        <v/>
      </c>
      <c r="I45" s="34" t="str">
        <f>IF(Datos!N15=0,"",Datos!N15)</f>
        <v/>
      </c>
      <c r="J45" s="34" t="str">
        <f>IF(Datos!O15=0,"",Datos!O15)</f>
        <v/>
      </c>
      <c r="K45" s="34" t="str">
        <f>IF(Datos!P15=0,"",Datos!P15)</f>
        <v/>
      </c>
      <c r="L45" s="34" t="str">
        <f>IF(Datos!Q15=0,"",Datos!Q15)</f>
        <v/>
      </c>
      <c r="M45" s="34" t="str">
        <f>IF(Datos!R15=0,"",Datos!R15)</f>
        <v/>
      </c>
    </row>
    <row r="46">
      <c r="A46" s="39" t="str">
        <f>Datos!B15</f>
        <v>Hospitalidad Turistica, S.A. DE C.V.</v>
      </c>
      <c r="B46" s="43">
        <v>0.0</v>
      </c>
      <c r="C46" s="40">
        <f>IF(C45="","",C45/1.16*Datos!$E$15)</f>
        <v>4270.628448</v>
      </c>
      <c r="D46" s="40">
        <f>IF(D45="","",D45/1.16*Datos!$E$15)</f>
        <v>4609.456034</v>
      </c>
      <c r="E46" s="40">
        <f>IF(E45="","",E45/1.16*Datos!$E$15)</f>
        <v>8877.09569</v>
      </c>
      <c r="F46" s="40">
        <f>IF(F45="","",F45/1.16*Datos!$E$15)</f>
        <v>8721.958621</v>
      </c>
      <c r="G46" s="40" t="str">
        <f>IF(G45="","",G45/1.16*Datos!$E$15)</f>
        <v/>
      </c>
      <c r="H46" s="40" t="str">
        <f>IF(H45="","",H45/1.16*Datos!$E$15)</f>
        <v/>
      </c>
      <c r="I46" s="40" t="str">
        <f>IF(I45="","",I45/1.16*Datos!$E$15)</f>
        <v/>
      </c>
      <c r="J46" s="40" t="str">
        <f>IF(J45="","",J45/1.16*Datos!$E$15)</f>
        <v/>
      </c>
      <c r="K46" s="40" t="str">
        <f>IF(K45="","",K45/1.16*Datos!$E$15)</f>
        <v/>
      </c>
      <c r="L46" s="40" t="str">
        <f>IF(L45="","",L45/1.16*Datos!$E$15)</f>
        <v/>
      </c>
      <c r="M46" s="40" t="str">
        <f>IF(M45="","",M45/1.16*Datos!$E$15)</f>
        <v/>
      </c>
    </row>
    <row r="47" ht="8.25" customHeight="1">
      <c r="A47" s="41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</row>
    <row r="48">
      <c r="A48" s="38">
        <f>Datos!A16</f>
        <v>19524</v>
      </c>
      <c r="B48" s="34">
        <f>IF(Datos!G16=0,"",Datos!G16)</f>
        <v>161299.66</v>
      </c>
      <c r="C48" s="34">
        <f>IF(Datos!H16=0,"",Datos!H16)</f>
        <v>248466.62</v>
      </c>
      <c r="D48" s="34">
        <f>IF(Datos!I16=0,"",Datos!I16)</f>
        <v>925420.11</v>
      </c>
      <c r="E48" s="34">
        <f>IF(Datos!J16=0,"",Datos!J16)</f>
        <v>141173.9</v>
      </c>
      <c r="F48" s="34">
        <f>IF(Datos!K16=0,"",Datos!K16)</f>
        <v>273943.4</v>
      </c>
      <c r="G48" s="34">
        <f>IF(Datos!L16=0,"",Datos!L16)</f>
        <v>382941.63</v>
      </c>
      <c r="H48" s="34">
        <f>IF(Datos!M16=0,"",Datos!M16)</f>
        <v>114750.93</v>
      </c>
      <c r="I48" s="34">
        <f>IF(Datos!N16=0,"",Datos!N16)</f>
        <v>290921.47</v>
      </c>
      <c r="J48" s="34">
        <f>IF(Datos!O16=0,"",Datos!O16)</f>
        <v>113648.62</v>
      </c>
      <c r="K48" s="34">
        <f>IF(Datos!P16=0,"",Datos!P16)</f>
        <v>126741.43</v>
      </c>
      <c r="L48" s="34">
        <f>IF(Datos!Q16=0,"",Datos!Q16)</f>
        <v>235331.13</v>
      </c>
      <c r="M48" s="34">
        <f>IF(Datos!R16=0,"",Datos!R16)</f>
        <v>51588.47</v>
      </c>
    </row>
    <row r="49">
      <c r="A49" s="39" t="str">
        <f>Datos!B16</f>
        <v>AHC PROFESSIONALS SC.</v>
      </c>
      <c r="B49" s="43">
        <v>0.0</v>
      </c>
      <c r="C49" s="40">
        <f>IF(C48="","",C48/1.16*Datos!$E$16)</f>
        <v>21419.53621</v>
      </c>
      <c r="D49" s="40">
        <f>IF(D48="","",D48/1.16*Datos!$E$16)</f>
        <v>79777.59569</v>
      </c>
      <c r="E49" s="40">
        <f>IF(E48="","",E48/1.16*Datos!$E$16)</f>
        <v>12170.16379</v>
      </c>
      <c r="F49" s="40">
        <f>IF(F48="","",F48/1.16*Datos!$E$16)</f>
        <v>23615.81034</v>
      </c>
      <c r="G49" s="40">
        <f>IF(G48="","",G48/1.16*Datos!$E$16)</f>
        <v>33012.20948</v>
      </c>
      <c r="H49" s="40">
        <f>IF(H48="","",H48/1.16*Datos!$E$16)</f>
        <v>9892.321552</v>
      </c>
      <c r="I49" s="40">
        <f>IF(I48="","",I48/1.16*Datos!$E$16)</f>
        <v>25079.43707</v>
      </c>
      <c r="J49" s="40">
        <f>IF(J48="","",J48/1.16*Datos!$E$16)</f>
        <v>9797.294828</v>
      </c>
      <c r="K49" s="40">
        <f>IF(K48="","",K48/1.16*Datos!$E$16)</f>
        <v>10925.98534</v>
      </c>
      <c r="L49" s="40">
        <f>IF(L48="","",L48/1.16*Datos!$E$16)</f>
        <v>20287.16638</v>
      </c>
      <c r="M49" s="40">
        <f>IF(M48="","",M48/1.16*Datos!$E$16)</f>
        <v>4447.281897</v>
      </c>
    </row>
    <row r="50" ht="8.25" customHeight="1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</row>
    <row r="51">
      <c r="A51" s="38">
        <f>Datos!A17</f>
        <v>20506</v>
      </c>
      <c r="B51" s="34">
        <f>IF(Datos!G17=0,"",Datos!G17)</f>
        <v>13835.1</v>
      </c>
      <c r="C51" s="34" t="str">
        <f>IF(Datos!H17=0,"",Datos!H17)</f>
        <v/>
      </c>
      <c r="D51" s="34">
        <f>IF(Datos!I17=0,"",Datos!I17)</f>
        <v>52076.57</v>
      </c>
      <c r="E51" s="34" t="str">
        <f>IF(Datos!J17=0,"",Datos!J17)</f>
        <v/>
      </c>
      <c r="F51" s="34" t="str">
        <f>IF(Datos!K17=0,"",Datos!K17)</f>
        <v/>
      </c>
      <c r="G51" s="34" t="str">
        <f>IF(Datos!L17=0,"",Datos!L17)</f>
        <v/>
      </c>
      <c r="H51" s="34" t="str">
        <f>IF(Datos!M17=0,"",Datos!M17)</f>
        <v/>
      </c>
      <c r="I51" s="34" t="str">
        <f>IF(Datos!N17=0,"",Datos!N17)</f>
        <v/>
      </c>
      <c r="J51" s="34" t="str">
        <f>IF(Datos!O17=0,"",Datos!O17)</f>
        <v/>
      </c>
      <c r="K51" s="34" t="str">
        <f>IF(Datos!P17=0,"",Datos!P17)</f>
        <v/>
      </c>
      <c r="L51" s="34" t="str">
        <f>IF(Datos!Q17=0,"",Datos!Q17)</f>
        <v/>
      </c>
      <c r="M51" s="34" t="str">
        <f>IF(Datos!R17=0,"",Datos!R17)</f>
        <v/>
      </c>
    </row>
    <row r="52">
      <c r="A52" s="39" t="str">
        <f>Datos!B17</f>
        <v>DPM Acquisition Mexico S. de R.L. de C.V.</v>
      </c>
      <c r="B52" s="43">
        <v>0.0</v>
      </c>
      <c r="C52" s="40" t="str">
        <f>IF(C51="","",C51/1.16*Datos!$E$17)</f>
        <v/>
      </c>
      <c r="D52" s="40">
        <f>IF(D51="","",D51/1.16*Datos!$E$17)</f>
        <v>4489.359483</v>
      </c>
      <c r="E52" s="40" t="str">
        <f>IF(E51="","",E51/1.16*Datos!$E$17)</f>
        <v/>
      </c>
      <c r="F52" s="40" t="str">
        <f>IF(F51="","",F51/1.16*Datos!$E$17)</f>
        <v/>
      </c>
      <c r="G52" s="40" t="str">
        <f>IF(G51="","",G51/1.16*Datos!$E$17)</f>
        <v/>
      </c>
      <c r="H52" s="40" t="str">
        <f>IF(H51="","",H51/1.16*Datos!$E$17)</f>
        <v/>
      </c>
      <c r="I52" s="40" t="str">
        <f>IF(I51="","",I51/1.16*Datos!$E$17)</f>
        <v/>
      </c>
      <c r="J52" s="40" t="str">
        <f>IF(J51="","",J51/1.16*Datos!$E$17)</f>
        <v/>
      </c>
      <c r="K52" s="40" t="str">
        <f>IF(K51="","",K51/1.16*Datos!$E$17)</f>
        <v/>
      </c>
      <c r="L52" s="40" t="str">
        <f>IF(L51="","",L51/1.16*Datos!$E$17)</f>
        <v/>
      </c>
      <c r="M52" s="40" t="str">
        <f>IF(M51="","",M51/1.16*Datos!$E$17)</f>
        <v/>
      </c>
    </row>
    <row r="53" ht="8.25" customHeight="1">
      <c r="A53" s="41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</row>
    <row r="54">
      <c r="A54" s="38">
        <f>Datos!A18</f>
        <v>2369</v>
      </c>
      <c r="B54" s="34">
        <f>IF(Datos!G18=0,"",Datos!G18)</f>
        <v>109680.09</v>
      </c>
      <c r="C54" s="34">
        <f>IF(Datos!H18=0,"",Datos!H18)</f>
        <v>81781.8</v>
      </c>
      <c r="D54" s="34">
        <f>IF(Datos!I18=0,"",Datos!I18)</f>
        <v>111989.49</v>
      </c>
      <c r="E54" s="34">
        <f>IF(Datos!J18=0,"",Datos!J18)</f>
        <v>51585.89</v>
      </c>
      <c r="F54" s="34">
        <f>IF(Datos!K18=0,"",Datos!K18)</f>
        <v>84854.85</v>
      </c>
      <c r="G54" s="34">
        <f>IF(Datos!L18=0,"",Datos!L18)</f>
        <v>81970.89</v>
      </c>
      <c r="H54" s="34">
        <f>IF(Datos!M18=0,"",Datos!M18)</f>
        <v>19038.49</v>
      </c>
      <c r="I54" s="34">
        <f>IF(Datos!N18=0,"",Datos!N18)</f>
        <v>88135.79</v>
      </c>
      <c r="J54" s="34">
        <f>IF(Datos!O18=0,"",Datos!O18)</f>
        <v>47477.73</v>
      </c>
      <c r="K54" s="34">
        <f>IF(Datos!P18=0,"",Datos!P18)</f>
        <v>66475.7</v>
      </c>
      <c r="L54" s="34">
        <f>IF(Datos!Q18=0,"",Datos!Q18)</f>
        <v>119934.57</v>
      </c>
      <c r="M54" s="34">
        <f>IF(Datos!R18=0,"",Datos!R18)</f>
        <v>53367.18</v>
      </c>
    </row>
    <row r="55">
      <c r="A55" s="39" t="str">
        <f>Datos!B18</f>
        <v>Banco Invex S.A. Fideicomiso Invex Ciento Veintitres 123 Melia Casa Grande</v>
      </c>
      <c r="B55" s="43">
        <v>0.0</v>
      </c>
      <c r="C55" s="40">
        <f>IF(C54="","",C54/1.16*Datos!$E$18)</f>
        <v>7050.155172</v>
      </c>
      <c r="D55" s="40">
        <f>IF(D54="","",D54/1.16*Datos!$E$18)</f>
        <v>9654.266379</v>
      </c>
      <c r="E55" s="40">
        <f>IF(E54="","",E54/1.16*Datos!$E$18)</f>
        <v>4447.059483</v>
      </c>
      <c r="F55" s="40">
        <f>IF(F54="","",F54/1.16*Datos!$E$18)</f>
        <v>7315.073276</v>
      </c>
      <c r="G55" s="40">
        <f>IF(G54="","",G54/1.16*Datos!$E$18)</f>
        <v>7066.456034</v>
      </c>
      <c r="H55" s="40">
        <f>IF(H54="","",H54/1.16*Datos!$E$18)</f>
        <v>1641.249138</v>
      </c>
      <c r="I55" s="40">
        <f>IF(I54="","",I54/1.16*Datos!$E$18)</f>
        <v>7597.912931</v>
      </c>
      <c r="J55" s="40">
        <f>IF(J54="","",J54/1.16*Datos!$E$18)</f>
        <v>4092.907759</v>
      </c>
      <c r="K55" s="40">
        <f>IF(K54="","",K54/1.16*Datos!$E$18)</f>
        <v>5730.663793</v>
      </c>
      <c r="L55" s="40">
        <f>IF(L54="","",L54/1.16*Datos!$E$18)</f>
        <v>10339.18707</v>
      </c>
      <c r="M55" s="40">
        <f>IF(M54="","",M54/1.16*Datos!$E$18)</f>
        <v>4600.618966</v>
      </c>
    </row>
    <row r="56" ht="8.25" customHeight="1">
      <c r="A56" s="41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</row>
    <row r="57">
      <c r="A57" s="38">
        <f>Datos!A19</f>
        <v>19151</v>
      </c>
      <c r="B57" s="34">
        <f>IF(Datos!G19=0,"",Datos!G19)</f>
        <v>111703.21</v>
      </c>
      <c r="C57" s="34">
        <f>IF(Datos!H19=0,"",Datos!H19)</f>
        <v>112730.6</v>
      </c>
      <c r="D57" s="34">
        <f>IF(Datos!I19=0,"",Datos!I19)</f>
        <v>106851.04</v>
      </c>
      <c r="E57" s="34">
        <f>IF(Datos!J19=0,"",Datos!J19)</f>
        <v>99934.92</v>
      </c>
      <c r="F57" s="34">
        <f>IF(Datos!K19=0,"",Datos!K19)</f>
        <v>168997.13</v>
      </c>
      <c r="G57" s="34">
        <f>IF(Datos!L19=0,"",Datos!L19)</f>
        <v>143955.36</v>
      </c>
      <c r="H57" s="34">
        <f>IF(Datos!M19=0,"",Datos!M19)</f>
        <v>79992.99</v>
      </c>
      <c r="I57" s="34">
        <f>IF(Datos!N19=0,"",Datos!N19)</f>
        <v>150777.66</v>
      </c>
      <c r="J57" s="34">
        <f>IF(Datos!O19=0,"",Datos!O19)</f>
        <v>175413.11</v>
      </c>
      <c r="K57" s="34">
        <f>IF(Datos!P19=0,"",Datos!P19)</f>
        <v>230363.84</v>
      </c>
      <c r="L57" s="34">
        <f>IF(Datos!Q19=0,"",Datos!Q19)</f>
        <v>65854.37</v>
      </c>
      <c r="M57" s="34">
        <f>IF(Datos!R19=0,"",Datos!R19)</f>
        <v>176026.6</v>
      </c>
    </row>
    <row r="58">
      <c r="A58" s="39" t="str">
        <f>Datos!B19</f>
        <v>Suites Operadora Del Pacifico S.A. De C.V.</v>
      </c>
      <c r="B58" s="43">
        <v>0.0</v>
      </c>
      <c r="C58" s="40">
        <f>IF(C57="","",C57/1.16*Datos!$E$19)</f>
        <v>9718.155172</v>
      </c>
      <c r="D58" s="40">
        <f>IF(D57="","",D57/1.16*Datos!$E$19)</f>
        <v>9211.296552</v>
      </c>
      <c r="E58" s="40">
        <f>IF(E57="","",E57/1.16*Datos!$E$19)</f>
        <v>8615.07931</v>
      </c>
      <c r="F58" s="40">
        <f>IF(F57="","",F57/1.16*Datos!$E$19)</f>
        <v>14568.7181</v>
      </c>
      <c r="G58" s="40">
        <f>IF(G57="","",G57/1.16*Datos!$E$19)</f>
        <v>12409.94483</v>
      </c>
      <c r="H58" s="40">
        <f>IF(H57="","",H57/1.16*Datos!$E$19)</f>
        <v>6895.947414</v>
      </c>
      <c r="I58" s="40">
        <f>IF(I57="","",I57/1.16*Datos!$E$19)</f>
        <v>12998.07414</v>
      </c>
      <c r="J58" s="40">
        <f>IF(J57="","",J57/1.16*Datos!$E$19)</f>
        <v>15121.81983</v>
      </c>
      <c r="K58" s="40">
        <f>IF(K57="","",K57/1.16*Datos!$E$19)</f>
        <v>19858.95172</v>
      </c>
      <c r="L58" s="40">
        <f>IF(L57="","",L57/1.16*Datos!$E$19)</f>
        <v>5677.100862</v>
      </c>
      <c r="M58" s="40">
        <f>IF(M57="","",M57/1.16*Datos!$E$19)</f>
        <v>15174.7069</v>
      </c>
    </row>
    <row r="59" ht="8.25" customHeight="1">
      <c r="A59" s="41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</row>
    <row r="60">
      <c r="A60" s="38">
        <f>Datos!A20</f>
        <v>17532</v>
      </c>
      <c r="B60" s="34">
        <f>IF(Datos!G20=0,"",Datos!G20)</f>
        <v>66821.27</v>
      </c>
      <c r="C60" s="34">
        <f>IF(Datos!H20=0,"",Datos!H20)</f>
        <v>50491.03</v>
      </c>
      <c r="D60" s="34">
        <f>IF(Datos!I20=0,"",Datos!I20)</f>
        <v>63384.34</v>
      </c>
      <c r="E60" s="34">
        <f>IF(Datos!J20=0,"",Datos!J20)</f>
        <v>48781.34</v>
      </c>
      <c r="F60" s="34">
        <f>IF(Datos!K20=0,"",Datos!K20)</f>
        <v>184916.06</v>
      </c>
      <c r="G60" s="34">
        <f>IF(Datos!L20=0,"",Datos!L20)</f>
        <v>25261.04</v>
      </c>
      <c r="H60" s="34">
        <f>IF(Datos!M20=0,"",Datos!M20)</f>
        <v>107271.87</v>
      </c>
      <c r="I60" s="34">
        <f>IF(Datos!N20=0,"",Datos!N20)</f>
        <v>82381.68</v>
      </c>
      <c r="J60" s="34">
        <f>IF(Datos!O20=0,"",Datos!O20)</f>
        <v>48463.92</v>
      </c>
      <c r="K60" s="34">
        <f>IF(Datos!P20=0,"",Datos!P20)</f>
        <v>114874.68</v>
      </c>
      <c r="L60" s="34">
        <f>IF(Datos!Q20=0,"",Datos!Q20)</f>
        <v>54310.08</v>
      </c>
      <c r="M60" s="34">
        <f>IF(Datos!R20=0,"",Datos!R20)</f>
        <v>61265.93</v>
      </c>
    </row>
    <row r="61">
      <c r="A61" s="39" t="str">
        <f>Datos!B20</f>
        <v>VIDANTA ENTERTAINMENT SA DE CV</v>
      </c>
      <c r="B61" s="43">
        <v>0.0</v>
      </c>
      <c r="C61" s="40">
        <f>IF(C60="","",C60/1.16*Datos!$E$20)</f>
        <v>4352.675</v>
      </c>
      <c r="D61" s="40">
        <f>IF(D60="","",D60/1.16*Datos!$E$20)</f>
        <v>5464.167241</v>
      </c>
      <c r="E61" s="40">
        <f>IF(E60="","",E60/1.16*Datos!$E$20)</f>
        <v>4205.287931</v>
      </c>
      <c r="F61" s="40">
        <f>IF(F60="","",F60/1.16*Datos!$E$20)</f>
        <v>15941.03966</v>
      </c>
      <c r="G61" s="40">
        <f>IF(G60="","",G60/1.16*Datos!$E$20)</f>
        <v>2177.675862</v>
      </c>
      <c r="H61" s="40">
        <f>IF(H60="","",H60/1.16*Datos!$E$20)</f>
        <v>9247.575</v>
      </c>
      <c r="I61" s="40">
        <f>IF(I60="","",I60/1.16*Datos!$E$20)</f>
        <v>7101.868966</v>
      </c>
      <c r="J61" s="40">
        <f>IF(J60="","",J60/1.16*Datos!$E$20)</f>
        <v>4177.924138</v>
      </c>
      <c r="K61" s="40">
        <f>IF(K60="","",K60/1.16*Datos!$E$20)</f>
        <v>9902.989655</v>
      </c>
      <c r="L61" s="40">
        <f>IF(L60="","",L60/1.16*Datos!$E$20)</f>
        <v>4681.903448</v>
      </c>
      <c r="M61" s="40">
        <f>IF(M60="","",M60/1.16*Datos!$E$20)</f>
        <v>5281.54569</v>
      </c>
    </row>
    <row r="62" ht="8.25" customHeight="1">
      <c r="A62" s="41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</row>
    <row r="63">
      <c r="A63" s="38">
        <f>Datos!A21</f>
        <v>15587</v>
      </c>
      <c r="B63" s="34" t="str">
        <f>IF(Datos!G21=0,"",Datos!G21)</f>
        <v/>
      </c>
      <c r="C63" s="34" t="str">
        <f>IF(Datos!H21=0,"",Datos!H21)</f>
        <v/>
      </c>
      <c r="D63" s="34" t="str">
        <f>IF(Datos!I21=0,"",Datos!I21)</f>
        <v/>
      </c>
      <c r="E63" s="34" t="str">
        <f>IF(Datos!J21=0,"",Datos!J21)</f>
        <v/>
      </c>
      <c r="F63" s="34" t="str">
        <f>IF(Datos!K21=0,"",Datos!K21)</f>
        <v/>
      </c>
      <c r="G63" s="34" t="str">
        <f>IF(Datos!L21=0,"",Datos!L21)</f>
        <v/>
      </c>
      <c r="H63" s="34" t="str">
        <f>IF(Datos!M21=0,"",Datos!M21)</f>
        <v/>
      </c>
      <c r="I63" s="34" t="str">
        <f>IF(Datos!N21=0,"",Datos!N21)</f>
        <v/>
      </c>
      <c r="J63" s="34" t="str">
        <f>IF(Datos!O21=0,"",Datos!O21)</f>
        <v/>
      </c>
      <c r="K63" s="34" t="str">
        <f>IF(Datos!P21=0,"",Datos!P21)</f>
        <v/>
      </c>
      <c r="L63" s="34" t="str">
        <f>IF(Datos!Q21=0,"",Datos!Q21)</f>
        <v/>
      </c>
      <c r="M63" s="34" t="str">
        <f>IF(Datos!R21=0,"",Datos!R21)</f>
        <v/>
      </c>
    </row>
    <row r="64">
      <c r="A64" s="39" t="str">
        <f>Datos!B21</f>
        <v>OPERADORA MISION SAN JOSE S.A. DE C.V.</v>
      </c>
      <c r="B64" s="40" t="str">
        <f>IF(B63="","",B63/1.16*Datos!$E$21)</f>
        <v/>
      </c>
      <c r="C64" s="40" t="str">
        <f>IF(C63="","",C63/1.16*Datos!$E$21)</f>
        <v/>
      </c>
      <c r="D64" s="40" t="str">
        <f>IF(D63="","",D63/1.16*Datos!$E$21)</f>
        <v/>
      </c>
      <c r="E64" s="40" t="str">
        <f>IF(E63="","",E63/1.16*Datos!$E$21)</f>
        <v/>
      </c>
      <c r="F64" s="40" t="str">
        <f>IF(F63="","",F63/1.16*Datos!$E$21)</f>
        <v/>
      </c>
      <c r="G64" s="40" t="str">
        <f>IF(G63="","",G63/1.16*Datos!$E$21)</f>
        <v/>
      </c>
      <c r="H64" s="40" t="str">
        <f>IF(H63="","",H63/1.16*Datos!$E$21)</f>
        <v/>
      </c>
      <c r="I64" s="40" t="str">
        <f>IF(I63="","",I63/1.16*Datos!$E$21)</f>
        <v/>
      </c>
      <c r="J64" s="40" t="str">
        <f>IF(J63="","",J63/1.16*Datos!$E$21)</f>
        <v/>
      </c>
      <c r="K64" s="40" t="str">
        <f>IF(K63="","",K63/1.16*Datos!$E$21)</f>
        <v/>
      </c>
      <c r="L64" s="40" t="str">
        <f>IF(L63="","",L63/1.16*Datos!$E$21)</f>
        <v/>
      </c>
      <c r="M64" s="40" t="str">
        <f>IF(M63="","",M63/1.16*Datos!$E$21)</f>
        <v/>
      </c>
    </row>
    <row r="65" ht="8.25" customHeight="1">
      <c r="A65" s="41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</row>
    <row r="66">
      <c r="A66" s="38">
        <f>Datos!A22</f>
        <v>15587</v>
      </c>
      <c r="B66" s="34" t="str">
        <f>IF(Datos!G22=0,"",Datos!G22)</f>
        <v/>
      </c>
      <c r="C66" s="34" t="str">
        <f>IF(Datos!H22=0,"",Datos!H22)</f>
        <v/>
      </c>
      <c r="D66" s="34" t="str">
        <f>IF(Datos!I22=0,"",Datos!I22)</f>
        <v/>
      </c>
      <c r="E66" s="34" t="str">
        <f>IF(Datos!J22=0,"",Datos!J22)</f>
        <v/>
      </c>
      <c r="F66" s="34" t="str">
        <f>IF(Datos!K22=0,"",Datos!K22)</f>
        <v/>
      </c>
      <c r="G66" s="34" t="str">
        <f>IF(Datos!L22=0,"",Datos!L22)</f>
        <v/>
      </c>
      <c r="H66" s="34" t="str">
        <f>IF(Datos!M22=0,"",Datos!M22)</f>
        <v/>
      </c>
      <c r="I66" s="34" t="str">
        <f>IF(Datos!N22=0,"",Datos!N22)</f>
        <v/>
      </c>
      <c r="J66" s="34" t="str">
        <f>IF(Datos!O22=0,"",Datos!O22)</f>
        <v/>
      </c>
      <c r="K66" s="34" t="str">
        <f>IF(Datos!P22=0,"",Datos!P22)</f>
        <v/>
      </c>
      <c r="L66" s="34" t="str">
        <f>IF(Datos!Q22=0,"",Datos!Q22)</f>
        <v/>
      </c>
      <c r="M66" s="34" t="str">
        <f>IF(Datos!R22=0,"",Datos!R22)</f>
        <v/>
      </c>
    </row>
    <row r="67">
      <c r="A67" s="39" t="str">
        <f>Datos!B22</f>
        <v>OPERADORA MISION SAN JOSE S.A. DE C.V.</v>
      </c>
      <c r="B67" s="40" t="str">
        <f>IF(B66="","",B66/1.16*Datos!$E$22)</f>
        <v/>
      </c>
      <c r="C67" s="40" t="str">
        <f>IF(C66="","",C66/1.16*Datos!$E$22)</f>
        <v/>
      </c>
      <c r="D67" s="40" t="str">
        <f>IF(D66="","",D66/1.16*Datos!$E$22)</f>
        <v/>
      </c>
      <c r="E67" s="40" t="str">
        <f>IF(E66="","",E66/1.16*Datos!$E$22)</f>
        <v/>
      </c>
      <c r="F67" s="40" t="str">
        <f>IF(F66="","",F66/1.16*Datos!$E$22)</f>
        <v/>
      </c>
      <c r="G67" s="40" t="str">
        <f>IF(G66="","",G66/1.16*Datos!$E$22)</f>
        <v/>
      </c>
      <c r="H67" s="40" t="str">
        <f>IF(H66="","",H66/1.16*Datos!$E$22)</f>
        <v/>
      </c>
      <c r="I67" s="40" t="str">
        <f>IF(I66="","",I66/1.16*Datos!$E$22)</f>
        <v/>
      </c>
      <c r="J67" s="40" t="str">
        <f>IF(J66="","",J66/1.16*Datos!$E$22)</f>
        <v/>
      </c>
      <c r="K67" s="40" t="str">
        <f>IF(K66="","",K66/1.16*Datos!$E$22)</f>
        <v/>
      </c>
      <c r="L67" s="40" t="str">
        <f>IF(L66="","",L66/1.16*Datos!$E$22)</f>
        <v/>
      </c>
      <c r="M67" s="40" t="str">
        <f>IF(M66="","",M66/1.16*Datos!$E$22)</f>
        <v/>
      </c>
    </row>
    <row r="68" ht="8.25" customHeight="1">
      <c r="A68" s="41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</row>
    <row r="69">
      <c r="A69" s="38">
        <f>Datos!A23</f>
        <v>20749</v>
      </c>
      <c r="B69" s="34" t="str">
        <f>IF(Datos!G23=0,"",Datos!G23)</f>
        <v/>
      </c>
      <c r="C69" s="34" t="str">
        <f>IF(Datos!H23=0,"",Datos!H23)</f>
        <v/>
      </c>
      <c r="D69" s="34" t="str">
        <f>IF(Datos!I23=0,"",Datos!I23)</f>
        <v/>
      </c>
      <c r="E69" s="34" t="str">
        <f>IF(Datos!J23=0,"",Datos!J23)</f>
        <v/>
      </c>
      <c r="F69" s="34" t="str">
        <f>IF(Datos!K23=0,"",Datos!K23)</f>
        <v/>
      </c>
      <c r="G69" s="34" t="str">
        <f>IF(Datos!L23=0,"",Datos!L23)</f>
        <v/>
      </c>
      <c r="H69" s="34">
        <f>IF(Datos!M23=0,"",Datos!M23)</f>
        <v>37183.54</v>
      </c>
      <c r="I69" s="34">
        <f>IF(Datos!N23=0,"",Datos!N23)</f>
        <v>5052.96</v>
      </c>
      <c r="J69" s="34" t="str">
        <f>IF(Datos!O23=0,"",Datos!O23)</f>
        <v/>
      </c>
      <c r="K69" s="34" t="str">
        <f>IF(Datos!P23=0,"",Datos!P23)</f>
        <v/>
      </c>
      <c r="L69" s="34" t="str">
        <f>IF(Datos!Q23=0,"",Datos!Q23)</f>
        <v/>
      </c>
      <c r="M69" s="34" t="str">
        <f>IF(Datos!R23=0,"",Datos!R23)</f>
        <v/>
      </c>
    </row>
    <row r="70">
      <c r="A70" s="39" t="str">
        <f>Datos!B23</f>
        <v>CLASE AZUL HOSPITALITY</v>
      </c>
      <c r="B70" s="40" t="str">
        <f>IF(B69="","",B69/1.16*Datos!$E$23)</f>
        <v/>
      </c>
      <c r="C70" s="40" t="str">
        <f>IF(C69="","",C69/1.16*Datos!$E$23)</f>
        <v/>
      </c>
      <c r="D70" s="40" t="str">
        <f>IF(D69="","",D69/1.16*Datos!$E$23)</f>
        <v/>
      </c>
      <c r="E70" s="40" t="str">
        <f>IF(E69="","",E69/1.16*Datos!$E$23)</f>
        <v/>
      </c>
      <c r="F70" s="40" t="str">
        <f>IF(F69="","",F69/1.16*Datos!$E$23)</f>
        <v/>
      </c>
      <c r="G70" s="40" t="str">
        <f>IF(G69="","",G69/1.16*Datos!$E$23)</f>
        <v/>
      </c>
      <c r="H70" s="40">
        <f>IF(H69="","",H69/1.16*Datos!$E$23)</f>
        <v>3205.477586</v>
      </c>
      <c r="I70" s="40">
        <f>IF(I69="","",I69/1.16*Datos!$E$23)</f>
        <v>435.6</v>
      </c>
      <c r="J70" s="40" t="str">
        <f>IF(J69="","",J69/1.16*Datos!$E$23)</f>
        <v/>
      </c>
      <c r="K70" s="40" t="str">
        <f>IF(K69="","",K69/1.16*Datos!$E$23)</f>
        <v/>
      </c>
      <c r="L70" s="40" t="str">
        <f>IF(L69="","",L69/1.16*Datos!$E$23)</f>
        <v/>
      </c>
      <c r="M70" s="40" t="str">
        <f>IF(M69="","",M69/1.16*Datos!$E$23)</f>
        <v/>
      </c>
    </row>
    <row r="71" ht="8.25" customHeight="1">
      <c r="A71" s="41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</row>
    <row r="72">
      <c r="A72" s="38">
        <f>Datos!A24</f>
        <v>17685</v>
      </c>
      <c r="B72" s="34" t="str">
        <f>IF(Datos!G24=0,"",Datos!G24)</f>
        <v/>
      </c>
      <c r="C72" s="34" t="str">
        <f>IF(Datos!H24=0,"",Datos!H24)</f>
        <v/>
      </c>
      <c r="D72" s="34" t="str">
        <f>IF(Datos!I24=0,"",Datos!I24)</f>
        <v/>
      </c>
      <c r="E72" s="34" t="str">
        <f>IF(Datos!J24=0,"",Datos!J24)</f>
        <v/>
      </c>
      <c r="F72" s="34" t="str">
        <f>IF(Datos!K24=0,"",Datos!K24)</f>
        <v/>
      </c>
      <c r="G72" s="34" t="str">
        <f>IF(Datos!L24=0,"",Datos!L24)</f>
        <v/>
      </c>
      <c r="H72" s="34" t="str">
        <f>IF(Datos!M24=0,"",Datos!M24)</f>
        <v/>
      </c>
      <c r="I72" s="34" t="str">
        <f>IF(Datos!N24=0,"",Datos!N24)</f>
        <v/>
      </c>
      <c r="J72" s="34" t="str">
        <f>IF(Datos!O24=0,"",Datos!O24)</f>
        <v/>
      </c>
      <c r="K72" s="34" t="str">
        <f>IF(Datos!P24=0,"",Datos!P24)</f>
        <v/>
      </c>
      <c r="L72" s="34" t="str">
        <f>IF(Datos!Q24=0,"",Datos!Q24)</f>
        <v/>
      </c>
      <c r="M72" s="34" t="str">
        <f>IF(Datos!R24=0,"",Datos!R24)</f>
        <v/>
      </c>
    </row>
    <row r="73">
      <c r="A73" s="39" t="str">
        <f>Datos!B24</f>
        <v>FIDEICOMISO HLC OPERADOR CIB/2986</v>
      </c>
      <c r="B73" s="40" t="str">
        <f>IF(B72="","",B72/1.16*Datos!$E$24)</f>
        <v/>
      </c>
      <c r="C73" s="40" t="str">
        <f>IF(C72="","",C72/1.16*Datos!$E$24)</f>
        <v/>
      </c>
      <c r="D73" s="40" t="str">
        <f>IF(D72="","",D72/1.16*Datos!$E$24)</f>
        <v/>
      </c>
      <c r="E73" s="40" t="str">
        <f>IF(E72="","",E72/1.16*Datos!$E$24)</f>
        <v/>
      </c>
      <c r="F73" s="40" t="str">
        <f>IF(F72="","",F72/1.16*Datos!$E$24)</f>
        <v/>
      </c>
      <c r="G73" s="40" t="str">
        <f>IF(G72="","",G72/1.16*Datos!$E$24)</f>
        <v/>
      </c>
      <c r="H73" s="40" t="str">
        <f>IF(H72="","",H72/1.16*Datos!$E$24)</f>
        <v/>
      </c>
      <c r="I73" s="40" t="str">
        <f>IF(I72="","",I72/1.16*Datos!$E$24)</f>
        <v/>
      </c>
      <c r="J73" s="40" t="str">
        <f>IF(J72="","",J72/1.16*Datos!$E$24)</f>
        <v/>
      </c>
      <c r="K73" s="40" t="str">
        <f>IF(K72="","",K72/1.16*Datos!$E$24)</f>
        <v/>
      </c>
      <c r="L73" s="40" t="str">
        <f>IF(L72="","",L72/1.16*Datos!$E$24)</f>
        <v/>
      </c>
      <c r="M73" s="40" t="str">
        <f>IF(M72="","",M72/1.16*Datos!$E$24)</f>
        <v/>
      </c>
    </row>
    <row r="74" ht="8.25" customHeight="1">
      <c r="A74" s="41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</row>
    <row r="75">
      <c r="A75" s="38">
        <f>Datos!A25</f>
        <v>16127</v>
      </c>
      <c r="B75" s="34" t="str">
        <f>IF(Datos!G25=0,"",Datos!G25)</f>
        <v/>
      </c>
      <c r="C75" s="34" t="str">
        <f>IF(Datos!H25=0,"",Datos!H25)</f>
        <v/>
      </c>
      <c r="D75" s="34" t="str">
        <f>IF(Datos!I25=0,"",Datos!I25)</f>
        <v/>
      </c>
      <c r="E75" s="34" t="str">
        <f>IF(Datos!J25=0,"",Datos!J25)</f>
        <v/>
      </c>
      <c r="F75" s="34" t="str">
        <f>IF(Datos!K25=0,"",Datos!K25)</f>
        <v/>
      </c>
      <c r="G75" s="34" t="str">
        <f>IF(Datos!L25=0,"",Datos!L25)</f>
        <v/>
      </c>
      <c r="H75" s="34" t="str">
        <f>IF(Datos!M25=0,"",Datos!M25)</f>
        <v/>
      </c>
      <c r="I75" s="34" t="str">
        <f>IF(Datos!N25=0,"",Datos!N25)</f>
        <v/>
      </c>
      <c r="J75" s="34" t="str">
        <f>IF(Datos!O25=0,"",Datos!O25)</f>
        <v/>
      </c>
      <c r="K75" s="34">
        <f>IF(Datos!P25=0,"",Datos!P25)</f>
        <v>658647.95</v>
      </c>
      <c r="L75" s="34">
        <f>IF(Datos!Q25=0,"",Datos!Q25)</f>
        <v>444086.53</v>
      </c>
      <c r="M75" s="34">
        <f>IF(Datos!R25=0,"",Datos!R25)</f>
        <v>126097.07</v>
      </c>
    </row>
    <row r="76">
      <c r="A76" s="39" t="str">
        <f>Datos!B25</f>
        <v>PROMOTORA TURISTICA PUNTA BETE SAPI DE CV</v>
      </c>
      <c r="B76" s="40" t="str">
        <f>IF(B75="","",B75/1.16*Datos!$E$25)</f>
        <v/>
      </c>
      <c r="C76" s="40" t="str">
        <f>IF(C75="","",C75/1.16*Datos!$E$25)</f>
        <v/>
      </c>
      <c r="D76" s="40" t="str">
        <f>IF(D75="","",D75/1.16*Datos!$E$25)</f>
        <v/>
      </c>
      <c r="E76" s="40" t="str">
        <f>IF(E75="","",E75/1.16*Datos!$E$25)</f>
        <v/>
      </c>
      <c r="F76" s="40" t="str">
        <f>IF(F75="","",F75/1.16*Datos!$E$25)</f>
        <v/>
      </c>
      <c r="G76" s="40" t="str">
        <f>IF(G75="","",G75/1.16*Datos!$E$25)</f>
        <v/>
      </c>
      <c r="H76" s="40" t="str">
        <f>IF(H75="","",H75/1.16*Datos!$E$25)</f>
        <v/>
      </c>
      <c r="I76" s="40" t="str">
        <f>IF(I75="","",I75/1.16*Datos!$E$25)</f>
        <v/>
      </c>
      <c r="J76" s="40" t="str">
        <f>IF(J75="","",J75/1.16*Datos!$E$25)</f>
        <v/>
      </c>
      <c r="K76" s="40">
        <v>21365.206034482762</v>
      </c>
      <c r="L76" s="40">
        <f>IF(L75="","",L75/1.16*Datos!$E$25)</f>
        <v>38283.32155</v>
      </c>
      <c r="M76" s="40">
        <f>IF(M75="","",M75/1.16*Datos!$E$25)</f>
        <v>10870.43707</v>
      </c>
    </row>
    <row r="77" ht="8.25" customHeight="1">
      <c r="A77" s="41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</row>
    <row r="78">
      <c r="A78" s="38" t="str">
        <f>Datos!A26</f>
        <v/>
      </c>
      <c r="B78" s="34" t="str">
        <f>IF(Datos!G26=0,"",Datos!G26)</f>
        <v/>
      </c>
      <c r="C78" s="34" t="str">
        <f>IF(Datos!H26=0,"",Datos!H26)</f>
        <v/>
      </c>
      <c r="D78" s="34" t="str">
        <f>IF(Datos!I26=0,"",Datos!I26)</f>
        <v/>
      </c>
      <c r="E78" s="34" t="str">
        <f>IF(Datos!J26=0,"",Datos!J26)</f>
        <v/>
      </c>
      <c r="F78" s="34" t="str">
        <f>IF(Datos!K26=0,"",Datos!K26)</f>
        <v/>
      </c>
      <c r="G78" s="34" t="str">
        <f>IF(Datos!L26=0,"",Datos!L26)</f>
        <v/>
      </c>
      <c r="H78" s="34" t="str">
        <f>IF(Datos!M26=0,"",Datos!M26)</f>
        <v/>
      </c>
      <c r="I78" s="34" t="str">
        <f>IF(Datos!N26=0,"",Datos!N26)</f>
        <v/>
      </c>
      <c r="J78" s="34" t="str">
        <f>IF(Datos!O26=0,"",Datos!O26)</f>
        <v/>
      </c>
      <c r="K78" s="34" t="str">
        <f>IF(Datos!P26=0,"",Datos!P26)</f>
        <v/>
      </c>
      <c r="L78" s="34" t="str">
        <f>IF(Datos!Q26=0,"",Datos!Q26)</f>
        <v/>
      </c>
      <c r="M78" s="34" t="str">
        <f>IF(Datos!R26=0,"",Datos!R26)</f>
        <v/>
      </c>
    </row>
    <row r="79">
      <c r="A79" s="39" t="str">
        <f>Datos!B26</f>
        <v/>
      </c>
      <c r="B79" s="40" t="str">
        <f>IF(B78="","",B78/1.16*Datos!$E$26)</f>
        <v/>
      </c>
      <c r="C79" s="40" t="str">
        <f>IF(C78="","",C78/1.16*Datos!$E$26)</f>
        <v/>
      </c>
      <c r="D79" s="40" t="str">
        <f>IF(D78="","",D78/1.16*Datos!$E$26)</f>
        <v/>
      </c>
      <c r="E79" s="40" t="str">
        <f>IF(E78="","",E78/1.16*Datos!$E$26)</f>
        <v/>
      </c>
      <c r="F79" s="40" t="str">
        <f>IF(F78="","",F78/1.16*Datos!$E$26)</f>
        <v/>
      </c>
      <c r="G79" s="40" t="str">
        <f>IF(G78="","",G78/1.16*Datos!$E$26)</f>
        <v/>
      </c>
      <c r="H79" s="40" t="str">
        <f>IF(H78="","",H78/1.16*Datos!$E$26)</f>
        <v/>
      </c>
      <c r="I79" s="40" t="str">
        <f>IF(I78="","",I78/1.16*Datos!$E$26)</f>
        <v/>
      </c>
      <c r="J79" s="40" t="str">
        <f>IF(J78="","",J78/1.16*Datos!$E$26)</f>
        <v/>
      </c>
      <c r="K79" s="40" t="str">
        <f>IF(K78="","",K78/1.16*Datos!$E$26)</f>
        <v/>
      </c>
      <c r="L79" s="40" t="str">
        <f>IF(L78="","",L78/1.16*Datos!$E$26)</f>
        <v/>
      </c>
      <c r="M79" s="40" t="str">
        <f>IF(M78="","",M78/1.16*Datos!$E$26)</f>
        <v/>
      </c>
    </row>
    <row r="80" ht="8.25" customHeight="1">
      <c r="A80" s="41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</row>
    <row r="81">
      <c r="A81" s="38" t="str">
        <f>Datos!A27</f>
        <v/>
      </c>
      <c r="B81" s="34" t="str">
        <f>IF(Datos!G27=0,"",Datos!G27)</f>
        <v/>
      </c>
      <c r="C81" s="34" t="str">
        <f>IF(Datos!H27=0,"",Datos!H27)</f>
        <v/>
      </c>
      <c r="D81" s="34" t="str">
        <f>IF(Datos!I27=0,"",Datos!I27)</f>
        <v/>
      </c>
      <c r="E81" s="34" t="str">
        <f>IF(Datos!J27=0,"",Datos!J27)</f>
        <v/>
      </c>
      <c r="F81" s="34" t="str">
        <f>IF(Datos!K27=0,"",Datos!K27)</f>
        <v/>
      </c>
      <c r="G81" s="34" t="str">
        <f>IF(Datos!L27=0,"",Datos!L27)</f>
        <v/>
      </c>
      <c r="H81" s="34" t="str">
        <f>IF(Datos!M27=0,"",Datos!M27)</f>
        <v/>
      </c>
      <c r="I81" s="34" t="str">
        <f>IF(Datos!N27=0,"",Datos!N27)</f>
        <v/>
      </c>
      <c r="J81" s="34" t="str">
        <f>IF(Datos!O27=0,"",Datos!O27)</f>
        <v/>
      </c>
      <c r="K81" s="34" t="str">
        <f>IF(Datos!P27=0,"",Datos!P27)</f>
        <v/>
      </c>
      <c r="L81" s="34" t="str">
        <f>IF(Datos!Q27=0,"",Datos!Q27)</f>
        <v/>
      </c>
      <c r="M81" s="34" t="str">
        <f>IF(Datos!R27=0,"",Datos!R27)</f>
        <v/>
      </c>
    </row>
    <row r="82">
      <c r="A82" s="39" t="str">
        <f>Datos!B27</f>
        <v/>
      </c>
      <c r="B82" s="40" t="str">
        <f>IF(B81="","",B81/1.16*Datos!$E$27)</f>
        <v/>
      </c>
      <c r="C82" s="40" t="str">
        <f>IF(C81="","",C81/1.16*Datos!$E$27)</f>
        <v/>
      </c>
      <c r="D82" s="40" t="str">
        <f>IF(D81="","",D81/1.16*Datos!$E$27)</f>
        <v/>
      </c>
      <c r="E82" s="40" t="str">
        <f>IF(E81="","",E81/1.16*Datos!$E$27)</f>
        <v/>
      </c>
      <c r="F82" s="40" t="str">
        <f>IF(F81="","",F81/1.16*Datos!$E$27)</f>
        <v/>
      </c>
      <c r="G82" s="40" t="str">
        <f>IF(G81="","",G81/1.16*Datos!$E$27)</f>
        <v/>
      </c>
      <c r="H82" s="40" t="str">
        <f>IF(H81="","",H81/1.16*Datos!$E$27)</f>
        <v/>
      </c>
      <c r="I82" s="40" t="str">
        <f>IF(I81="","",I81/1.16*Datos!$E$27)</f>
        <v/>
      </c>
      <c r="J82" s="40" t="str">
        <f>IF(J81="","",J81/1.16*Datos!$E$27)</f>
        <v/>
      </c>
      <c r="K82" s="40" t="str">
        <f>IF(K81="","",K81/1.16*Datos!$E$27)</f>
        <v/>
      </c>
      <c r="L82" s="40" t="str">
        <f>IF(L81="","",L81/1.16*Datos!$E$27)</f>
        <v/>
      </c>
      <c r="M82" s="40" t="str">
        <f>IF(M81="","",M81/1.16*Datos!$E$27)</f>
        <v/>
      </c>
    </row>
    <row r="83" ht="8.25" customHeight="1">
      <c r="A83" s="41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</row>
    <row r="84">
      <c r="A84" s="38" t="str">
        <f>Datos!A28</f>
        <v/>
      </c>
      <c r="B84" s="34" t="str">
        <f>IF(Datos!G28=0,"",Datos!G28)</f>
        <v/>
      </c>
      <c r="C84" s="34" t="str">
        <f>IF(Datos!H28=0,"",Datos!H28)</f>
        <v/>
      </c>
      <c r="D84" s="34" t="str">
        <f>IF(Datos!I28=0,"",Datos!I28)</f>
        <v/>
      </c>
      <c r="E84" s="34" t="str">
        <f>IF(Datos!J28=0,"",Datos!J28)</f>
        <v/>
      </c>
      <c r="F84" s="34" t="str">
        <f>IF(Datos!K28=0,"",Datos!K28)</f>
        <v/>
      </c>
      <c r="G84" s="34" t="str">
        <f>IF(Datos!L28=0,"",Datos!L28)</f>
        <v/>
      </c>
      <c r="H84" s="34" t="str">
        <f>IF(Datos!M28=0,"",Datos!M28)</f>
        <v/>
      </c>
      <c r="I84" s="34" t="str">
        <f>IF(Datos!N28=0,"",Datos!N28)</f>
        <v/>
      </c>
      <c r="J84" s="34" t="str">
        <f>IF(Datos!O28=0,"",Datos!O28)</f>
        <v/>
      </c>
      <c r="K84" s="34" t="str">
        <f>IF(Datos!P28=0,"",Datos!P28)</f>
        <v/>
      </c>
      <c r="L84" s="34" t="str">
        <f>IF(Datos!Q28=0,"",Datos!Q28)</f>
        <v/>
      </c>
      <c r="M84" s="34" t="str">
        <f>IF(Datos!R28=0,"",Datos!R28)</f>
        <v/>
      </c>
    </row>
    <row r="85">
      <c r="A85" s="39" t="str">
        <f>Datos!B28</f>
        <v/>
      </c>
      <c r="B85" s="40" t="str">
        <f>IF(B84="","",B84/1.16*Datos!$E$28)</f>
        <v/>
      </c>
      <c r="C85" s="40" t="str">
        <f>IF(C84="","",C84/1.16*Datos!$E$28)</f>
        <v/>
      </c>
      <c r="D85" s="40" t="str">
        <f>IF(D84="","",D84/1.16*Datos!$E$28)</f>
        <v/>
      </c>
      <c r="E85" s="40" t="str">
        <f>IF(E84="","",E84/1.16*Datos!$E$28)</f>
        <v/>
      </c>
      <c r="F85" s="40" t="str">
        <f>IF(F84="","",F84/1.16*Datos!$E$28)</f>
        <v/>
      </c>
      <c r="G85" s="40" t="str">
        <f>IF(G84="","",G84/1.16*Datos!$E$28)</f>
        <v/>
      </c>
      <c r="H85" s="40" t="str">
        <f>IF(H84="","",H84/1.16*Datos!$E$28)</f>
        <v/>
      </c>
      <c r="I85" s="40" t="str">
        <f>IF(I84="","",I84/1.16*Datos!$E$28)</f>
        <v/>
      </c>
      <c r="J85" s="40" t="str">
        <f>IF(J84="","",J84/1.16*Datos!$E$28)</f>
        <v/>
      </c>
      <c r="K85" s="40" t="str">
        <f>IF(K84="","",K84/1.16*Datos!$E$28)</f>
        <v/>
      </c>
      <c r="L85" s="40" t="str">
        <f>IF(L84="","",L84/1.16*Datos!$E$28)</f>
        <v/>
      </c>
      <c r="M85" s="40" t="str">
        <f>IF(M84="","",M84/1.16*Datos!$E$28)</f>
        <v/>
      </c>
    </row>
    <row r="86" ht="8.25" customHeight="1">
      <c r="A86" s="41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</row>
    <row r="87">
      <c r="A87" s="38" t="str">
        <f>Datos!A29</f>
        <v/>
      </c>
      <c r="B87" s="34" t="str">
        <f>IF(Datos!G29=0,"",Datos!G29)</f>
        <v/>
      </c>
      <c r="C87" s="34" t="str">
        <f>IF(Datos!H29=0,"",Datos!H29)</f>
        <v/>
      </c>
      <c r="D87" s="34" t="str">
        <f>IF(Datos!I29=0,"",Datos!I29)</f>
        <v/>
      </c>
      <c r="E87" s="34" t="str">
        <f>IF(Datos!J29=0,"",Datos!J29)</f>
        <v/>
      </c>
      <c r="F87" s="34" t="str">
        <f>IF(Datos!K29=0,"",Datos!K29)</f>
        <v/>
      </c>
      <c r="G87" s="34" t="str">
        <f>IF(Datos!L29=0,"",Datos!L29)</f>
        <v/>
      </c>
      <c r="H87" s="34" t="str">
        <f>IF(Datos!M29=0,"",Datos!M29)</f>
        <v/>
      </c>
      <c r="I87" s="34" t="str">
        <f>IF(Datos!N29=0,"",Datos!N29)</f>
        <v/>
      </c>
      <c r="J87" s="34" t="str">
        <f>IF(Datos!O29=0,"",Datos!O29)</f>
        <v/>
      </c>
      <c r="K87" s="34" t="str">
        <f>IF(Datos!P29=0,"",Datos!P29)</f>
        <v/>
      </c>
      <c r="L87" s="34" t="str">
        <f>IF(Datos!Q29=0,"",Datos!Q29)</f>
        <v/>
      </c>
      <c r="M87" s="34" t="str">
        <f>IF(Datos!R29=0,"",Datos!R29)</f>
        <v/>
      </c>
    </row>
    <row r="88">
      <c r="A88" s="39" t="str">
        <f>Datos!B29</f>
        <v/>
      </c>
      <c r="B88" s="40" t="str">
        <f>IF(B87="","",B87/1.16*Datos!$E$29)</f>
        <v/>
      </c>
      <c r="C88" s="40" t="str">
        <f>IF(C87="","",C87/1.16*Datos!$E$29)</f>
        <v/>
      </c>
      <c r="D88" s="40" t="str">
        <f>IF(D87="","",D87/1.16*Datos!$E$29)</f>
        <v/>
      </c>
      <c r="E88" s="40" t="str">
        <f>IF(E87="","",E87/1.16*Datos!$E$29)</f>
        <v/>
      </c>
      <c r="F88" s="40" t="str">
        <f>IF(F87="","",F87/1.16*Datos!$E$29)</f>
        <v/>
      </c>
      <c r="G88" s="40" t="str">
        <f>IF(G87="","",G87/1.16*Datos!$E$29)</f>
        <v/>
      </c>
      <c r="H88" s="40" t="str">
        <f>IF(H87="","",H87/1.16*Datos!$E$29)</f>
        <v/>
      </c>
      <c r="I88" s="40" t="str">
        <f>IF(I87="","",I87/1.16*Datos!$E$29)</f>
        <v/>
      </c>
      <c r="J88" s="40" t="str">
        <f>IF(J87="","",J87/1.16*Datos!$E$29)</f>
        <v/>
      </c>
      <c r="K88" s="40" t="str">
        <f>IF(K87="","",K87/1.16*Datos!$E$29)</f>
        <v/>
      </c>
      <c r="L88" s="40" t="str">
        <f>IF(L87="","",L87/1.16*Datos!$E$29)</f>
        <v/>
      </c>
      <c r="M88" s="40" t="str">
        <f>IF(M87="","",M87/1.16*Datos!$E$29)</f>
        <v/>
      </c>
    </row>
    <row r="89" ht="8.25" customHeight="1">
      <c r="A89" s="41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</row>
    <row r="90">
      <c r="A90" s="38" t="str">
        <f>Datos!A30</f>
        <v/>
      </c>
      <c r="B90" s="34" t="str">
        <f>IF(Datos!G30=0,"",Datos!G30)</f>
        <v/>
      </c>
      <c r="C90" s="34" t="str">
        <f>IF(Datos!H30=0,"",Datos!H30)</f>
        <v/>
      </c>
      <c r="D90" s="34" t="str">
        <f>IF(Datos!I30=0,"",Datos!I30)</f>
        <v/>
      </c>
      <c r="E90" s="34" t="str">
        <f>IF(Datos!J30=0,"",Datos!J30)</f>
        <v/>
      </c>
      <c r="F90" s="34" t="str">
        <f>IF(Datos!K30=0,"",Datos!K30)</f>
        <v/>
      </c>
      <c r="G90" s="34" t="str">
        <f>IF(Datos!L30=0,"",Datos!L30)</f>
        <v/>
      </c>
      <c r="H90" s="34" t="str">
        <f>IF(Datos!M30=0,"",Datos!M30)</f>
        <v/>
      </c>
      <c r="I90" s="34" t="str">
        <f>IF(Datos!N30=0,"",Datos!N30)</f>
        <v/>
      </c>
      <c r="J90" s="34" t="str">
        <f>IF(Datos!O30=0,"",Datos!O30)</f>
        <v/>
      </c>
      <c r="K90" s="34" t="str">
        <f>IF(Datos!P30=0,"",Datos!P30)</f>
        <v/>
      </c>
      <c r="L90" s="34" t="str">
        <f>IF(Datos!Q30=0,"",Datos!Q30)</f>
        <v/>
      </c>
      <c r="M90" s="34" t="str">
        <f>IF(Datos!R30=0,"",Datos!R30)</f>
        <v/>
      </c>
    </row>
    <row r="91">
      <c r="A91" s="39" t="str">
        <f>Datos!B30</f>
        <v/>
      </c>
      <c r="B91" s="40" t="str">
        <f>IF(B90="","",B90/1.16*Datos!$E$30)</f>
        <v/>
      </c>
      <c r="C91" s="40" t="str">
        <f>IF(C90="","",C90/1.16*Datos!$E$30)</f>
        <v/>
      </c>
      <c r="D91" s="40" t="str">
        <f>IF(D90="","",D90/1.16*Datos!$E$30)</f>
        <v/>
      </c>
      <c r="E91" s="40" t="str">
        <f>IF(E90="","",E90/1.16*Datos!$E$30)</f>
        <v/>
      </c>
      <c r="F91" s="40" t="str">
        <f>IF(F90="","",F90/1.16*Datos!$E$30)</f>
        <v/>
      </c>
      <c r="G91" s="40" t="str">
        <f>IF(G90="","",G90/1.16*Datos!$E$30)</f>
        <v/>
      </c>
      <c r="H91" s="40" t="str">
        <f>IF(H90="","",H90/1.16*Datos!$E$30)</f>
        <v/>
      </c>
      <c r="I91" s="40" t="str">
        <f>IF(I90="","",I90/1.16*Datos!$E$30)</f>
        <v/>
      </c>
      <c r="J91" s="40" t="str">
        <f>IF(J90="","",J90/1.16*Datos!$E$30)</f>
        <v/>
      </c>
      <c r="K91" s="40" t="str">
        <f>IF(K90="","",K90/1.16*Datos!$E$30)</f>
        <v/>
      </c>
      <c r="L91" s="40" t="str">
        <f>IF(L90="","",L90/1.16*Datos!$E$30)</f>
        <v/>
      </c>
      <c r="M91" s="40" t="str">
        <f>IF(M90="","",M90/1.16*Datos!$E$30)</f>
        <v/>
      </c>
    </row>
    <row r="92" ht="8.25" customHeight="1">
      <c r="A92" s="41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</row>
    <row r="93">
      <c r="A93" s="38" t="str">
        <f>Datos!A31</f>
        <v/>
      </c>
      <c r="B93" s="34" t="str">
        <f>IF(Datos!G31=0,"",Datos!G31)</f>
        <v/>
      </c>
      <c r="C93" s="34" t="str">
        <f>IF(Datos!H31=0,"",Datos!H31)</f>
        <v/>
      </c>
      <c r="D93" s="34" t="str">
        <f>IF(Datos!I31=0,"",Datos!I31)</f>
        <v/>
      </c>
      <c r="E93" s="34" t="str">
        <f>IF(Datos!J31=0,"",Datos!J31)</f>
        <v/>
      </c>
      <c r="F93" s="34" t="str">
        <f>IF(Datos!K31=0,"",Datos!K31)</f>
        <v/>
      </c>
      <c r="G93" s="34" t="str">
        <f>IF(Datos!L31=0,"",Datos!L31)</f>
        <v/>
      </c>
      <c r="H93" s="34" t="str">
        <f>IF(Datos!M31=0,"",Datos!M31)</f>
        <v/>
      </c>
      <c r="I93" s="34" t="str">
        <f>IF(Datos!N31=0,"",Datos!N31)</f>
        <v/>
      </c>
      <c r="J93" s="34" t="str">
        <f>IF(Datos!O31=0,"",Datos!O31)</f>
        <v/>
      </c>
      <c r="K93" s="34" t="str">
        <f>IF(Datos!P31=0,"",Datos!P31)</f>
        <v/>
      </c>
      <c r="L93" s="34" t="str">
        <f>IF(Datos!Q31=0,"",Datos!Q31)</f>
        <v/>
      </c>
      <c r="M93" s="34" t="str">
        <f>IF(Datos!R31=0,"",Datos!R31)</f>
        <v/>
      </c>
    </row>
    <row r="94">
      <c r="A94" s="39" t="str">
        <f>Datos!B31</f>
        <v/>
      </c>
      <c r="B94" s="40" t="str">
        <f>IF(B93="","",B93/1.16*Datos!$E$31)</f>
        <v/>
      </c>
      <c r="C94" s="40" t="str">
        <f>IF(C93="","",C93/1.16*Datos!$E$31)</f>
        <v/>
      </c>
      <c r="D94" s="40" t="str">
        <f>IF(D93="","",D93/1.16*Datos!$E$31)</f>
        <v/>
      </c>
      <c r="E94" s="40" t="str">
        <f>IF(E93="","",E93/1.16*Datos!$E$31)</f>
        <v/>
      </c>
      <c r="F94" s="40" t="str">
        <f>IF(F93="","",F93/1.16*Datos!$E$31)</f>
        <v/>
      </c>
      <c r="G94" s="40" t="str">
        <f>IF(G93="","",G93/1.16*Datos!$E$31)</f>
        <v/>
      </c>
      <c r="H94" s="40" t="str">
        <f>IF(H93="","",H93/1.16*Datos!$E$31)</f>
        <v/>
      </c>
      <c r="I94" s="40" t="str">
        <f>IF(I93="","",I93/1.16*Datos!$E$31)</f>
        <v/>
      </c>
      <c r="J94" s="40" t="str">
        <f>IF(J93="","",J93/1.16*Datos!$E$31)</f>
        <v/>
      </c>
      <c r="K94" s="40" t="str">
        <f>IF(K93="","",K93/1.16*Datos!$E$31)</f>
        <v/>
      </c>
      <c r="L94" s="40" t="str">
        <f>IF(L93="","",L93/1.16*Datos!$E$31)</f>
        <v/>
      </c>
      <c r="M94" s="40" t="str">
        <f>IF(M93="","",M93/1.16*Datos!$E$31)</f>
        <v/>
      </c>
    </row>
    <row r="95" ht="8.25" customHeight="1">
      <c r="A95" s="41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</row>
    <row r="96">
      <c r="A96" s="38" t="str">
        <f>Datos!A32</f>
        <v/>
      </c>
      <c r="B96" s="34" t="str">
        <f>IF(Datos!G32=0,"",Datos!G32)</f>
        <v/>
      </c>
      <c r="C96" s="34" t="str">
        <f>IF(Datos!H32=0,"",Datos!H32)</f>
        <v/>
      </c>
      <c r="D96" s="34" t="str">
        <f>IF(Datos!I32=0,"",Datos!I32)</f>
        <v/>
      </c>
      <c r="E96" s="34" t="str">
        <f>IF(Datos!J32=0,"",Datos!J32)</f>
        <v/>
      </c>
      <c r="F96" s="34" t="str">
        <f>IF(Datos!K32=0,"",Datos!K32)</f>
        <v/>
      </c>
      <c r="G96" s="34" t="str">
        <f>IF(Datos!L32=0,"",Datos!L32)</f>
        <v/>
      </c>
      <c r="H96" s="34" t="str">
        <f>IF(Datos!M32=0,"",Datos!M32)</f>
        <v/>
      </c>
      <c r="I96" s="34" t="str">
        <f>IF(Datos!N32=0,"",Datos!N32)</f>
        <v/>
      </c>
      <c r="J96" s="34" t="str">
        <f>IF(Datos!O32=0,"",Datos!O32)</f>
        <v/>
      </c>
      <c r="K96" s="34" t="str">
        <f>IF(Datos!P32=0,"",Datos!P32)</f>
        <v/>
      </c>
      <c r="L96" s="34" t="str">
        <f>IF(Datos!Q32=0,"",Datos!Q32)</f>
        <v/>
      </c>
      <c r="M96" s="34" t="str">
        <f>IF(Datos!R32=0,"",Datos!R32)</f>
        <v/>
      </c>
    </row>
    <row r="97">
      <c r="A97" s="39" t="str">
        <f>Datos!B32</f>
        <v/>
      </c>
      <c r="B97" s="40" t="str">
        <f>IF(B96="","",B96/1.16*Datos!$E$32)</f>
        <v/>
      </c>
      <c r="C97" s="40" t="str">
        <f>IF(C96="","",C96/1.16*Datos!$E$32)</f>
        <v/>
      </c>
      <c r="D97" s="40" t="str">
        <f>IF(D96="","",D96/1.16*Datos!$E$32)</f>
        <v/>
      </c>
      <c r="E97" s="40" t="str">
        <f>IF(E96="","",E96/1.16*Datos!$E$32)</f>
        <v/>
      </c>
      <c r="F97" s="40" t="str">
        <f>IF(F96="","",F96/1.16*Datos!$E$32)</f>
        <v/>
      </c>
      <c r="G97" s="40" t="str">
        <f>IF(G96="","",G96/1.16*Datos!$E$32)</f>
        <v/>
      </c>
      <c r="H97" s="40" t="str">
        <f>IF(H96="","",H96/1.16*Datos!$E$32)</f>
        <v/>
      </c>
      <c r="I97" s="40" t="str">
        <f>IF(I96="","",I96/1.16*Datos!$E$32)</f>
        <v/>
      </c>
      <c r="J97" s="40" t="str">
        <f>IF(J96="","",J96/1.16*Datos!$E$32)</f>
        <v/>
      </c>
      <c r="K97" s="40" t="str">
        <f>IF(K96="","",K96/1.16*Datos!$E$32)</f>
        <v/>
      </c>
      <c r="L97" s="40" t="str">
        <f>IF(L96="","",L96/1.16*Datos!$E$32)</f>
        <v/>
      </c>
      <c r="M97" s="40" t="str">
        <f>IF(M96="","",M96/1.16*Datos!$E$32)</f>
        <v/>
      </c>
    </row>
    <row r="98" ht="8.25" customHeight="1">
      <c r="A98" s="41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</row>
    <row r="99">
      <c r="A99" s="38" t="str">
        <f>Datos!A33</f>
        <v/>
      </c>
      <c r="B99" s="34" t="str">
        <f>IF(Datos!G33=0,"",Datos!G33)</f>
        <v/>
      </c>
      <c r="C99" s="34" t="str">
        <f>IF(Datos!H33=0,"",Datos!H33)</f>
        <v/>
      </c>
      <c r="D99" s="34" t="str">
        <f>IF(Datos!I33=0,"",Datos!I33)</f>
        <v/>
      </c>
      <c r="E99" s="34" t="str">
        <f>IF(Datos!J33=0,"",Datos!J33)</f>
        <v/>
      </c>
      <c r="F99" s="34" t="str">
        <f>IF(Datos!K33=0,"",Datos!K33)</f>
        <v/>
      </c>
      <c r="G99" s="34" t="str">
        <f>IF(Datos!L33=0,"",Datos!L33)</f>
        <v/>
      </c>
      <c r="H99" s="34" t="str">
        <f>IF(Datos!M33=0,"",Datos!M33)</f>
        <v/>
      </c>
      <c r="I99" s="34" t="str">
        <f>IF(Datos!N33=0,"",Datos!N33)</f>
        <v/>
      </c>
      <c r="J99" s="34" t="str">
        <f>IF(Datos!O33=0,"",Datos!O33)</f>
        <v/>
      </c>
      <c r="K99" s="34" t="str">
        <f>IF(Datos!P33=0,"",Datos!P33)</f>
        <v/>
      </c>
      <c r="L99" s="34" t="str">
        <f>IF(Datos!Q33=0,"",Datos!Q33)</f>
        <v/>
      </c>
      <c r="M99" s="34" t="str">
        <f>IF(Datos!R33=0,"",Datos!R33)</f>
        <v/>
      </c>
    </row>
    <row r="100">
      <c r="A100" s="39" t="str">
        <f>Datos!B33</f>
        <v/>
      </c>
      <c r="B100" s="40" t="str">
        <f>IF(B99="","",B99/1.16*Datos!$E$33)</f>
        <v/>
      </c>
      <c r="C100" s="40" t="str">
        <f>IF(C99="","",C99/1.16*Datos!$E$33)</f>
        <v/>
      </c>
      <c r="D100" s="40" t="str">
        <f>IF(D99="","",D99/1.16*Datos!$E$33)</f>
        <v/>
      </c>
      <c r="E100" s="40" t="str">
        <f>IF(E99="","",E99/1.16*Datos!$E$33)</f>
        <v/>
      </c>
      <c r="F100" s="40" t="str">
        <f>IF(F99="","",F99/1.16*Datos!$E$33)</f>
        <v/>
      </c>
      <c r="G100" s="40" t="str">
        <f>IF(G99="","",G99/1.16*Datos!$E$33)</f>
        <v/>
      </c>
      <c r="H100" s="40" t="str">
        <f>IF(H99="","",H99/1.16*Datos!$E$33)</f>
        <v/>
      </c>
      <c r="I100" s="40" t="str">
        <f>IF(I99="","",I99/1.16*Datos!$E$33)</f>
        <v/>
      </c>
      <c r="J100" s="40" t="str">
        <f>IF(J99="","",J99/1.16*Datos!$E$33)</f>
        <v/>
      </c>
      <c r="K100" s="40" t="str">
        <f>IF(K99="","",K99/1.16*Datos!$E$33)</f>
        <v/>
      </c>
      <c r="L100" s="40" t="str">
        <f>IF(L99="","",L99/1.16*Datos!$E$33)</f>
        <v/>
      </c>
      <c r="M100" s="40" t="str">
        <f>IF(M99="","",M99/1.16*Datos!$E$33)</f>
        <v/>
      </c>
    </row>
    <row r="101" ht="8.25" customHeight="1">
      <c r="A101" s="41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</row>
    <row r="102">
      <c r="A102" s="38" t="str">
        <f>Datos!A34</f>
        <v/>
      </c>
      <c r="B102" s="34" t="str">
        <f>IF(Datos!G34=0,"",Datos!G34)</f>
        <v/>
      </c>
      <c r="C102" s="34" t="str">
        <f>IF(Datos!H34=0,"",Datos!H34)</f>
        <v/>
      </c>
      <c r="D102" s="34" t="str">
        <f>IF(Datos!I34=0,"",Datos!I34)</f>
        <v/>
      </c>
      <c r="E102" s="34" t="str">
        <f>IF(Datos!J34=0,"",Datos!J34)</f>
        <v/>
      </c>
      <c r="F102" s="34" t="str">
        <f>IF(Datos!K34=0,"",Datos!K34)</f>
        <v/>
      </c>
      <c r="G102" s="34" t="str">
        <f>IF(Datos!L34=0,"",Datos!L34)</f>
        <v/>
      </c>
      <c r="H102" s="34" t="str">
        <f>IF(Datos!M34=0,"",Datos!M34)</f>
        <v/>
      </c>
      <c r="I102" s="34" t="str">
        <f>IF(Datos!N34=0,"",Datos!N34)</f>
        <v/>
      </c>
      <c r="J102" s="34" t="str">
        <f>IF(Datos!O34=0,"",Datos!O34)</f>
        <v/>
      </c>
      <c r="K102" s="34" t="str">
        <f>IF(Datos!P34=0,"",Datos!P34)</f>
        <v/>
      </c>
      <c r="L102" s="34" t="str">
        <f>IF(Datos!Q34=0,"",Datos!Q34)</f>
        <v/>
      </c>
      <c r="M102" s="34" t="str">
        <f>IF(Datos!R34=0,"",Datos!R34)</f>
        <v/>
      </c>
    </row>
    <row r="103">
      <c r="A103" s="39" t="str">
        <f>Datos!B34</f>
        <v/>
      </c>
      <c r="B103" s="40" t="str">
        <f>IF(B102="","",B102/1.16*Datos!$E$34)</f>
        <v/>
      </c>
      <c r="C103" s="40" t="str">
        <f>IF(C102="","",C102/1.16*Datos!$E$34)</f>
        <v/>
      </c>
      <c r="D103" s="40" t="str">
        <f>IF(D102="","",D102/1.16*Datos!$E$34)</f>
        <v/>
      </c>
      <c r="E103" s="40" t="str">
        <f>IF(E102="","",E102/1.16*Datos!$E$34)</f>
        <v/>
      </c>
      <c r="F103" s="40" t="str">
        <f>IF(F102="","",F102/1.16*Datos!$E$34)</f>
        <v/>
      </c>
      <c r="G103" s="40" t="str">
        <f>IF(G102="","",G102/1.16*Datos!$E$34)</f>
        <v/>
      </c>
      <c r="H103" s="40" t="str">
        <f>IF(H102="","",H102/1.16*Datos!$E$34)</f>
        <v/>
      </c>
      <c r="I103" s="40" t="str">
        <f>IF(I102="","",I102/1.16*Datos!$E$34)</f>
        <v/>
      </c>
      <c r="J103" s="40" t="str">
        <f>IF(J102="","",J102/1.16*Datos!$E$34)</f>
        <v/>
      </c>
      <c r="K103" s="40" t="str">
        <f>IF(K102="","",K102/1.16*Datos!$E$34)</f>
        <v/>
      </c>
      <c r="L103" s="40" t="str">
        <f>IF(L102="","",L102/1.16*Datos!$E$34)</f>
        <v/>
      </c>
      <c r="M103" s="40" t="str">
        <f>IF(M102="","",M102/1.16*Datos!$E$34)</f>
        <v/>
      </c>
    </row>
    <row r="104">
      <c r="A104" s="44"/>
      <c r="B104" s="45"/>
      <c r="C104" s="45"/>
      <c r="D104" s="45"/>
      <c r="E104" s="45"/>
      <c r="F104" s="46"/>
      <c r="G104" s="45"/>
      <c r="H104" s="45"/>
      <c r="I104" s="45"/>
      <c r="J104" s="45"/>
      <c r="K104" s="45"/>
      <c r="L104" s="45"/>
      <c r="M104" s="45"/>
    </row>
    <row r="105">
      <c r="A105" s="28"/>
      <c r="B105" s="11"/>
      <c r="C105" s="11"/>
      <c r="D105" s="11"/>
      <c r="E105" s="11"/>
      <c r="F105" s="47"/>
      <c r="G105" s="11"/>
      <c r="H105" s="11"/>
      <c r="I105" s="11"/>
      <c r="J105" s="11"/>
      <c r="K105" s="11"/>
      <c r="L105" s="11"/>
      <c r="M105" s="11"/>
    </row>
    <row r="106">
      <c r="A106" s="29"/>
      <c r="B106" s="48" t="s">
        <v>6</v>
      </c>
      <c r="C106" s="48" t="s">
        <v>7</v>
      </c>
      <c r="D106" s="49" t="s">
        <v>8</v>
      </c>
      <c r="E106" s="49" t="s">
        <v>9</v>
      </c>
      <c r="F106" s="50" t="s">
        <v>10</v>
      </c>
      <c r="G106" s="48" t="s">
        <v>11</v>
      </c>
      <c r="H106" s="48" t="s">
        <v>12</v>
      </c>
      <c r="I106" s="48" t="s">
        <v>13</v>
      </c>
      <c r="J106" s="48" t="s">
        <v>14</v>
      </c>
      <c r="K106" s="48" t="s">
        <v>15</v>
      </c>
      <c r="L106" s="48" t="s">
        <v>16</v>
      </c>
      <c r="M106" s="48" t="s">
        <v>17</v>
      </c>
    </row>
    <row r="107">
      <c r="A107" s="51" t="str">
        <f>Datos!D38</f>
        <v>Edgar Martell</v>
      </c>
      <c r="B107" s="52" t="str">
        <f>Datos!G38</f>
        <v/>
      </c>
      <c r="C107" s="52" t="str">
        <f>Datos!H38</f>
        <v/>
      </c>
      <c r="D107" s="52" t="str">
        <f>Datos!I38</f>
        <v/>
      </c>
      <c r="E107" s="52" t="str">
        <f>Datos!J38</f>
        <v/>
      </c>
      <c r="F107" s="52" t="str">
        <f>Datos!K38</f>
        <v/>
      </c>
      <c r="G107" s="52" t="str">
        <f>Datos!L38</f>
        <v/>
      </c>
      <c r="H107" s="52" t="str">
        <f>Datos!M38</f>
        <v/>
      </c>
      <c r="I107" s="52" t="str">
        <f>Datos!N38</f>
        <v/>
      </c>
      <c r="J107" s="52" t="str">
        <f>Datos!O38</f>
        <v/>
      </c>
      <c r="K107" s="52" t="str">
        <f>Datos!P38</f>
        <v/>
      </c>
      <c r="L107" s="52" t="str">
        <f>Datos!Q38</f>
        <v/>
      </c>
      <c r="M107" s="52" t="str">
        <f>Datos!R38</f>
        <v/>
      </c>
    </row>
    <row r="108">
      <c r="A108" s="51" t="str">
        <f>Datos!D39</f>
        <v>Gibran Quintero</v>
      </c>
      <c r="B108" s="52" t="str">
        <f>Datos!G39</f>
        <v/>
      </c>
      <c r="C108" s="52" t="str">
        <f>Datos!H39</f>
        <v/>
      </c>
      <c r="D108" s="52" t="str">
        <f>Datos!I39</f>
        <v/>
      </c>
      <c r="E108" s="52" t="str">
        <f>Datos!J39</f>
        <v/>
      </c>
      <c r="F108" s="52" t="str">
        <f>Datos!K39</f>
        <v/>
      </c>
      <c r="G108" s="52" t="str">
        <f>Datos!L39</f>
        <v/>
      </c>
      <c r="H108" s="52" t="str">
        <f>Datos!M39</f>
        <v/>
      </c>
      <c r="I108" s="52" t="str">
        <f>Datos!N39</f>
        <v/>
      </c>
      <c r="J108" s="52">
        <f>Datos!O39</f>
        <v>729</v>
      </c>
      <c r="K108" s="52" t="str">
        <f>Datos!P39</f>
        <v/>
      </c>
      <c r="L108" s="52" t="str">
        <f>Datos!Q39</f>
        <v/>
      </c>
      <c r="M108" s="52">
        <f>Datos!R39</f>
        <v>769</v>
      </c>
    </row>
    <row r="109">
      <c r="A109" s="51" t="str">
        <f>Datos!D40</f>
        <v>Ramiro Castillo</v>
      </c>
      <c r="B109" s="52" t="str">
        <f>Datos!G40</f>
        <v/>
      </c>
      <c r="C109" s="52" t="str">
        <f>Datos!H40</f>
        <v/>
      </c>
      <c r="D109" s="52" t="str">
        <f>Datos!I40</f>
        <v/>
      </c>
      <c r="E109" s="52" t="str">
        <f>Datos!J40</f>
        <v/>
      </c>
      <c r="F109" s="52" t="str">
        <f>Datos!K40</f>
        <v/>
      </c>
      <c r="G109" s="52" t="str">
        <f>Datos!L40</f>
        <v/>
      </c>
      <c r="H109" s="52" t="str">
        <f>Datos!M40</f>
        <v/>
      </c>
      <c r="I109" s="52" t="str">
        <f>Datos!N40</f>
        <v/>
      </c>
      <c r="J109" s="52" t="str">
        <f>Datos!O40</f>
        <v/>
      </c>
      <c r="K109" s="52" t="str">
        <f>Datos!P40</f>
        <v/>
      </c>
      <c r="L109" s="52" t="str">
        <f>Datos!Q40</f>
        <v/>
      </c>
      <c r="M109" s="52" t="str">
        <f>Datos!R40</f>
        <v/>
      </c>
    </row>
    <row r="110">
      <c r="A110" s="51" t="str">
        <f>Datos!D41</f>
        <v>Freddy Alvarez</v>
      </c>
      <c r="B110" s="52" t="str">
        <f>Datos!G41</f>
        <v/>
      </c>
      <c r="C110" s="52" t="str">
        <f>Datos!H41</f>
        <v/>
      </c>
      <c r="D110" s="52" t="str">
        <f>Datos!I41</f>
        <v/>
      </c>
      <c r="E110" s="52">
        <f>Datos!J41</f>
        <v>782</v>
      </c>
      <c r="F110" s="52" t="str">
        <f>Datos!K41</f>
        <v/>
      </c>
      <c r="G110" s="52" t="str">
        <f>Datos!L41</f>
        <v/>
      </c>
      <c r="H110" s="52" t="str">
        <f>Datos!M41</f>
        <v/>
      </c>
      <c r="I110" s="52" t="str">
        <f>Datos!N41</f>
        <v/>
      </c>
      <c r="J110" s="52">
        <f>Datos!O41</f>
        <v>135</v>
      </c>
      <c r="K110" s="52" t="str">
        <f>Datos!P41</f>
        <v/>
      </c>
      <c r="L110" s="52" t="str">
        <f>Datos!Q41</f>
        <v/>
      </c>
      <c r="M110" s="52" t="str">
        <f>Datos!R41</f>
        <v/>
      </c>
    </row>
    <row r="111">
      <c r="A111" s="51" t="str">
        <f>Datos!D42</f>
        <v>Alberto Reyes</v>
      </c>
      <c r="B111" s="52" t="str">
        <f>Datos!G42</f>
        <v/>
      </c>
      <c r="C111" s="52" t="str">
        <f>Datos!H42</f>
        <v/>
      </c>
      <c r="D111" s="52" t="str">
        <f>Datos!I42</f>
        <v/>
      </c>
      <c r="E111" s="52" t="str">
        <f>Datos!J42</f>
        <v/>
      </c>
      <c r="F111" s="52" t="str">
        <f>Datos!K42</f>
        <v/>
      </c>
      <c r="G111" s="52" t="str">
        <f>Datos!L42</f>
        <v/>
      </c>
      <c r="H111" s="52" t="str">
        <f>Datos!M42</f>
        <v/>
      </c>
      <c r="I111" s="52" t="str">
        <f>Datos!N42</f>
        <v/>
      </c>
      <c r="J111" s="52" t="str">
        <f>Datos!O42</f>
        <v/>
      </c>
      <c r="K111" s="52" t="str">
        <f>Datos!P42</f>
        <v/>
      </c>
      <c r="L111" s="52" t="str">
        <f>Datos!Q42</f>
        <v/>
      </c>
      <c r="M111" s="52" t="str">
        <f>Datos!R42</f>
        <v/>
      </c>
    </row>
    <row r="112">
      <c r="A112" s="51" t="str">
        <f>Datos!D43</f>
        <v>Regalos 2023</v>
      </c>
      <c r="B112" s="52" t="str">
        <f>Datos!G43</f>
        <v/>
      </c>
      <c r="C112" s="52" t="str">
        <f>Datos!H43</f>
        <v/>
      </c>
      <c r="D112" s="52" t="str">
        <f>Datos!I43</f>
        <v/>
      </c>
      <c r="E112" s="52" t="str">
        <f>Datos!J43</f>
        <v/>
      </c>
      <c r="F112" s="52" t="str">
        <f>Datos!K43</f>
        <v/>
      </c>
      <c r="G112" s="52" t="str">
        <f>Datos!L43</f>
        <v/>
      </c>
      <c r="H112" s="52" t="str">
        <f>Datos!M43</f>
        <v/>
      </c>
      <c r="I112" s="52" t="str">
        <f>Datos!N43</f>
        <v/>
      </c>
      <c r="J112" s="52" t="str">
        <f>Datos!O43</f>
        <v/>
      </c>
      <c r="K112" s="52" t="str">
        <f>Datos!P43</f>
        <v/>
      </c>
      <c r="L112" s="52">
        <f>Datos!Q43</f>
        <v>29083.13</v>
      </c>
      <c r="M112" s="52" t="str">
        <f>Datos!R43</f>
        <v/>
      </c>
    </row>
    <row r="113">
      <c r="A113" s="51" t="str">
        <f>Datos!D44</f>
        <v/>
      </c>
      <c r="B113" s="52" t="str">
        <f>Datos!G44</f>
        <v/>
      </c>
      <c r="C113" s="52" t="str">
        <f>Datos!H44</f>
        <v/>
      </c>
      <c r="D113" s="52" t="str">
        <f>Datos!I44</f>
        <v/>
      </c>
      <c r="E113" s="52" t="str">
        <f>Datos!J44</f>
        <v/>
      </c>
      <c r="F113" s="52" t="str">
        <f>Datos!K44</f>
        <v/>
      </c>
      <c r="G113" s="52" t="str">
        <f>Datos!L44</f>
        <v/>
      </c>
      <c r="H113" s="52" t="str">
        <f>Datos!M44</f>
        <v/>
      </c>
      <c r="I113" s="52" t="str">
        <f>Datos!N44</f>
        <v/>
      </c>
      <c r="J113" s="52" t="str">
        <f>Datos!O44</f>
        <v/>
      </c>
      <c r="K113" s="52" t="str">
        <f>Datos!P44</f>
        <v/>
      </c>
      <c r="L113" s="52" t="str">
        <f>Datos!Q44</f>
        <v/>
      </c>
      <c r="M113" s="52" t="str">
        <f>Datos!R44</f>
        <v/>
      </c>
    </row>
    <row r="114">
      <c r="A114" s="28"/>
      <c r="B114" s="28"/>
      <c r="C114" s="28"/>
      <c r="D114" s="28"/>
      <c r="E114" s="28"/>
      <c r="F114" s="53"/>
      <c r="G114" s="28"/>
      <c r="H114" s="28"/>
      <c r="I114" s="28"/>
      <c r="J114" s="28"/>
      <c r="K114" s="28"/>
      <c r="L114" s="28"/>
      <c r="M114" s="28"/>
    </row>
    <row r="115">
      <c r="A115" s="28"/>
      <c r="B115" s="28"/>
      <c r="C115" s="28"/>
      <c r="D115" s="28"/>
      <c r="E115" s="28"/>
      <c r="F115" s="53"/>
      <c r="G115" s="28"/>
      <c r="H115" s="28"/>
      <c r="I115" s="28"/>
      <c r="J115" s="28"/>
      <c r="K115" s="28"/>
      <c r="L115" s="28"/>
      <c r="M115" s="28"/>
    </row>
    <row r="116">
      <c r="A116" s="28"/>
      <c r="B116" s="28"/>
      <c r="C116" s="28"/>
      <c r="D116" s="28"/>
      <c r="E116" s="28"/>
      <c r="F116" s="53"/>
      <c r="G116" s="28"/>
      <c r="H116" s="28"/>
      <c r="I116" s="28"/>
      <c r="J116" s="28"/>
      <c r="K116" s="28"/>
      <c r="L116" s="28"/>
      <c r="M116" s="28"/>
    </row>
    <row r="117">
      <c r="A117" s="11"/>
      <c r="B117" s="11"/>
      <c r="C117" s="11"/>
      <c r="D117" s="11"/>
      <c r="E117" s="11"/>
      <c r="F117" s="47"/>
      <c r="G117" s="11"/>
      <c r="H117" s="11"/>
      <c r="I117" s="11"/>
      <c r="J117" s="11"/>
      <c r="K117" s="11"/>
      <c r="L117" s="11"/>
      <c r="M117" s="11"/>
    </row>
    <row r="118">
      <c r="A118" s="54" t="s">
        <v>23</v>
      </c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6"/>
    </row>
    <row r="119">
      <c r="A119" s="28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>
      <c r="A120" s="29"/>
      <c r="B120" s="57" t="s">
        <v>6</v>
      </c>
      <c r="C120" s="57" t="s">
        <v>7</v>
      </c>
      <c r="D120" s="57" t="s">
        <v>8</v>
      </c>
      <c r="E120" s="57" t="s">
        <v>9</v>
      </c>
      <c r="F120" s="57" t="s">
        <v>10</v>
      </c>
      <c r="G120" s="57" t="s">
        <v>11</v>
      </c>
      <c r="H120" s="57" t="s">
        <v>12</v>
      </c>
      <c r="I120" s="57" t="s">
        <v>13</v>
      </c>
      <c r="J120" s="57" t="s">
        <v>14</v>
      </c>
      <c r="K120" s="57" t="s">
        <v>15</v>
      </c>
      <c r="L120" s="57" t="s">
        <v>16</v>
      </c>
      <c r="M120" s="57" t="s">
        <v>17</v>
      </c>
    </row>
    <row r="121">
      <c r="A121" s="58" t="s">
        <v>18</v>
      </c>
      <c r="B121" s="59">
        <f t="shared" ref="B121:M121" si="1">IF(B6="","",B6-SUM(B19,B22,B25,B28,B31,B34,B37,B40,B43,B46,B49,B52,B55,B58,B61,B64,B67,B70,B73,B76,B79,B82,B85,B88,B91,B94,B97,B100,B103)-SUM(B107:B113))</f>
        <v>414189.91</v>
      </c>
      <c r="C121" s="59">
        <f t="shared" si="1"/>
        <v>305637.81</v>
      </c>
      <c r="D121" s="59">
        <f t="shared" si="1"/>
        <v>618934.0986</v>
      </c>
      <c r="E121" s="59">
        <f t="shared" si="1"/>
        <v>318112.2438</v>
      </c>
      <c r="F121" s="59">
        <f t="shared" si="1"/>
        <v>406618.05</v>
      </c>
      <c r="G121" s="59">
        <f t="shared" si="1"/>
        <v>513176.2838</v>
      </c>
      <c r="H121" s="59">
        <f t="shared" si="1"/>
        <v>412521.9193</v>
      </c>
      <c r="I121" s="59">
        <f t="shared" si="1"/>
        <v>309072.0869</v>
      </c>
      <c r="J121" s="59">
        <f t="shared" si="1"/>
        <v>274019.8934</v>
      </c>
      <c r="K121" s="59">
        <f t="shared" si="1"/>
        <v>537750.7734</v>
      </c>
      <c r="L121" s="59">
        <f t="shared" si="1"/>
        <v>308418.7707</v>
      </c>
      <c r="M121" s="59">
        <f t="shared" si="1"/>
        <v>224060.8695</v>
      </c>
    </row>
    <row r="122">
      <c r="A122" s="11"/>
      <c r="B122" s="11"/>
      <c r="C122" s="11"/>
      <c r="D122" s="11"/>
      <c r="E122" s="11"/>
      <c r="F122" s="47"/>
      <c r="G122" s="11"/>
      <c r="H122" s="11"/>
      <c r="I122" s="11"/>
      <c r="J122" s="11"/>
      <c r="K122" s="11"/>
      <c r="L122" s="11"/>
      <c r="M122" s="11"/>
    </row>
    <row r="123">
      <c r="A123" s="60" t="s">
        <v>24</v>
      </c>
      <c r="B123" s="61">
        <f>IF(B6="","",IF(B121&gt;=LCo!$C$14,LCo!$A$14,IF(B121&gt;=LCo!$C$13,LCo!$A$13,IF(B121&gt;=LCo!$C$12,LCo!$A$12,IF(B121&gt;=LCo!$C$11,LCo!$A$11,IF(B121&gt;=LCo!$C$10,LCo!$A$10,IF(B121&gt;=LCo!$C$9,LCo!$A$9,IF(B121&gt;=LCo!$C$8,LCo!$A$8,IF(B121&gt;=LCo!$C$7,LCo!$A$7,IF(B121&gt;=LCo!$C$6,LCo!$A$6,IF(B121&gt;=LCo!$C$5,LCo!$A$5,LCo!$A$4)))))))))))</f>
        <v>0.04</v>
      </c>
      <c r="C123" s="61">
        <f>IF(C6="","",IF(C121&gt;=LCo!$C$14,LCo!$A$14,IF(C121&gt;=LCo!$C$13,LCo!$A$13,IF(C121&gt;=LCo!$C$12,LCo!$A$12,IF(C121&gt;=LCo!$C$11,LCo!$A$11,IF(C121&gt;=LCo!$C$10,LCo!$A$10,IF(C121&gt;=LCo!$C$9,LCo!$A$9,IF(C121&gt;=LCo!$C$8,LCo!$A$8,IF(C121&gt;=LCo!$C$7,LCo!$A$7,IF(C121&gt;=LCo!$C$6,LCo!$A$6,IF(C121&gt;=LCo!$C$5,LCo!$A$5,LCo!$A$4)))))))))))</f>
        <v>0.04</v>
      </c>
      <c r="D123" s="61">
        <f>IF(D6="","",IF(D121&gt;=LCo!$C$14,LCo!$A$14,IF(D121&gt;=LCo!$C$13,LCo!$A$13,IF(D121&gt;=LCo!$C$12,LCo!$A$12,IF(D121&gt;=LCo!$C$11,LCo!$A$11,IF(D121&gt;=LCo!$C$10,LCo!$A$10,IF(D121&gt;=LCo!$C$9,LCo!$A$9,IF(D121&gt;=LCo!$C$8,LCo!$A$8,IF(D121&gt;=LCo!$C$7,LCo!$A$7,IF(D121&gt;=LCo!$C$6,LCo!$A$6,IF(D121&gt;=LCo!$C$5,LCo!$A$5,LCo!$A$4)))))))))))</f>
        <v>0.04</v>
      </c>
      <c r="E123" s="61">
        <f>IF(E6="","",IF(E121&gt;=LCo!$C$14,LCo!$A$14,IF(E121&gt;=LCo!$C$13,LCo!$A$13,IF(E121&gt;=LCo!$C$12,LCo!$A$12,IF(E121&gt;=LCo!$C$11,LCo!$A$11,IF(E121&gt;=LCo!$C$10,LCo!$A$10,IF(E121&gt;=LCo!$C$9,LCo!$A$9,IF(E121&gt;=LCo!$C$8,LCo!$A$8,IF(E121&gt;=LCo!$C$7,LCo!$A$7,IF(E121&gt;=LCo!$C$6,LCo!$A$6,IF(E121&gt;=LCo!$C$5,LCo!$A$5,LCo!$A$4)))))))))))</f>
        <v>0.04</v>
      </c>
      <c r="F123" s="61">
        <f>IF(F6="","",IF(F121&gt;=LCo!$C$14,LCo!$A$14,IF(F121&gt;=LCo!$C$13,LCo!$A$13,IF(F121&gt;=LCo!$C$12,LCo!$A$12,IF(F121&gt;=LCo!$C$11,LCo!$A$11,IF(F121&gt;=LCo!$C$10,LCo!$A$10,IF(F121&gt;=LCo!$C$9,LCo!$A$9,IF(F121&gt;=LCo!$C$8,LCo!$A$8,IF(F121&gt;=LCo!$C$7,LCo!$A$7,IF(F121&gt;=LCo!$C$6,LCo!$A$6,IF(F121&gt;=LCo!$C$5,LCo!$A$5,LCo!$A$4)))))))))))</f>
        <v>0.04</v>
      </c>
      <c r="G123" s="61">
        <f>IF(G6="","",IF(G121&gt;=LCo!$C$14,LCo!$A$14,IF(G121&gt;=LCo!$C$13,LCo!$A$13,IF(G121&gt;=LCo!$C$12,LCo!$A$12,IF(G121&gt;=LCo!$C$11,LCo!$A$11,IF(G121&gt;=LCo!$C$10,LCo!$A$10,IF(G121&gt;=LCo!$C$9,LCo!$A$9,IF(G121&gt;=LCo!$C$8,LCo!$A$8,IF(G121&gt;=LCo!$C$7,LCo!$A$7,IF(G121&gt;=LCo!$C$6,LCo!$A$6,IF(G121&gt;=LCo!$C$5,LCo!$A$5,LCo!$A$4)))))))))))</f>
        <v>0.04</v>
      </c>
      <c r="H123" s="61">
        <f>IF(H6="","",IF(H121&gt;=LCo!$C$14,LCo!$A$14,IF(H121&gt;=LCo!$C$13,LCo!$A$13,IF(H121&gt;=LCo!$C$12,LCo!$A$12,IF(H121&gt;=LCo!$C$11,LCo!$A$11,IF(H121&gt;=LCo!$C$10,LCo!$A$10,IF(H121&gt;=LCo!$C$9,LCo!$A$9,IF(H121&gt;=LCo!$C$8,LCo!$A$8,IF(H121&gt;=LCo!$C$7,LCo!$A$7,IF(H121&gt;=LCo!$C$6,LCo!$A$6,IF(H121&gt;=LCo!$C$5,LCo!$A$5,LCo!$A$4)))))))))))</f>
        <v>0.04</v>
      </c>
      <c r="I123" s="61">
        <f>IF(I6="","",IF(I121&gt;=LCo!$C$14,LCo!$A$14,IF(I121&gt;=LCo!$C$13,LCo!$A$13,IF(I121&gt;=LCo!$C$12,LCo!$A$12,IF(I121&gt;=LCo!$C$11,LCo!$A$11,IF(I121&gt;=LCo!$C$10,LCo!$A$10,IF(I121&gt;=LCo!$C$9,LCo!$A$9,IF(I121&gt;=LCo!$C$8,LCo!$A$8,IF(I121&gt;=LCo!$C$7,LCo!$A$7,IF(I121&gt;=LCo!$C$6,LCo!$A$6,IF(I121&gt;=LCo!$C$5,LCo!$A$5,LCo!$A$4)))))))))))</f>
        <v>0.04</v>
      </c>
      <c r="J123" s="61">
        <f>IF(J6="","",IF(J121&gt;=LCo!$C$14,LCo!$A$14,IF(J121&gt;=LCo!$C$13,LCo!$A$13,IF(J121&gt;=LCo!$C$12,LCo!$A$12,IF(J121&gt;=LCo!$C$11,LCo!$A$11,IF(J121&gt;=LCo!$C$10,LCo!$A$10,IF(J121&gt;=LCo!$C$9,LCo!$A$9,IF(J121&gt;=LCo!$C$8,LCo!$A$8,IF(J121&gt;=LCo!$C$7,LCo!$A$7,IF(J121&gt;=LCo!$C$6,LCo!$A$6,IF(J121&gt;=LCo!$C$5,LCo!$A$5,LCo!$A$4)))))))))))</f>
        <v>0.04</v>
      </c>
      <c r="K123" s="61">
        <f>IF(K6="","",IF(K121&gt;=LCo!$C$14,LCo!$A$14,IF(K121&gt;=LCo!$C$13,LCo!$A$13,IF(K121&gt;=LCo!$C$12,LCo!$A$12,IF(K121&gt;=LCo!$C$11,LCo!$A$11,IF(K121&gt;=LCo!$C$10,LCo!$A$10,IF(K121&gt;=LCo!$C$9,LCo!$A$9,IF(K121&gt;=LCo!$C$8,LCo!$A$8,IF(K121&gt;=LCo!$C$7,LCo!$A$7,IF(K121&gt;=LCo!$C$6,LCo!$A$6,IF(K121&gt;=LCo!$C$5,LCo!$A$5,LCo!$A$4)))))))))))</f>
        <v>0.04</v>
      </c>
      <c r="L123" s="61">
        <f>IF(L6="","",IF(L121&gt;=LCo!$C$14,LCo!$A$14,IF(L121&gt;=LCo!$C$13,LCo!$A$13,IF(L121&gt;=LCo!$C$12,LCo!$A$12,IF(L121&gt;=LCo!$C$11,LCo!$A$11,IF(L121&gt;=LCo!$C$10,LCo!$A$10,IF(L121&gt;=LCo!$C$9,LCo!$A$9,IF(L121&gt;=LCo!$C$8,LCo!$A$8,IF(L121&gt;=LCo!$C$7,LCo!$A$7,IF(L121&gt;=LCo!$C$6,LCo!$A$6,IF(L121&gt;=LCo!$C$5,LCo!$A$5,LCo!$A$4)))))))))))</f>
        <v>0.04</v>
      </c>
      <c r="M123" s="61">
        <f>IF(M6="","",IF(M121&gt;=LCo!$C$14,LCo!$A$14,IF(M121&gt;=LCo!$C$13,LCo!$A$13,IF(M121&gt;=LCo!$C$12,LCo!$A$12,IF(M121&gt;=LCo!$C$11,LCo!$A$11,IF(M121&gt;=LCo!$C$10,LCo!$A$10,IF(M121&gt;=LCo!$C$9,LCo!$A$9,IF(M121&gt;=LCo!$C$8,LCo!$A$8,IF(M121&gt;=LCo!$C$7,LCo!$A$7,IF(M121&gt;=LCo!$C$6,LCo!$A$6,IF(M121&gt;=LCo!$C$5,LCo!$A$5,LCo!$A$4)))))))))))</f>
        <v>0.04</v>
      </c>
    </row>
    <row r="124">
      <c r="A124" s="60" t="s">
        <v>25</v>
      </c>
      <c r="B124" s="62">
        <f t="shared" ref="B124:M124" si="2">IF(B6="","",IF(B123="NA","NA",B123*B121))</f>
        <v>16567.5964</v>
      </c>
      <c r="C124" s="62">
        <f t="shared" si="2"/>
        <v>12225.5124</v>
      </c>
      <c r="D124" s="62">
        <f t="shared" si="2"/>
        <v>24757.36394</v>
      </c>
      <c r="E124" s="62">
        <f t="shared" si="2"/>
        <v>12724.48975</v>
      </c>
      <c r="F124" s="62">
        <f t="shared" si="2"/>
        <v>16264.722</v>
      </c>
      <c r="G124" s="62">
        <f t="shared" si="2"/>
        <v>20527.05135</v>
      </c>
      <c r="H124" s="62">
        <f t="shared" si="2"/>
        <v>16500.87677</v>
      </c>
      <c r="I124" s="62">
        <f t="shared" si="2"/>
        <v>12362.88348</v>
      </c>
      <c r="J124" s="62">
        <f t="shared" si="2"/>
        <v>10960.79574</v>
      </c>
      <c r="K124" s="62">
        <f t="shared" si="2"/>
        <v>21510.03094</v>
      </c>
      <c r="L124" s="62">
        <f t="shared" si="2"/>
        <v>12336.75083</v>
      </c>
      <c r="M124" s="62">
        <f t="shared" si="2"/>
        <v>8962.434779</v>
      </c>
    </row>
    <row r="125">
      <c r="A125" s="60" t="s">
        <v>26</v>
      </c>
      <c r="B125" s="62">
        <f>IF(B6="","",IF(B121&gt;=LCo!$C$14,LCo!$B$14,IF(B121&gt;=LCo!$C$13,LCo!$B$13,IF(B121&gt;=LCo!$C$12,LCo!$B$12,IF(B121&gt;=LCo!$C$11,LCo!$B$11,IF(B121&gt;=LCo!$C$10,LCo!$B$10,IF(B121&gt;=LCo!$C$9,LCo!$B$9,IF(B121&gt;=LCo!$C$8,LCo!$B$8,IF(B121&gt;=LCo!$C$7,LCo!$B$7,IF(B121&gt;=LCo!$C$6,LCo!$B$6,IF(B121&gt;=LCo!$C$5,LCo!$B$5,LCo!$B$4)))))))))))</f>
        <v>20000</v>
      </c>
      <c r="C125" s="62">
        <f>IF(C6="","",IF(C121&gt;=LCo!$C$14,LCo!$B$14,IF(C121&gt;=LCo!$C$13,LCo!$B$13,IF(C121&gt;=LCo!$C$12,LCo!$B$12,IF(C121&gt;=LCo!$C$11,LCo!$B$11,IF(C121&gt;=LCo!$C$10,LCo!$B$10,IF(C121&gt;=LCo!$C$9,LCo!$B$9,IF(C121&gt;=LCo!$C$8,LCo!$B$8,IF(C121&gt;=LCo!$C$7,LCo!$B$7,IF(C121&gt;=LCo!$C$6,LCo!$B$6,IF(C121&gt;=LCo!$C$5,LCo!$B$5,LCo!$B$4)))))))))))</f>
        <v>15000</v>
      </c>
      <c r="D125" s="62">
        <f>IF(D6="","",IF(D121&gt;=LCo!$C$14,LCo!$B$14,IF(D121&gt;=LCo!$C$13,LCo!$B$13,IF(D121&gt;=LCo!$C$12,LCo!$B$12,IF(D121&gt;=LCo!$C$11,LCo!$B$11,IF(D121&gt;=LCo!$C$10,LCo!$B$10,IF(D121&gt;=LCo!$C$9,LCo!$B$9,IF(D121&gt;=LCo!$C$8,LCo!$B$8,IF(D121&gt;=LCo!$C$7,LCo!$B$7,IF(D121&gt;=LCo!$C$6,LCo!$B$6,IF(D121&gt;=LCo!$C$5,LCo!$B$5,LCo!$B$4)))))))))))</f>
        <v>30000</v>
      </c>
      <c r="E125" s="62">
        <f>IF(E6="","",IF(E121&gt;=LCo!$C$14,LCo!$B$14,IF(E121&gt;=LCo!$C$13,LCo!$B$13,IF(E121&gt;=LCo!$C$12,LCo!$B$12,IF(E121&gt;=LCo!$C$11,LCo!$B$11,IF(E121&gt;=LCo!$C$10,LCo!$B$10,IF(E121&gt;=LCo!$C$9,LCo!$B$9,IF(E121&gt;=LCo!$C$8,LCo!$B$8,IF(E121&gt;=LCo!$C$7,LCo!$B$7,IF(E121&gt;=LCo!$C$6,LCo!$B$6,IF(E121&gt;=LCo!$C$5,LCo!$B$5,LCo!$B$4)))))))))))</f>
        <v>15000</v>
      </c>
      <c r="F125" s="62">
        <f>IF(F6="","",IF(F121&gt;=LCo!$C$14,LCo!$B$14,IF(F121&gt;=LCo!$C$13,LCo!$B$13,IF(F121&gt;=LCo!$C$12,LCo!$B$12,IF(F121&gt;=LCo!$C$11,LCo!$B$11,IF(F121&gt;=LCo!$C$10,LCo!$B$10,IF(F121&gt;=LCo!$C$9,LCo!$B$9,IF(F121&gt;=LCo!$C$8,LCo!$B$8,IF(F121&gt;=LCo!$C$7,LCo!$B$7,IF(F121&gt;=LCo!$C$6,LCo!$B$6,IF(F121&gt;=LCo!$C$5,LCo!$B$5,LCo!$B$4)))))))))))</f>
        <v>20000</v>
      </c>
      <c r="G125" s="62">
        <f>IF(G6="","",IF(G121&gt;=LCo!$C$14,LCo!$B$14,IF(G121&gt;=LCo!$C$13,LCo!$B$13,IF(G121&gt;=LCo!$C$12,LCo!$B$12,IF(G121&gt;=LCo!$C$11,LCo!$B$11,IF(G121&gt;=LCo!$C$10,LCo!$B$10,IF(G121&gt;=LCo!$C$9,LCo!$B$9,IF(G121&gt;=LCo!$C$8,LCo!$B$8,IF(G121&gt;=LCo!$C$7,LCo!$B$7,IF(G121&gt;=LCo!$C$6,LCo!$B$6,IF(G121&gt;=LCo!$C$5,LCo!$B$5,LCo!$B$4)))))))))))</f>
        <v>25000</v>
      </c>
      <c r="H125" s="62">
        <f>IF(H6="","",IF(H121&gt;=LCo!$C$14,LCo!$B$14,IF(H121&gt;=LCo!$C$13,LCo!$B$13,IF(H121&gt;=LCo!$C$12,LCo!$B$12,IF(H121&gt;=LCo!$C$11,LCo!$B$11,IF(H121&gt;=LCo!$C$10,LCo!$B$10,IF(H121&gt;=LCo!$C$9,LCo!$B$9,IF(H121&gt;=LCo!$C$8,LCo!$B$8,IF(H121&gt;=LCo!$C$7,LCo!$B$7,IF(H121&gt;=LCo!$C$6,LCo!$B$6,IF(H121&gt;=LCo!$C$5,LCo!$B$5,LCo!$B$4)))))))))))</f>
        <v>20000</v>
      </c>
      <c r="I125" s="62">
        <f>IF(I6="","",IF(I121&gt;=LCo!$C$14,LCo!$B$14,IF(I121&gt;=LCo!$C$13,LCo!$B$13,IF(I121&gt;=LCo!$C$12,LCo!$B$12,IF(I121&gt;=LCo!$C$11,LCo!$B$11,IF(I121&gt;=LCo!$C$10,LCo!$B$10,IF(I121&gt;=LCo!$C$9,LCo!$B$9,IF(I121&gt;=LCo!$C$8,LCo!$B$8,IF(I121&gt;=LCo!$C$7,LCo!$B$7,IF(I121&gt;=LCo!$C$6,LCo!$B$6,IF(I121&gt;=LCo!$C$5,LCo!$B$5,LCo!$B$4)))))))))))</f>
        <v>15000</v>
      </c>
      <c r="J125" s="62">
        <f>IF(J6="","",IF(J121&gt;=LCo!$C$14,LCo!$B$14,IF(J121&gt;=LCo!$C$13,LCo!$B$13,IF(J121&gt;=LCo!$C$12,LCo!$B$12,IF(J121&gt;=LCo!$C$11,LCo!$B$11,IF(J121&gt;=LCo!$C$10,LCo!$B$10,IF(J121&gt;=LCo!$C$9,LCo!$B$9,IF(J121&gt;=LCo!$C$8,LCo!$B$8,IF(J121&gt;=LCo!$C$7,LCo!$B$7,IF(J121&gt;=LCo!$C$6,LCo!$B$6,IF(J121&gt;=LCo!$C$5,LCo!$B$5,LCo!$B$4)))))))))))</f>
        <v>10000</v>
      </c>
      <c r="K125" s="62">
        <f>IF(K6="","",IF(K121&gt;=LCo!$C$14,LCo!$B$14,IF(K121&gt;=LCo!$C$13,LCo!$B$13,IF(K121&gt;=LCo!$C$12,LCo!$B$12,IF(K121&gt;=LCo!$C$11,LCo!$B$11,IF(K121&gt;=LCo!$C$10,LCo!$B$10,IF(K121&gt;=LCo!$C$9,LCo!$B$9,IF(K121&gt;=LCo!$C$8,LCo!$B$8,IF(K121&gt;=LCo!$C$7,LCo!$B$7,IF(K121&gt;=LCo!$C$6,LCo!$B$6,IF(K121&gt;=LCo!$C$5,LCo!$B$5,LCo!$B$4)))))))))))</f>
        <v>25000</v>
      </c>
      <c r="L125" s="62">
        <f>IF(L6="","",IF(L121&gt;=LCo!$C$14,LCo!$B$14,IF(L121&gt;=LCo!$C$13,LCo!$B$13,IF(L121&gt;=LCo!$C$12,LCo!$B$12,IF(L121&gt;=LCo!$C$11,LCo!$B$11,IF(L121&gt;=LCo!$C$10,LCo!$B$10,IF(L121&gt;=LCo!$C$9,LCo!$B$9,IF(L121&gt;=LCo!$C$8,LCo!$B$8,IF(L121&gt;=LCo!$C$7,LCo!$B$7,IF(L121&gt;=LCo!$C$6,LCo!$B$6,IF(L121&gt;=LCo!$C$5,LCo!$B$5,LCo!$B$4)))))))))))</f>
        <v>15000</v>
      </c>
      <c r="M125" s="62">
        <f>IF(M6="","",IF(M121&gt;=LCo!$C$14,LCo!$B$14,IF(M121&gt;=LCo!$C$13,LCo!$B$13,IF(M121&gt;=LCo!$C$12,LCo!$B$12,IF(M121&gt;=LCo!$C$11,LCo!$B$11,IF(M121&gt;=LCo!$C$10,LCo!$B$10,IF(M121&gt;=LCo!$C$9,LCo!$B$9,IF(M121&gt;=LCo!$C$8,LCo!$B$8,IF(M121&gt;=LCo!$C$7,LCo!$B$7,IF(M121&gt;=LCo!$C$6,LCo!$B$6,IF(M121&gt;=LCo!$C$5,LCo!$B$5,LCo!$B$4)))))))))))</f>
        <v>10000</v>
      </c>
    </row>
    <row r="126">
      <c r="A126" s="63"/>
      <c r="B126" s="64">
        <v>44866.0</v>
      </c>
      <c r="C126" s="64">
        <v>44896.0</v>
      </c>
    </row>
    <row r="127">
      <c r="A127" s="65" t="s">
        <v>27</v>
      </c>
      <c r="B127" s="66">
        <v>1434487.36</v>
      </c>
      <c r="C127" s="66">
        <v>1265104.83</v>
      </c>
    </row>
    <row r="128">
      <c r="A128" s="65" t="s">
        <v>25</v>
      </c>
      <c r="B128" s="66">
        <v>26162.72</v>
      </c>
      <c r="C128" s="66">
        <v>26916.65</v>
      </c>
      <c r="D128" s="67"/>
      <c r="E128" s="67"/>
      <c r="F128" s="67"/>
      <c r="G128" s="67"/>
      <c r="H128" s="67"/>
      <c r="I128" s="67"/>
      <c r="J128" s="67"/>
      <c r="K128" s="67"/>
      <c r="L128" s="67"/>
      <c r="M128" s="67"/>
    </row>
    <row r="129">
      <c r="F129" s="68"/>
    </row>
    <row r="130">
      <c r="A130" s="15"/>
    </row>
    <row r="131">
      <c r="A131" s="69" t="s">
        <v>28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4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>
      <c r="A133" s="70" t="s">
        <v>29</v>
      </c>
      <c r="B133" s="71" t="s">
        <v>6</v>
      </c>
      <c r="C133" s="71" t="s">
        <v>7</v>
      </c>
      <c r="D133" s="71" t="s">
        <v>8</v>
      </c>
      <c r="E133" s="71" t="s">
        <v>9</v>
      </c>
      <c r="F133" s="71" t="s">
        <v>10</v>
      </c>
      <c r="G133" s="71" t="s">
        <v>11</v>
      </c>
      <c r="H133" s="71" t="s">
        <v>12</v>
      </c>
      <c r="I133" s="71" t="s">
        <v>13</v>
      </c>
      <c r="J133" s="71" t="s">
        <v>14</v>
      </c>
      <c r="K133" s="71" t="s">
        <v>15</v>
      </c>
      <c r="L133" s="71" t="s">
        <v>16</v>
      </c>
      <c r="M133" s="71" t="s">
        <v>17</v>
      </c>
    </row>
    <row r="134">
      <c r="A134" s="72" t="s">
        <v>30</v>
      </c>
      <c r="B134" s="73" t="s">
        <v>31</v>
      </c>
      <c r="C134" s="73" t="s">
        <v>32</v>
      </c>
      <c r="D134" s="73" t="s">
        <v>6</v>
      </c>
      <c r="E134" s="73" t="s">
        <v>7</v>
      </c>
      <c r="F134" s="73" t="s">
        <v>8</v>
      </c>
      <c r="G134" s="73" t="s">
        <v>9</v>
      </c>
      <c r="H134" s="73" t="s">
        <v>10</v>
      </c>
      <c r="I134" s="73" t="s">
        <v>11</v>
      </c>
      <c r="J134" s="73" t="s">
        <v>12</v>
      </c>
      <c r="K134" s="73" t="s">
        <v>13</v>
      </c>
      <c r="L134" s="73" t="s">
        <v>14</v>
      </c>
      <c r="M134" s="73" t="s">
        <v>15</v>
      </c>
    </row>
    <row r="135" ht="15.0" customHeight="1">
      <c r="A135" s="70" t="s">
        <v>33</v>
      </c>
      <c r="B135" s="34">
        <f>Datos!G49</f>
        <v>124061.58</v>
      </c>
      <c r="C135" s="34">
        <f>Datos!H49</f>
        <v>106061.06</v>
      </c>
      <c r="D135" s="34">
        <f>Datos!I49</f>
        <v>103982.02</v>
      </c>
      <c r="E135" s="34">
        <f>Datos!J49</f>
        <v>206886.83</v>
      </c>
      <c r="F135" s="34">
        <f>Datos!K49</f>
        <v>83248.06</v>
      </c>
      <c r="G135" s="34">
        <f>Datos!L49</f>
        <v>104718.7</v>
      </c>
      <c r="H135" s="34">
        <f>Datos!M49</f>
        <v>86559.71</v>
      </c>
      <c r="I135" s="34">
        <f>Datos!N49</f>
        <v>166849.17</v>
      </c>
      <c r="J135" s="34">
        <f>Datos!O49</f>
        <v>141258.93</v>
      </c>
      <c r="K135" s="34">
        <f>Datos!P49</f>
        <v>148536.62</v>
      </c>
      <c r="L135" s="34">
        <f>Datos!Q49</f>
        <v>141854.37</v>
      </c>
      <c r="M135" s="34">
        <f>Datos!R49</f>
        <v>242275.4</v>
      </c>
    </row>
    <row r="136" ht="15.0" customHeight="1">
      <c r="A136" s="70" t="s">
        <v>34</v>
      </c>
      <c r="B136" s="74">
        <f t="shared" ref="B136:C136" si="3">IF(B135="","",B135/B127)</f>
        <v>0.08648495864</v>
      </c>
      <c r="C136" s="74">
        <f t="shared" si="3"/>
        <v>0.08383578774</v>
      </c>
      <c r="D136" s="74">
        <f t="shared" ref="D136:M136" si="4">IF(D135="","",D135/B15)</f>
        <v>0.06900102642</v>
      </c>
      <c r="E136" s="74">
        <f t="shared" si="4"/>
        <v>0.1941978457</v>
      </c>
      <c r="F136" s="74">
        <f t="shared" si="4"/>
        <v>0.04083878711</v>
      </c>
      <c r="G136" s="74">
        <f t="shared" si="4"/>
        <v>0.09446365223</v>
      </c>
      <c r="H136" s="74">
        <f t="shared" si="4"/>
        <v>0.06292838161</v>
      </c>
      <c r="I136" s="74">
        <f t="shared" si="4"/>
        <v>0.1187754164</v>
      </c>
      <c r="J136" s="74">
        <f t="shared" si="4"/>
        <v>0.1037681775</v>
      </c>
      <c r="K136" s="74">
        <f t="shared" si="4"/>
        <v>0.1435441404</v>
      </c>
      <c r="L136" s="74">
        <f t="shared" si="4"/>
        <v>0.1532357401</v>
      </c>
      <c r="M136" s="74">
        <f t="shared" si="4"/>
        <v>0.1292899353</v>
      </c>
    </row>
    <row r="137" ht="15.0" customHeight="1">
      <c r="A137" s="70" t="s">
        <v>35</v>
      </c>
      <c r="B137" s="75">
        <f t="shared" ref="B137:C137" si="5">IF(B136="","",IF(B128="NA","NA",B136*B128))</f>
        <v>2262.681757</v>
      </c>
      <c r="C137" s="75">
        <f t="shared" si="5"/>
        <v>2256.578556</v>
      </c>
      <c r="D137" s="75">
        <f t="shared" ref="D137:M137" si="6">IF(D136="","",IF(B124="NA","NA",D136*B124))</f>
        <v>1143.181157</v>
      </c>
      <c r="E137" s="75">
        <f t="shared" si="6"/>
        <v>2374.16817</v>
      </c>
      <c r="F137" s="75">
        <f t="shared" si="6"/>
        <v>1011.060716</v>
      </c>
      <c r="G137" s="75">
        <f t="shared" si="6"/>
        <v>1202.001775</v>
      </c>
      <c r="H137" s="75">
        <f t="shared" si="6"/>
        <v>1023.512633</v>
      </c>
      <c r="I137" s="75">
        <f t="shared" si="6"/>
        <v>2438.109073</v>
      </c>
      <c r="J137" s="75">
        <f t="shared" si="6"/>
        <v>1712.26591</v>
      </c>
      <c r="K137" s="75">
        <f t="shared" si="6"/>
        <v>1774.619482</v>
      </c>
      <c r="L137" s="75">
        <f t="shared" si="6"/>
        <v>1679.585647</v>
      </c>
      <c r="M137" s="75">
        <f t="shared" si="6"/>
        <v>2781.030508</v>
      </c>
    </row>
    <row r="138">
      <c r="A138" s="41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>
      <c r="A139" s="70" t="s">
        <v>29</v>
      </c>
      <c r="B139" s="71" t="s">
        <v>6</v>
      </c>
      <c r="C139" s="71" t="s">
        <v>7</v>
      </c>
      <c r="D139" s="71" t="s">
        <v>8</v>
      </c>
      <c r="E139" s="71" t="s">
        <v>9</v>
      </c>
      <c r="F139" s="71" t="s">
        <v>10</v>
      </c>
      <c r="G139" s="71" t="s">
        <v>11</v>
      </c>
      <c r="H139" s="71" t="s">
        <v>12</v>
      </c>
      <c r="I139" s="71" t="s">
        <v>13</v>
      </c>
      <c r="J139" s="71" t="s">
        <v>14</v>
      </c>
      <c r="K139" s="71" t="s">
        <v>15</v>
      </c>
      <c r="L139" s="71" t="s">
        <v>16</v>
      </c>
      <c r="M139" s="71" t="s">
        <v>17</v>
      </c>
    </row>
    <row r="140">
      <c r="A140" s="72" t="s">
        <v>30</v>
      </c>
      <c r="B140" s="73" t="s">
        <v>32</v>
      </c>
      <c r="C140" s="73" t="s">
        <v>6</v>
      </c>
      <c r="D140" s="76" t="s">
        <v>7</v>
      </c>
      <c r="E140" s="76" t="s">
        <v>8</v>
      </c>
      <c r="F140" s="76" t="s">
        <v>9</v>
      </c>
      <c r="G140" s="76" t="s">
        <v>10</v>
      </c>
      <c r="H140" s="76" t="s">
        <v>11</v>
      </c>
      <c r="I140" s="76" t="s">
        <v>12</v>
      </c>
      <c r="J140" s="76" t="s">
        <v>13</v>
      </c>
      <c r="K140" s="76" t="s">
        <v>14</v>
      </c>
      <c r="L140" s="76" t="s">
        <v>15</v>
      </c>
      <c r="M140" s="76" t="s">
        <v>16</v>
      </c>
    </row>
    <row r="141" ht="15.0" customHeight="1">
      <c r="A141" s="70" t="s">
        <v>33</v>
      </c>
      <c r="B141" s="34">
        <f>Datos!G51</f>
        <v>854409.52</v>
      </c>
      <c r="C141" s="34">
        <f>Datos!H51</f>
        <v>903458.79</v>
      </c>
      <c r="D141" s="34">
        <f>Datos!I51</f>
        <v>572924.93</v>
      </c>
      <c r="E141" s="34">
        <f>Datos!J51</f>
        <v>1609542.81</v>
      </c>
      <c r="F141" s="34">
        <f>Datos!K51</f>
        <v>880218.51</v>
      </c>
      <c r="G141" s="34">
        <f>Datos!L51</f>
        <v>867565.65</v>
      </c>
      <c r="H141" s="34">
        <f>Datos!M51</f>
        <v>1173615.66</v>
      </c>
      <c r="I141" s="34">
        <f>Datos!N51</f>
        <v>1056720.21</v>
      </c>
      <c r="J141" s="34">
        <f>Datos!O51</f>
        <v>647241.7</v>
      </c>
      <c r="K141" s="34">
        <f>Datos!P51</f>
        <v>579023.24</v>
      </c>
      <c r="L141" s="34">
        <f>Datos!Q51</f>
        <v>1004154.54</v>
      </c>
      <c r="M141" s="34">
        <f>Datos!R51</f>
        <v>610598.01</v>
      </c>
    </row>
    <row r="142" ht="15.0" customHeight="1">
      <c r="A142" s="70" t="s">
        <v>36</v>
      </c>
      <c r="B142" s="74">
        <f>IF(B141="","",B141/C127)</f>
        <v>0.6753665781</v>
      </c>
      <c r="C142" s="74">
        <f t="shared" ref="C142:M142" si="7">IF(C141="","",C141/B15)</f>
        <v>0.5995227236</v>
      </c>
      <c r="D142" s="74">
        <f t="shared" si="7"/>
        <v>0.5377857408</v>
      </c>
      <c r="E142" s="74">
        <f t="shared" si="7"/>
        <v>0.7895892849</v>
      </c>
      <c r="F142" s="74">
        <f t="shared" si="7"/>
        <v>0.7940191696</v>
      </c>
      <c r="G142" s="74">
        <f t="shared" si="7"/>
        <v>0.63071494</v>
      </c>
      <c r="H142" s="74">
        <f t="shared" si="7"/>
        <v>0.8354652814</v>
      </c>
      <c r="I142" s="74">
        <f t="shared" si="7"/>
        <v>0.776261935</v>
      </c>
      <c r="J142" s="74">
        <f t="shared" si="7"/>
        <v>0.6254871929</v>
      </c>
      <c r="K142" s="74">
        <f t="shared" si="7"/>
        <v>0.6254798826</v>
      </c>
      <c r="L142" s="74">
        <f t="shared" si="7"/>
        <v>0.5358656946</v>
      </c>
      <c r="M142" s="74">
        <f t="shared" si="7"/>
        <v>0.5085911792</v>
      </c>
    </row>
    <row r="143" ht="15.0" customHeight="1">
      <c r="A143" s="70" t="s">
        <v>37</v>
      </c>
      <c r="B143" s="75">
        <f>IF(B142="","",IF(C128="NA","NA",B142*C128))</f>
        <v>18178.6058</v>
      </c>
      <c r="C143" s="75">
        <f t="shared" ref="C143:M143" si="8">IF(C142="","",IF(B124="NA","NA",C142*B124))</f>
        <v>9932.650518</v>
      </c>
      <c r="D143" s="75">
        <f t="shared" si="8"/>
        <v>6574.706243</v>
      </c>
      <c r="E143" s="75">
        <f t="shared" si="8"/>
        <v>19548.14929</v>
      </c>
      <c r="F143" s="75">
        <f t="shared" si="8"/>
        <v>10103.48879</v>
      </c>
      <c r="G143" s="75">
        <f t="shared" si="8"/>
        <v>10258.40316</v>
      </c>
      <c r="H143" s="75">
        <f t="shared" si="8"/>
        <v>17149.63873</v>
      </c>
      <c r="I143" s="75">
        <f t="shared" si="8"/>
        <v>12809.00253</v>
      </c>
      <c r="J143" s="75">
        <f t="shared" si="8"/>
        <v>7732.825281</v>
      </c>
      <c r="K143" s="75">
        <f t="shared" si="8"/>
        <v>6855.757231</v>
      </c>
      <c r="L143" s="75">
        <f t="shared" si="8"/>
        <v>11526.48767</v>
      </c>
      <c r="M143" s="75">
        <f t="shared" si="8"/>
        <v>6274.362651</v>
      </c>
    </row>
    <row r="144">
      <c r="A144" s="7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>
      <c r="A145" s="70" t="s">
        <v>29</v>
      </c>
      <c r="B145" s="71" t="s">
        <v>6</v>
      </c>
      <c r="C145" s="71" t="s">
        <v>7</v>
      </c>
      <c r="D145" s="71" t="s">
        <v>8</v>
      </c>
      <c r="E145" s="71" t="s">
        <v>9</v>
      </c>
      <c r="F145" s="71" t="s">
        <v>10</v>
      </c>
      <c r="G145" s="71" t="s">
        <v>11</v>
      </c>
      <c r="H145" s="71" t="s">
        <v>12</v>
      </c>
      <c r="I145" s="71" t="s">
        <v>13</v>
      </c>
      <c r="J145" s="71" t="s">
        <v>14</v>
      </c>
      <c r="K145" s="71" t="s">
        <v>15</v>
      </c>
      <c r="L145" s="71" t="s">
        <v>16</v>
      </c>
      <c r="M145" s="71" t="s">
        <v>17</v>
      </c>
    </row>
    <row r="146">
      <c r="A146" s="72" t="s">
        <v>30</v>
      </c>
      <c r="B146" s="73" t="s">
        <v>6</v>
      </c>
      <c r="C146" s="73" t="s">
        <v>7</v>
      </c>
      <c r="D146" s="76" t="s">
        <v>8</v>
      </c>
      <c r="E146" s="76" t="s">
        <v>9</v>
      </c>
      <c r="F146" s="76" t="s">
        <v>10</v>
      </c>
      <c r="G146" s="76" t="s">
        <v>11</v>
      </c>
      <c r="H146" s="76" t="s">
        <v>12</v>
      </c>
      <c r="I146" s="76" t="s">
        <v>13</v>
      </c>
      <c r="J146" s="76" t="s">
        <v>14</v>
      </c>
      <c r="K146" s="76" t="s">
        <v>15</v>
      </c>
      <c r="L146" s="76" t="s">
        <v>16</v>
      </c>
      <c r="M146" s="76" t="s">
        <v>17</v>
      </c>
    </row>
    <row r="147" ht="15.0" customHeight="1">
      <c r="A147" s="70" t="s">
        <v>33</v>
      </c>
      <c r="B147" s="34">
        <f>Datos!G53</f>
        <v>136960.08</v>
      </c>
      <c r="C147" s="34">
        <f>Datos!H53</f>
        <v>178822.84</v>
      </c>
      <c r="D147" s="34">
        <f>Datos!I53</f>
        <v>269218.67</v>
      </c>
      <c r="E147" s="34">
        <f>Datos!J53</f>
        <v>90877.8</v>
      </c>
      <c r="F147" s="34">
        <f>Datos!K53</f>
        <v>311881.13</v>
      </c>
      <c r="G147" s="34">
        <f>Datos!L53</f>
        <v>72262.51</v>
      </c>
      <c r="H147" s="34">
        <f>Datos!M53</f>
        <v>113287.33</v>
      </c>
      <c r="I147" s="34">
        <f>Datos!N53</f>
        <v>234155.16</v>
      </c>
      <c r="J147" s="34">
        <f>Datos!O53</f>
        <v>208668.3</v>
      </c>
      <c r="K147" s="34">
        <f>Datos!P53</f>
        <v>601695.81</v>
      </c>
      <c r="L147" s="34">
        <f>Datos!Q53</f>
        <v>222568.32</v>
      </c>
      <c r="M147" s="34">
        <f>Datos!R53</f>
        <v>191089.48</v>
      </c>
    </row>
    <row r="148" ht="15.0" customHeight="1">
      <c r="A148" s="70" t="s">
        <v>38</v>
      </c>
      <c r="B148" s="74">
        <f t="shared" ref="B148:M148" si="9">IF(B147="","",B147/B15)</f>
        <v>0.09088480969</v>
      </c>
      <c r="C148" s="74">
        <f t="shared" si="9"/>
        <v>0.1678551036</v>
      </c>
      <c r="D148" s="74">
        <f t="shared" si="9"/>
        <v>0.1320699119</v>
      </c>
      <c r="E148" s="74">
        <f t="shared" si="9"/>
        <v>0.08197818436</v>
      </c>
      <c r="F148" s="74">
        <f t="shared" si="9"/>
        <v>0.2267356807</v>
      </c>
      <c r="G148" s="74">
        <f t="shared" si="9"/>
        <v>0.05144172859</v>
      </c>
      <c r="H148" s="74">
        <f t="shared" si="9"/>
        <v>0.0832203654</v>
      </c>
      <c r="I148" s="74">
        <f t="shared" si="9"/>
        <v>0.2262849469</v>
      </c>
      <c r="J148" s="74">
        <f t="shared" si="9"/>
        <v>0.2254103372</v>
      </c>
      <c r="K148" s="74">
        <f t="shared" si="9"/>
        <v>0.3210941447</v>
      </c>
      <c r="L148" s="74">
        <f t="shared" si="9"/>
        <v>0.1853859372</v>
      </c>
      <c r="M148" s="74">
        <f t="shared" si="9"/>
        <v>0.2525568059</v>
      </c>
    </row>
    <row r="149" ht="15.0" customHeight="1">
      <c r="A149" s="70" t="s">
        <v>39</v>
      </c>
      <c r="B149" s="75">
        <f t="shared" ref="B149:M149" si="10">IF(B148="","",IF(B124="NA","NA",B148*B124))</f>
        <v>1505.742846</v>
      </c>
      <c r="C149" s="75">
        <f t="shared" si="10"/>
        <v>2052.114651</v>
      </c>
      <c r="D149" s="75">
        <f t="shared" si="10"/>
        <v>3269.702875</v>
      </c>
      <c r="E149" s="75">
        <f t="shared" si="10"/>
        <v>1043.130567</v>
      </c>
      <c r="F149" s="75">
        <f t="shared" si="10"/>
        <v>3687.792814</v>
      </c>
      <c r="G149" s="75">
        <f t="shared" si="10"/>
        <v>1055.947004</v>
      </c>
      <c r="H149" s="75">
        <f t="shared" si="10"/>
        <v>1373.208994</v>
      </c>
      <c r="I149" s="75">
        <f t="shared" si="10"/>
        <v>2797.534431</v>
      </c>
      <c r="J149" s="75">
        <f t="shared" si="10"/>
        <v>2470.676664</v>
      </c>
      <c r="K149" s="75">
        <f t="shared" si="10"/>
        <v>6906.744986</v>
      </c>
      <c r="L149" s="75">
        <f t="shared" si="10"/>
        <v>2287.060114</v>
      </c>
      <c r="M149" s="75">
        <f t="shared" si="10"/>
        <v>2263.523901</v>
      </c>
    </row>
    <row r="150">
      <c r="A150" s="7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</row>
    <row r="151">
      <c r="A151" s="70" t="s">
        <v>40</v>
      </c>
      <c r="B151" s="78">
        <f t="shared" ref="B151:M151" si="11">IF(B6="","",SUM(IF(OR(B137="",B137="NA"),0,B137),IF(OR(B143="",B143="NA"),0,B143),IF(OR(B149="",B149="NA"),0,B149)))</f>
        <v>21947.03041</v>
      </c>
      <c r="C151" s="78">
        <f t="shared" si="11"/>
        <v>14241.34372</v>
      </c>
      <c r="D151" s="78">
        <f t="shared" si="11"/>
        <v>10987.59027</v>
      </c>
      <c r="E151" s="78">
        <f t="shared" si="11"/>
        <v>22965.44803</v>
      </c>
      <c r="F151" s="78">
        <f t="shared" si="11"/>
        <v>14802.34232</v>
      </c>
      <c r="G151" s="78">
        <f t="shared" si="11"/>
        <v>12516.35194</v>
      </c>
      <c r="H151" s="78">
        <f t="shared" si="11"/>
        <v>19546.36036</v>
      </c>
      <c r="I151" s="78">
        <f t="shared" si="11"/>
        <v>18044.64604</v>
      </c>
      <c r="J151" s="78">
        <f t="shared" si="11"/>
        <v>11915.76785</v>
      </c>
      <c r="K151" s="78">
        <f t="shared" si="11"/>
        <v>15537.1217</v>
      </c>
      <c r="L151" s="78">
        <f t="shared" si="11"/>
        <v>15493.13343</v>
      </c>
      <c r="M151" s="78">
        <f t="shared" si="11"/>
        <v>11318.91706</v>
      </c>
    </row>
    <row r="152">
      <c r="A152" s="79"/>
    </row>
    <row r="153">
      <c r="A153" s="79"/>
    </row>
    <row r="154">
      <c r="A154" s="79"/>
    </row>
    <row r="155">
      <c r="A155" s="79"/>
    </row>
    <row r="156">
      <c r="A156" s="80"/>
      <c r="B156" s="81" t="s">
        <v>6</v>
      </c>
      <c r="C156" s="81" t="s">
        <v>7</v>
      </c>
      <c r="D156" s="81" t="s">
        <v>8</v>
      </c>
      <c r="E156" s="81" t="s">
        <v>9</v>
      </c>
      <c r="F156" s="81" t="s">
        <v>10</v>
      </c>
      <c r="G156" s="81" t="s">
        <v>11</v>
      </c>
      <c r="H156" s="81" t="s">
        <v>12</v>
      </c>
      <c r="I156" s="81" t="s">
        <v>13</v>
      </c>
      <c r="J156" s="81" t="s">
        <v>14</v>
      </c>
      <c r="K156" s="81" t="s">
        <v>15</v>
      </c>
      <c r="L156" s="81" t="s">
        <v>16</v>
      </c>
      <c r="M156" s="81" t="s">
        <v>17</v>
      </c>
    </row>
    <row r="157" ht="30.0" customHeight="1">
      <c r="A157" s="82" t="s">
        <v>41</v>
      </c>
      <c r="B157" s="83">
        <f t="shared" ref="B157:M157" si="12">IF(B6="","",(IF(B125="NA",0,B125)+B151)*0.88)</f>
        <v>36913.38676</v>
      </c>
      <c r="C157" s="83">
        <f t="shared" si="12"/>
        <v>25732.38248</v>
      </c>
      <c r="D157" s="83">
        <f t="shared" si="12"/>
        <v>36069.07944</v>
      </c>
      <c r="E157" s="83">
        <f t="shared" si="12"/>
        <v>33409.59427</v>
      </c>
      <c r="F157" s="83">
        <f t="shared" si="12"/>
        <v>30626.06124</v>
      </c>
      <c r="G157" s="83">
        <f t="shared" si="12"/>
        <v>33014.38971</v>
      </c>
      <c r="H157" s="83">
        <f t="shared" si="12"/>
        <v>34800.79712</v>
      </c>
      <c r="I157" s="83">
        <f t="shared" si="12"/>
        <v>29079.28851</v>
      </c>
      <c r="J157" s="83">
        <f t="shared" si="12"/>
        <v>19285.87571</v>
      </c>
      <c r="K157" s="83">
        <f t="shared" si="12"/>
        <v>35672.6671</v>
      </c>
      <c r="L157" s="83">
        <f t="shared" si="12"/>
        <v>26833.95742</v>
      </c>
      <c r="M157" s="83">
        <f t="shared" si="12"/>
        <v>18760.64701</v>
      </c>
    </row>
    <row r="158">
      <c r="A158" s="84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</row>
    <row r="159">
      <c r="A159" s="86" t="s">
        <v>42</v>
      </c>
      <c r="B159" s="87" t="s">
        <v>43</v>
      </c>
      <c r="C159" s="88" t="s">
        <v>44</v>
      </c>
      <c r="D159" s="88" t="s">
        <v>44</v>
      </c>
      <c r="E159" s="88" t="s">
        <v>44</v>
      </c>
      <c r="F159" s="88" t="s">
        <v>44</v>
      </c>
      <c r="G159" s="88" t="s">
        <v>44</v>
      </c>
      <c r="H159" s="88" t="s">
        <v>44</v>
      </c>
      <c r="I159" s="88" t="s">
        <v>44</v>
      </c>
      <c r="J159" s="88" t="s">
        <v>44</v>
      </c>
      <c r="K159" s="88" t="s">
        <v>44</v>
      </c>
      <c r="L159" s="88" t="s">
        <v>44</v>
      </c>
      <c r="M159" s="88" t="s">
        <v>44</v>
      </c>
    </row>
    <row r="160">
      <c r="A160" s="89" t="s">
        <v>45</v>
      </c>
      <c r="B160" s="87" t="s">
        <v>43</v>
      </c>
      <c r="C160" s="90" t="s">
        <v>46</v>
      </c>
      <c r="D160" s="90"/>
      <c r="E160" s="90" t="s">
        <v>47</v>
      </c>
      <c r="F160" s="90" t="s">
        <v>48</v>
      </c>
      <c r="G160" s="90"/>
      <c r="H160" s="90" t="s">
        <v>49</v>
      </c>
      <c r="I160" s="90" t="s">
        <v>50</v>
      </c>
      <c r="J160" s="90" t="s">
        <v>51</v>
      </c>
      <c r="K160" s="90" t="s">
        <v>52</v>
      </c>
      <c r="L160" s="90" t="s">
        <v>53</v>
      </c>
      <c r="M160" s="90" t="s">
        <v>54</v>
      </c>
    </row>
    <row r="161">
      <c r="A161" s="86" t="s">
        <v>55</v>
      </c>
      <c r="B161" s="88" t="s">
        <v>44</v>
      </c>
      <c r="C161" s="91" t="s">
        <v>44</v>
      </c>
      <c r="D161" s="88" t="s">
        <v>44</v>
      </c>
      <c r="E161" s="91" t="s">
        <v>44</v>
      </c>
      <c r="F161" s="88" t="s">
        <v>44</v>
      </c>
      <c r="G161" s="88" t="s">
        <v>44</v>
      </c>
      <c r="H161" s="88" t="s">
        <v>44</v>
      </c>
      <c r="I161" s="91" t="s">
        <v>44</v>
      </c>
      <c r="J161" s="91" t="s">
        <v>44</v>
      </c>
      <c r="K161" s="88" t="s">
        <v>44</v>
      </c>
      <c r="L161" s="88" t="s">
        <v>44</v>
      </c>
      <c r="M161" s="91" t="s">
        <v>44</v>
      </c>
    </row>
    <row r="162">
      <c r="A162" s="89" t="s">
        <v>56</v>
      </c>
      <c r="B162" s="88" t="s">
        <v>43</v>
      </c>
      <c r="C162" s="90"/>
      <c r="D162" s="90"/>
      <c r="E162" s="90"/>
      <c r="F162" s="90"/>
      <c r="G162" s="90"/>
      <c r="H162" s="90"/>
      <c r="I162" s="90"/>
      <c r="J162" s="90"/>
      <c r="K162" s="90"/>
      <c r="L162" s="92" t="s">
        <v>57</v>
      </c>
      <c r="M162" s="90"/>
    </row>
    <row r="163">
      <c r="A163" s="86" t="s">
        <v>58</v>
      </c>
      <c r="B163" s="88" t="s">
        <v>44</v>
      </c>
      <c r="C163" s="91" t="s">
        <v>44</v>
      </c>
      <c r="D163" s="88" t="s">
        <v>43</v>
      </c>
      <c r="E163" s="91" t="s">
        <v>44</v>
      </c>
      <c r="F163" s="88" t="s">
        <v>44</v>
      </c>
      <c r="G163" s="88" t="s">
        <v>44</v>
      </c>
      <c r="H163" s="88" t="s">
        <v>44</v>
      </c>
      <c r="I163" s="91" t="s">
        <v>44</v>
      </c>
      <c r="J163" s="91" t="s">
        <v>44</v>
      </c>
      <c r="K163" s="91" t="s">
        <v>44</v>
      </c>
      <c r="L163" s="88" t="s">
        <v>44</v>
      </c>
      <c r="M163" s="91" t="s">
        <v>44</v>
      </c>
    </row>
    <row r="164">
      <c r="A164" s="89" t="s">
        <v>59</v>
      </c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</row>
  </sheetData>
  <mergeCells count="5">
    <mergeCell ref="B1:D1"/>
    <mergeCell ref="A3:M3"/>
    <mergeCell ref="A12:M12"/>
    <mergeCell ref="A118:M118"/>
    <mergeCell ref="A131:M131"/>
  </mergeCells>
  <conditionalFormatting sqref="B6:M6">
    <cfRule type="containsBlanks" dxfId="0" priority="1">
      <formula>LEN(TRIM(B6))=0</formula>
    </cfRule>
  </conditionalFormatting>
  <hyperlinks>
    <hyperlink r:id="rId1" ref="B7"/>
    <hyperlink r:id="rId2" ref="C7"/>
    <hyperlink r:id="rId3" ref="B159"/>
    <hyperlink r:id="rId4" ref="C159"/>
    <hyperlink r:id="rId5" ref="D159"/>
    <hyperlink r:id="rId6" ref="E159"/>
    <hyperlink r:id="rId7" ref="F159"/>
    <hyperlink r:id="rId8" ref="G159"/>
    <hyperlink r:id="rId9" ref="H159"/>
    <hyperlink r:id="rId10" ref="I159"/>
    <hyperlink r:id="rId11" ref="J159"/>
    <hyperlink r:id="rId12" ref="K159"/>
    <hyperlink r:id="rId13" ref="L159"/>
    <hyperlink r:id="rId14" ref="M159"/>
    <hyperlink r:id="rId15" ref="B160"/>
    <hyperlink r:id="rId16" ref="B161"/>
    <hyperlink r:id="rId17" ref="D161"/>
    <hyperlink r:id="rId18" ref="F161"/>
    <hyperlink r:id="rId19" ref="G161"/>
    <hyperlink r:id="rId20" ref="H161"/>
    <hyperlink r:id="rId21" ref="K161"/>
    <hyperlink r:id="rId22" ref="L161"/>
    <hyperlink r:id="rId23" ref="B162"/>
    <hyperlink r:id="rId24" ref="B163"/>
    <hyperlink r:id="rId25" ref="D163"/>
    <hyperlink r:id="rId26" ref="F163"/>
    <hyperlink r:id="rId27" ref="G163"/>
    <hyperlink r:id="rId28" ref="H163"/>
    <hyperlink r:id="rId29" ref="L163"/>
  </hyperlinks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3" t="str">
        <f>IFERROR(__xludf.DUMMYFUNCTION("IMPORTRANGE(""https://docs.google.com/spreadsheets/d/1_7Yn5NHIt82pbW6UTh65K5EEyrbOK7kvp2Y1VqFrXmQ/edit#gid=371848112"",""LCo!A1:d18"")"),"Objetivo por ""Utilidades"" CE 2023")</f>
        <v>Objetivo por "Utilidades" CE 2023</v>
      </c>
      <c r="B1" s="3"/>
      <c r="C1" s="3"/>
      <c r="D1" s="4"/>
    </row>
    <row r="2">
      <c r="A2" s="94"/>
      <c r="B2" s="94"/>
      <c r="C2" s="94"/>
      <c r="D2" s="94"/>
    </row>
    <row r="3">
      <c r="A3" s="95" t="str">
        <f>IFERROR(__xludf.DUMMYFUNCTION("""COMPUTED_VALUE"""),"Comisión %")</f>
        <v>Comisión %</v>
      </c>
      <c r="B3" s="95" t="str">
        <f>IFERROR(__xludf.DUMMYFUNCTION("""COMPUTED_VALUE"""),"Bono")</f>
        <v>Bono</v>
      </c>
      <c r="C3" s="95" t="str">
        <f>IFERROR(__xludf.DUMMYFUNCTION("""COMPUTED_VALUE"""),"Límite inferior")</f>
        <v>Límite inferior</v>
      </c>
      <c r="D3" s="95" t="str">
        <f>IFERROR(__xludf.DUMMYFUNCTION("""COMPUTED_VALUE"""),"Límite superior")</f>
        <v>Límite superior</v>
      </c>
    </row>
    <row r="4">
      <c r="A4" s="96" t="str">
        <f>IFERROR(__xludf.DUMMYFUNCTION("""COMPUTED_VALUE"""),"NA")</f>
        <v>NA</v>
      </c>
      <c r="B4" s="96" t="str">
        <f>IFERROR(__xludf.DUMMYFUNCTION("""COMPUTED_VALUE"""),"NA")</f>
        <v>NA</v>
      </c>
      <c r="C4" s="96">
        <f>IFERROR(__xludf.DUMMYFUNCTION("""COMPUTED_VALUE"""),0.0)</f>
        <v>0</v>
      </c>
      <c r="D4" s="97">
        <f>IFERROR(__xludf.DUMMYFUNCTION("""COMPUTED_VALUE"""),99999.99)</f>
        <v>99999.99</v>
      </c>
    </row>
    <row r="5">
      <c r="A5" s="98">
        <f>IFERROR(__xludf.DUMMYFUNCTION("""COMPUTED_VALUE"""),0.02)</f>
        <v>0.02</v>
      </c>
      <c r="B5" s="96" t="str">
        <f>IFERROR(__xludf.DUMMYFUNCTION("""COMPUTED_VALUE"""),"NA")</f>
        <v>NA</v>
      </c>
      <c r="C5" s="96">
        <f>IFERROR(__xludf.DUMMYFUNCTION("""COMPUTED_VALUE"""),100000.0)</f>
        <v>100000</v>
      </c>
      <c r="D5" s="97">
        <f>IFERROR(__xludf.DUMMYFUNCTION("""COMPUTED_VALUE"""),199999.99)</f>
        <v>199999.99</v>
      </c>
    </row>
    <row r="6">
      <c r="A6" s="98">
        <f>IFERROR(__xludf.DUMMYFUNCTION("""COMPUTED_VALUE"""),0.04)</f>
        <v>0.04</v>
      </c>
      <c r="B6" s="96">
        <f>IFERROR(__xludf.DUMMYFUNCTION("""COMPUTED_VALUE"""),10000.0)</f>
        <v>10000</v>
      </c>
      <c r="C6" s="96">
        <f>IFERROR(__xludf.DUMMYFUNCTION("""COMPUTED_VALUE"""),200000.0)</f>
        <v>200000</v>
      </c>
      <c r="D6" s="97">
        <f>IFERROR(__xludf.DUMMYFUNCTION("""COMPUTED_VALUE"""),299999.99)</f>
        <v>299999.99</v>
      </c>
    </row>
    <row r="7">
      <c r="A7" s="98">
        <f>IFERROR(__xludf.DUMMYFUNCTION("""COMPUTED_VALUE"""),0.04)</f>
        <v>0.04</v>
      </c>
      <c r="B7" s="96">
        <f>IFERROR(__xludf.DUMMYFUNCTION("""COMPUTED_VALUE"""),15000.0)</f>
        <v>15000</v>
      </c>
      <c r="C7" s="96">
        <f>IFERROR(__xludf.DUMMYFUNCTION("""COMPUTED_VALUE"""),300000.0)</f>
        <v>300000</v>
      </c>
      <c r="D7" s="97">
        <f>IFERROR(__xludf.DUMMYFUNCTION("""COMPUTED_VALUE"""),399999.99)</f>
        <v>399999.99</v>
      </c>
    </row>
    <row r="8">
      <c r="A8" s="98">
        <f>IFERROR(__xludf.DUMMYFUNCTION("""COMPUTED_VALUE"""),0.04)</f>
        <v>0.04</v>
      </c>
      <c r="B8" s="96">
        <f>IFERROR(__xludf.DUMMYFUNCTION("""COMPUTED_VALUE"""),20000.0)</f>
        <v>20000</v>
      </c>
      <c r="C8" s="96">
        <f>IFERROR(__xludf.DUMMYFUNCTION("""COMPUTED_VALUE"""),400000.0)</f>
        <v>400000</v>
      </c>
      <c r="D8" s="97">
        <f>IFERROR(__xludf.DUMMYFUNCTION("""COMPUTED_VALUE"""),499999.99)</f>
        <v>499999.99</v>
      </c>
    </row>
    <row r="9">
      <c r="A9" s="98">
        <f>IFERROR(__xludf.DUMMYFUNCTION("""COMPUTED_VALUE"""),0.04)</f>
        <v>0.04</v>
      </c>
      <c r="B9" s="96">
        <f>IFERROR(__xludf.DUMMYFUNCTION("""COMPUTED_VALUE"""),25000.0)</f>
        <v>25000</v>
      </c>
      <c r="C9" s="96">
        <f>IFERROR(__xludf.DUMMYFUNCTION("""COMPUTED_VALUE"""),500000.0)</f>
        <v>500000</v>
      </c>
      <c r="D9" s="97">
        <f>IFERROR(__xludf.DUMMYFUNCTION("""COMPUTED_VALUE"""),599999.99)</f>
        <v>599999.99</v>
      </c>
    </row>
    <row r="10">
      <c r="A10" s="98">
        <f>IFERROR(__xludf.DUMMYFUNCTION("""COMPUTED_VALUE"""),0.04)</f>
        <v>0.04</v>
      </c>
      <c r="B10" s="96">
        <f>IFERROR(__xludf.DUMMYFUNCTION("""COMPUTED_VALUE"""),30000.0)</f>
        <v>30000</v>
      </c>
      <c r="C10" s="96">
        <f>IFERROR(__xludf.DUMMYFUNCTION("""COMPUTED_VALUE"""),600000.0)</f>
        <v>600000</v>
      </c>
      <c r="D10" s="97">
        <f>IFERROR(__xludf.DUMMYFUNCTION("""COMPUTED_VALUE"""),699999.99)</f>
        <v>699999.99</v>
      </c>
    </row>
    <row r="11">
      <c r="A11" s="98">
        <f>IFERROR(__xludf.DUMMYFUNCTION("""COMPUTED_VALUE"""),0.04)</f>
        <v>0.04</v>
      </c>
      <c r="B11" s="97">
        <f>IFERROR(__xludf.DUMMYFUNCTION("""COMPUTED_VALUE"""),35000.0)</f>
        <v>35000</v>
      </c>
      <c r="C11" s="97">
        <f>IFERROR(__xludf.DUMMYFUNCTION("""COMPUTED_VALUE"""),700000.0)</f>
        <v>700000</v>
      </c>
      <c r="D11" s="97">
        <f>IFERROR(__xludf.DUMMYFUNCTION("""COMPUTED_VALUE"""),799999.99)</f>
        <v>799999.99</v>
      </c>
    </row>
    <row r="12">
      <c r="A12" s="98">
        <f>IFERROR(__xludf.DUMMYFUNCTION("""COMPUTED_VALUE"""),0.04)</f>
        <v>0.04</v>
      </c>
      <c r="B12" s="97">
        <f>IFERROR(__xludf.DUMMYFUNCTION("""COMPUTED_VALUE"""),40000.0)</f>
        <v>40000</v>
      </c>
      <c r="C12" s="97">
        <f>IFERROR(__xludf.DUMMYFUNCTION("""COMPUTED_VALUE"""),800000.0)</f>
        <v>800000</v>
      </c>
      <c r="D12" s="97">
        <f>IFERROR(__xludf.DUMMYFUNCTION("""COMPUTED_VALUE"""),899999.99)</f>
        <v>899999.99</v>
      </c>
    </row>
    <row r="13">
      <c r="A13" s="98">
        <f>IFERROR(__xludf.DUMMYFUNCTION("""COMPUTED_VALUE"""),0.04)</f>
        <v>0.04</v>
      </c>
      <c r="B13" s="97">
        <f>IFERROR(__xludf.DUMMYFUNCTION("""COMPUTED_VALUE"""),45000.0)</f>
        <v>45000</v>
      </c>
      <c r="C13" s="97">
        <f>IFERROR(__xludf.DUMMYFUNCTION("""COMPUTED_VALUE"""),900000.0)</f>
        <v>900000</v>
      </c>
      <c r="D13" s="97">
        <f>IFERROR(__xludf.DUMMYFUNCTION("""COMPUTED_VALUE"""),999999.99)</f>
        <v>999999.99</v>
      </c>
    </row>
    <row r="14">
      <c r="A14" s="98">
        <f>IFERROR(__xludf.DUMMYFUNCTION("""COMPUTED_VALUE"""),0.04)</f>
        <v>0.04</v>
      </c>
      <c r="B14" s="97">
        <f>IFERROR(__xludf.DUMMYFUNCTION("""COMPUTED_VALUE"""),100000.0)</f>
        <v>100000</v>
      </c>
      <c r="C14" s="97">
        <f>IFERROR(__xludf.DUMMYFUNCTION("""COMPUTED_VALUE"""),1000000.0)</f>
        <v>1000000</v>
      </c>
      <c r="D14" s="99"/>
    </row>
    <row r="15">
      <c r="A15" s="100"/>
      <c r="B15" s="101"/>
      <c r="C15" s="101"/>
      <c r="D15" s="99"/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35.13"/>
    <col customWidth="1" min="3" max="3" width="11.38"/>
    <col customWidth="1" min="4" max="4" width="16.63"/>
    <col customWidth="1" min="5" max="5" width="8.75"/>
    <col customWidth="1" min="6" max="6" width="9.63"/>
    <col customWidth="1" min="7" max="7" width="11.63"/>
    <col customWidth="1" min="8" max="18" width="9.63"/>
  </cols>
  <sheetData>
    <row r="1">
      <c r="A1" s="102" t="str">
        <f>IFERROR(__xludf.DUMMYFUNCTION("IMPORTRANGE(""https://docs.google.com/spreadsheets/d/1s1zHhAOTykMnBpMKaoaKcAE6TY3OOxa8iWrX5wPu1Jo/edit#gid=1746654115"",""Vendedoras!A159:r211"")"),"Código")</f>
        <v>Código</v>
      </c>
      <c r="B1" s="103" t="str">
        <f>IFERROR(__xludf.DUMMYFUNCTION("""COMPUTED_VALUE"""),"Vendedora")</f>
        <v>Vendedora</v>
      </c>
      <c r="C1" s="3"/>
      <c r="D1" s="3"/>
      <c r="E1" s="3"/>
      <c r="F1" s="4"/>
      <c r="G1" s="104" t="str">
        <f>IFERROR(__xludf.DUMMYFUNCTION("""COMPUTED_VALUE"""),"enero")</f>
        <v>enero</v>
      </c>
      <c r="H1" s="104" t="str">
        <f>IFERROR(__xludf.DUMMYFUNCTION("""COMPUTED_VALUE"""),"febrero")</f>
        <v>febrero</v>
      </c>
      <c r="I1" s="104" t="str">
        <f>IFERROR(__xludf.DUMMYFUNCTION("""COMPUTED_VALUE"""),"marzo")</f>
        <v>marzo</v>
      </c>
      <c r="J1" s="104" t="str">
        <f>IFERROR(__xludf.DUMMYFUNCTION("""COMPUTED_VALUE"""),"abril")</f>
        <v>abril</v>
      </c>
      <c r="K1" s="104" t="str">
        <f>IFERROR(__xludf.DUMMYFUNCTION("""COMPUTED_VALUE"""),"mayo")</f>
        <v>mayo</v>
      </c>
      <c r="L1" s="104" t="str">
        <f>IFERROR(__xludf.DUMMYFUNCTION("""COMPUTED_VALUE"""),"junio")</f>
        <v>junio</v>
      </c>
      <c r="M1" s="104" t="str">
        <f>IFERROR(__xludf.DUMMYFUNCTION("""COMPUTED_VALUE"""),"julio")</f>
        <v>julio</v>
      </c>
      <c r="N1" s="104" t="str">
        <f>IFERROR(__xludf.DUMMYFUNCTION("""COMPUTED_VALUE"""),"agosto")</f>
        <v>agosto</v>
      </c>
      <c r="O1" s="104" t="str">
        <f>IFERROR(__xludf.DUMMYFUNCTION("""COMPUTED_VALUE"""),"septiembre")</f>
        <v>septiembre</v>
      </c>
      <c r="P1" s="104" t="str">
        <f>IFERROR(__xludf.DUMMYFUNCTION("""COMPUTED_VALUE"""),"octubre")</f>
        <v>octubre</v>
      </c>
      <c r="Q1" s="104" t="str">
        <f>IFERROR(__xludf.DUMMYFUNCTION("""COMPUTED_VALUE"""),"noviembre")</f>
        <v>noviembre</v>
      </c>
      <c r="R1" s="104" t="str">
        <f>IFERROR(__xludf.DUMMYFUNCTION("""COMPUTED_VALUE"""),"diciembre")</f>
        <v>diciembre</v>
      </c>
    </row>
    <row r="2">
      <c r="A2" s="105">
        <f>IFERROR(__xludf.DUMMYFUNCTION("""COMPUTED_VALUE"""),5.0)</f>
        <v>5</v>
      </c>
      <c r="B2" s="106" t="str">
        <f>IFERROR(__xludf.DUMMYFUNCTION("""COMPUTED_VALUE"""),"Brenda Luz Acosta Lopez")</f>
        <v>Brenda Luz Acosta Lopez</v>
      </c>
      <c r="C2" s="55"/>
      <c r="D2" s="55"/>
      <c r="E2" s="55"/>
      <c r="F2" s="56"/>
      <c r="G2" s="107">
        <f>IFERROR(__xludf.DUMMYFUNCTION("""COMPUTED_VALUE"""),1506963.38)</f>
        <v>1506963.38</v>
      </c>
      <c r="H2" s="108">
        <f>IFERROR(__xludf.DUMMYFUNCTION("""COMPUTED_VALUE"""),1065340.5)</f>
        <v>1065340.5</v>
      </c>
      <c r="I2" s="108">
        <f>IFERROR(__xludf.DUMMYFUNCTION("""COMPUTED_VALUE"""),2038455.7400000007)</f>
        <v>2038455.74</v>
      </c>
      <c r="J2" s="108">
        <f>IFERROR(__xludf.DUMMYFUNCTION("""COMPUTED_VALUE"""),1108560.7799999998)</f>
        <v>1108560.78</v>
      </c>
      <c r="K2" s="108">
        <f>IFERROR(__xludf.DUMMYFUNCTION("""COMPUTED_VALUE"""),1375527.3499999999)</f>
        <v>1375527.35</v>
      </c>
      <c r="L2" s="108">
        <f>IFERROR(__xludf.DUMMYFUNCTION("""COMPUTED_VALUE"""),1404744.9800000002)</f>
        <v>1404744.98</v>
      </c>
      <c r="M2" s="108">
        <f>IFERROR(__xludf.DUMMYFUNCTION("""COMPUTED_VALUE"""),1361293.3500000008)</f>
        <v>1361293.35</v>
      </c>
      <c r="N2" s="108">
        <f>IFERROR(__xludf.DUMMYFUNCTION("""COMPUTED_VALUE"""),1034780.1000000002)</f>
        <v>1034780.1</v>
      </c>
      <c r="O2" s="108">
        <f>IFERROR(__xludf.DUMMYFUNCTION("""COMPUTED_VALUE"""),925726.4000000003)</f>
        <v>925726.4</v>
      </c>
      <c r="P2" s="108">
        <f>IFERROR(__xludf.DUMMYFUNCTION("""COMPUTED_VALUE"""),1873892.189999999)</f>
        <v>1873892.19</v>
      </c>
      <c r="Q2" s="108">
        <f>IFERROR(__xludf.DUMMYFUNCTION("""COMPUTED_VALUE"""),1200567.44)</f>
        <v>1200567.44</v>
      </c>
      <c r="R2" s="108">
        <f>IFERROR(__xludf.DUMMYFUNCTION("""COMPUTED_VALUE"""),756619.8)</f>
        <v>756619.8</v>
      </c>
    </row>
    <row r="3">
      <c r="A3" s="109"/>
      <c r="B3" s="110"/>
      <c r="C3" s="109"/>
      <c r="D3" s="109"/>
      <c r="E3" s="109"/>
      <c r="F3" s="109"/>
      <c r="G3" s="111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</row>
    <row r="4">
      <c r="A4" s="112"/>
      <c r="B4" s="113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</row>
    <row r="5">
      <c r="A5" s="114" t="str">
        <f>IFERROR(__xludf.DUMMYFUNCTION("""COMPUTED_VALUE"""),"Código")</f>
        <v>Código</v>
      </c>
      <c r="B5" s="115" t="str">
        <f>IFERROR(__xludf.DUMMYFUNCTION("""COMPUTED_VALUE"""),"Razón Social")</f>
        <v>Razón Social</v>
      </c>
      <c r="C5" s="116" t="str">
        <f>IFERROR(__xludf.DUMMYFUNCTION("""COMPUTED_VALUE"""),"Hotel")</f>
        <v>Hotel</v>
      </c>
      <c r="D5" s="117" t="str">
        <f>IFERROR(__xludf.DUMMYFUNCTION("""COMPUTED_VALUE"""),"Comprador")</f>
        <v>Comprador</v>
      </c>
      <c r="E5" s="116" t="str">
        <f>IFERROR(__xludf.DUMMYFUNCTION("""COMPUTED_VALUE"""),"Porcentaje")</f>
        <v>Porcentaje</v>
      </c>
      <c r="F5" s="116" t="str">
        <f>IFERROR(__xludf.DUMMYFUNCTION("""COMPUTED_VALUE"""),"Vendedora")</f>
        <v>Vendedora</v>
      </c>
      <c r="G5" s="116" t="str">
        <f>IFERROR(__xludf.DUMMYFUNCTION("""COMPUTED_VALUE"""),"enero")</f>
        <v>enero</v>
      </c>
      <c r="H5" s="116" t="str">
        <f>IFERROR(__xludf.DUMMYFUNCTION("""COMPUTED_VALUE"""),"febrero")</f>
        <v>febrero</v>
      </c>
      <c r="I5" s="116" t="str">
        <f>IFERROR(__xludf.DUMMYFUNCTION("""COMPUTED_VALUE"""),"marzo")</f>
        <v>marzo</v>
      </c>
      <c r="J5" s="116" t="str">
        <f>IFERROR(__xludf.DUMMYFUNCTION("""COMPUTED_VALUE"""),"abril")</f>
        <v>abril</v>
      </c>
      <c r="K5" s="116" t="str">
        <f>IFERROR(__xludf.DUMMYFUNCTION("""COMPUTED_VALUE"""),"mayo")</f>
        <v>mayo</v>
      </c>
      <c r="L5" s="116" t="str">
        <f>IFERROR(__xludf.DUMMYFUNCTION("""COMPUTED_VALUE"""),"junio")</f>
        <v>junio</v>
      </c>
      <c r="M5" s="116" t="str">
        <f>IFERROR(__xludf.DUMMYFUNCTION("""COMPUTED_VALUE"""),"julio")</f>
        <v>julio</v>
      </c>
      <c r="N5" s="116" t="str">
        <f>IFERROR(__xludf.DUMMYFUNCTION("""COMPUTED_VALUE"""),"agosto")</f>
        <v>agosto</v>
      </c>
      <c r="O5" s="116" t="str">
        <f>IFERROR(__xludf.DUMMYFUNCTION("""COMPUTED_VALUE"""),"septiembre")</f>
        <v>septiembre</v>
      </c>
      <c r="P5" s="116" t="str">
        <f>IFERROR(__xludf.DUMMYFUNCTION("""COMPUTED_VALUE"""),"octubre")</f>
        <v>octubre</v>
      </c>
      <c r="Q5" s="116" t="str">
        <f>IFERROR(__xludf.DUMMYFUNCTION("""COMPUTED_VALUE"""),"noviembre")</f>
        <v>noviembre</v>
      </c>
      <c r="R5" s="116" t="str">
        <f>IFERROR(__xludf.DUMMYFUNCTION("""COMPUTED_VALUE"""),"diciembre")</f>
        <v>diciembre</v>
      </c>
    </row>
    <row r="6">
      <c r="A6" s="105">
        <f>IFERROR(__xludf.DUMMYFUNCTION("""COMPUTED_VALUE"""),15351.0)</f>
        <v>15351</v>
      </c>
      <c r="B6" s="118" t="str">
        <f>IFERROR(__xludf.DUMMYFUNCTION("""COMPUTED_VALUE"""),"CBR Hotel Owner S. de R.L. de C.V.")</f>
        <v>CBR Hotel Owner S. de R.L. de C.V.</v>
      </c>
      <c r="C6" s="119" t="str">
        <f>IFERROR(__xludf.DUMMYFUNCTION("""COMPUTED_VALUE"""),"Chileno Bay")</f>
        <v>Chileno Bay</v>
      </c>
      <c r="D6" s="120" t="str">
        <f>IFERROR(__xludf.DUMMYFUNCTION("""COMPUTED_VALUE"""),"Manuel Cruz")</f>
        <v>Manuel Cruz</v>
      </c>
      <c r="E6" s="121">
        <f>IFERROR(__xludf.DUMMYFUNCTION("""COMPUTED_VALUE"""),0.1)</f>
        <v>0.1</v>
      </c>
      <c r="F6" s="122" t="str">
        <f>IFERROR(__xludf.DUMMYFUNCTION("""COMPUTED_VALUE"""),"Irma")</f>
        <v>Irma</v>
      </c>
      <c r="G6" s="107">
        <f>IFERROR(__xludf.DUMMYFUNCTION("""COMPUTED_VALUE"""),0.0)</f>
        <v>0</v>
      </c>
      <c r="H6" s="108">
        <f>IFERROR(__xludf.DUMMYFUNCTION("""COMPUTED_VALUE"""),0.0)</f>
        <v>0</v>
      </c>
      <c r="I6" s="108">
        <f>IFERROR(__xludf.DUMMYFUNCTION("""COMPUTED_VALUE"""),0.0)</f>
        <v>0</v>
      </c>
      <c r="J6" s="108">
        <f>IFERROR(__xludf.DUMMYFUNCTION("""COMPUTED_VALUE"""),0.0)</f>
        <v>0</v>
      </c>
      <c r="K6" s="108">
        <f>IFERROR(__xludf.DUMMYFUNCTION("""COMPUTED_VALUE"""),0.0)</f>
        <v>0</v>
      </c>
      <c r="L6" s="108">
        <f>IFERROR(__xludf.DUMMYFUNCTION("""COMPUTED_VALUE"""),0.0)</f>
        <v>0</v>
      </c>
      <c r="M6" s="108">
        <f>IFERROR(__xludf.DUMMYFUNCTION("""COMPUTED_VALUE"""),0.0)</f>
        <v>0</v>
      </c>
      <c r="N6" s="108">
        <f>IFERROR(__xludf.DUMMYFUNCTION("""COMPUTED_VALUE"""),0.0)</f>
        <v>0</v>
      </c>
      <c r="O6" s="108">
        <f>IFERROR(__xludf.DUMMYFUNCTION("""COMPUTED_VALUE"""),0.0)</f>
        <v>0</v>
      </c>
      <c r="P6" s="108">
        <f>IFERROR(__xludf.DUMMYFUNCTION("""COMPUTED_VALUE"""),0.0)</f>
        <v>0</v>
      </c>
      <c r="Q6" s="108">
        <f>IFERROR(__xludf.DUMMYFUNCTION("""COMPUTED_VALUE"""),0.0)</f>
        <v>0</v>
      </c>
      <c r="R6" s="108">
        <f>IFERROR(__xludf.DUMMYFUNCTION("""COMPUTED_VALUE"""),0.0)</f>
        <v>0</v>
      </c>
    </row>
    <row r="7">
      <c r="A7" s="105">
        <f>IFERROR(__xludf.DUMMYFUNCTION("""COMPUTED_VALUE"""),18284.0)</f>
        <v>18284</v>
      </c>
      <c r="B7" s="118" t="str">
        <f>IFERROR(__xludf.DUMMYFUNCTION("""COMPUTED_VALUE"""),"SV-CB RESORT SA DE CV")</f>
        <v>SV-CB RESORT SA DE CV</v>
      </c>
      <c r="C7" s="119" t="str">
        <f>IFERROR(__xludf.DUMMYFUNCTION("""COMPUTED_VALUE"""),"Chileno Bay")</f>
        <v>Chileno Bay</v>
      </c>
      <c r="D7" s="120" t="str">
        <f>IFERROR(__xludf.DUMMYFUNCTION("""COMPUTED_VALUE"""),"Manuel Cruz")</f>
        <v>Manuel Cruz</v>
      </c>
      <c r="E7" s="121">
        <f>IFERROR(__xludf.DUMMYFUNCTION("""COMPUTED_VALUE"""),0.1)</f>
        <v>0.1</v>
      </c>
      <c r="F7" s="122" t="str">
        <f>IFERROR(__xludf.DUMMYFUNCTION("""COMPUTED_VALUE"""),"Irma")</f>
        <v>Irma</v>
      </c>
      <c r="G7" s="107">
        <f>IFERROR(__xludf.DUMMYFUNCTION("""COMPUTED_VALUE"""),0.0)</f>
        <v>0</v>
      </c>
      <c r="H7" s="108">
        <f>IFERROR(__xludf.DUMMYFUNCTION("""COMPUTED_VALUE"""),0.0)</f>
        <v>0</v>
      </c>
      <c r="I7" s="108">
        <f>IFERROR(__xludf.DUMMYFUNCTION("""COMPUTED_VALUE"""),0.0)</f>
        <v>0</v>
      </c>
      <c r="J7" s="108">
        <f>IFERROR(__xludf.DUMMYFUNCTION("""COMPUTED_VALUE"""),0.0)</f>
        <v>0</v>
      </c>
      <c r="K7" s="108">
        <f>IFERROR(__xludf.DUMMYFUNCTION("""COMPUTED_VALUE"""),0.0)</f>
        <v>0</v>
      </c>
      <c r="L7" s="108">
        <f>IFERROR(__xludf.DUMMYFUNCTION("""COMPUTED_VALUE"""),0.0)</f>
        <v>0</v>
      </c>
      <c r="M7" s="108">
        <f>IFERROR(__xludf.DUMMYFUNCTION("""COMPUTED_VALUE"""),0.0)</f>
        <v>0</v>
      </c>
      <c r="N7" s="108">
        <f>IFERROR(__xludf.DUMMYFUNCTION("""COMPUTED_VALUE"""),0.0)</f>
        <v>0</v>
      </c>
      <c r="O7" s="108">
        <f>IFERROR(__xludf.DUMMYFUNCTION("""COMPUTED_VALUE"""),0.0)</f>
        <v>0</v>
      </c>
      <c r="P7" s="108">
        <f>IFERROR(__xludf.DUMMYFUNCTION("""COMPUTED_VALUE"""),0.0)</f>
        <v>0</v>
      </c>
      <c r="Q7" s="108">
        <f>IFERROR(__xludf.DUMMYFUNCTION("""COMPUTED_VALUE"""),0.0)</f>
        <v>0</v>
      </c>
      <c r="R7" s="108">
        <f>IFERROR(__xludf.DUMMYFUNCTION("""COMPUTED_VALUE"""),0.0)</f>
        <v>0</v>
      </c>
    </row>
    <row r="8">
      <c r="A8" s="105">
        <f>IFERROR(__xludf.DUMMYFUNCTION("""COMPUTED_VALUE"""),18354.0)</f>
        <v>18354</v>
      </c>
      <c r="B8" s="118" t="str">
        <f>IFERROR(__xludf.DUMMYFUNCTION("""COMPUTED_VALUE"""),"Corporación Inmobiliaria KTRC")</f>
        <v>Corporación Inmobiliaria KTRC</v>
      </c>
      <c r="C8" s="119"/>
      <c r="D8" s="120" t="str">
        <f>IFERROR(__xludf.DUMMYFUNCTION("""COMPUTED_VALUE"""),"Rosaliano Cruz")</f>
        <v>Rosaliano Cruz</v>
      </c>
      <c r="E8" s="121">
        <f>IFERROR(__xludf.DUMMYFUNCTION("""COMPUTED_VALUE"""),0.1)</f>
        <v>0.1</v>
      </c>
      <c r="F8" s="122" t="str">
        <f>IFERROR(__xludf.DUMMYFUNCTION("""COMPUTED_VALUE"""),"Irma")</f>
        <v>Irma</v>
      </c>
      <c r="G8" s="107">
        <f>IFERROR(__xludf.DUMMYFUNCTION("""COMPUTED_VALUE"""),0.0)</f>
        <v>0</v>
      </c>
      <c r="H8" s="108">
        <f>IFERROR(__xludf.DUMMYFUNCTION("""COMPUTED_VALUE"""),0.0)</f>
        <v>0</v>
      </c>
      <c r="I8" s="108">
        <f>IFERROR(__xludf.DUMMYFUNCTION("""COMPUTED_VALUE"""),0.0)</f>
        <v>0</v>
      </c>
      <c r="J8" s="108">
        <f>IFERROR(__xludf.DUMMYFUNCTION("""COMPUTED_VALUE"""),0.0)</f>
        <v>0</v>
      </c>
      <c r="K8" s="108">
        <f>IFERROR(__xludf.DUMMYFUNCTION("""COMPUTED_VALUE"""),0.0)</f>
        <v>0</v>
      </c>
      <c r="L8" s="108">
        <f>IFERROR(__xludf.DUMMYFUNCTION("""COMPUTED_VALUE"""),0.0)</f>
        <v>0</v>
      </c>
      <c r="M8" s="108">
        <f>IFERROR(__xludf.DUMMYFUNCTION("""COMPUTED_VALUE"""),0.0)</f>
        <v>0</v>
      </c>
      <c r="N8" s="108">
        <f>IFERROR(__xludf.DUMMYFUNCTION("""COMPUTED_VALUE"""),0.0)</f>
        <v>0</v>
      </c>
      <c r="O8" s="108">
        <f>IFERROR(__xludf.DUMMYFUNCTION("""COMPUTED_VALUE"""),0.0)</f>
        <v>0</v>
      </c>
      <c r="P8" s="108">
        <f>IFERROR(__xludf.DUMMYFUNCTION("""COMPUTED_VALUE"""),0.0)</f>
        <v>0</v>
      </c>
      <c r="Q8" s="108">
        <f>IFERROR(__xludf.DUMMYFUNCTION("""COMPUTED_VALUE"""),0.0)</f>
        <v>0</v>
      </c>
      <c r="R8" s="108">
        <f>IFERROR(__xludf.DUMMYFUNCTION("""COMPUTED_VALUE"""),0.0)</f>
        <v>0</v>
      </c>
    </row>
    <row r="9">
      <c r="A9" s="105">
        <f>IFERROR(__xludf.DUMMYFUNCTION("""COMPUTED_VALUE"""),16023.0)</f>
        <v>16023</v>
      </c>
      <c r="B9" s="118" t="str">
        <f>IFERROR(__xludf.DUMMYFUNCTION("""COMPUTED_VALUE"""),"Fuerza Momunentos S. De R.L. De C.V.")</f>
        <v>Fuerza Momunentos S. De R.L. De C.V.</v>
      </c>
      <c r="C9" s="119" t="str">
        <f>IFERROR(__xludf.DUMMYFUNCTION("""COMPUTED_VALUE"""),"Thompson")</f>
        <v>Thompson</v>
      </c>
      <c r="D9" s="120" t="str">
        <f>IFERROR(__xludf.DUMMYFUNCTION("""COMPUTED_VALUE"""),"Raul Sanchez Reyna")</f>
        <v>Raul Sanchez Reyna</v>
      </c>
      <c r="E9" s="121">
        <f>IFERROR(__xludf.DUMMYFUNCTION("""COMPUTED_VALUE"""),0.1)</f>
        <v>0.1</v>
      </c>
      <c r="F9" s="122" t="str">
        <f>IFERROR(__xludf.DUMMYFUNCTION("""COMPUTED_VALUE"""),"Irma")</f>
        <v>Irma</v>
      </c>
      <c r="G9" s="107">
        <f>IFERROR(__xludf.DUMMYFUNCTION("""COMPUTED_VALUE"""),0.0)</f>
        <v>0</v>
      </c>
      <c r="H9" s="108">
        <f>IFERROR(__xludf.DUMMYFUNCTION("""COMPUTED_VALUE"""),0.0)</f>
        <v>0</v>
      </c>
      <c r="I9" s="108">
        <f>IFERROR(__xludf.DUMMYFUNCTION("""COMPUTED_VALUE"""),0.0)</f>
        <v>0</v>
      </c>
      <c r="J9" s="108">
        <f>IFERROR(__xludf.DUMMYFUNCTION("""COMPUTED_VALUE"""),0.0)</f>
        <v>0</v>
      </c>
      <c r="K9" s="108">
        <f>IFERROR(__xludf.DUMMYFUNCTION("""COMPUTED_VALUE"""),0.0)</f>
        <v>0</v>
      </c>
      <c r="L9" s="108">
        <f>IFERROR(__xludf.DUMMYFUNCTION("""COMPUTED_VALUE"""),0.0)</f>
        <v>0</v>
      </c>
      <c r="M9" s="108">
        <f>IFERROR(__xludf.DUMMYFUNCTION("""COMPUTED_VALUE"""),0.0)</f>
        <v>0</v>
      </c>
      <c r="N9" s="108">
        <f>IFERROR(__xludf.DUMMYFUNCTION("""COMPUTED_VALUE"""),0.0)</f>
        <v>0</v>
      </c>
      <c r="O9" s="108">
        <f>IFERROR(__xludf.DUMMYFUNCTION("""COMPUTED_VALUE"""),0.0)</f>
        <v>0</v>
      </c>
      <c r="P9" s="108">
        <f>IFERROR(__xludf.DUMMYFUNCTION("""COMPUTED_VALUE"""),0.0)</f>
        <v>0</v>
      </c>
      <c r="Q9" s="108">
        <f>IFERROR(__xludf.DUMMYFUNCTION("""COMPUTED_VALUE"""),0.0)</f>
        <v>0</v>
      </c>
      <c r="R9" s="108">
        <f>IFERROR(__xludf.DUMMYFUNCTION("""COMPUTED_VALUE"""),0.0)</f>
        <v>0</v>
      </c>
    </row>
    <row r="10">
      <c r="A10" s="105">
        <f>IFERROR(__xludf.DUMMYFUNCTION("""COMPUTED_VALUE"""),10978.0)</f>
        <v>10978</v>
      </c>
      <c r="B10" s="118" t="str">
        <f>IFERROR(__xludf.DUMMYFUNCTION("""COMPUTED_VALUE"""),"Operadora Hotel Esperanza S.de R.L de C.V")</f>
        <v>Operadora Hotel Esperanza S.de R.L de C.V</v>
      </c>
      <c r="C10" s="119" t="str">
        <f>IFERROR(__xludf.DUMMYFUNCTION("""COMPUTED_VALUE"""),"Esperanza")</f>
        <v>Esperanza</v>
      </c>
      <c r="D10" s="120" t="str">
        <f>IFERROR(__xludf.DUMMYFUNCTION("""COMPUTED_VALUE"""),"Gerardo Galindo")</f>
        <v>Gerardo Galindo</v>
      </c>
      <c r="E10" s="121">
        <f>IFERROR(__xludf.DUMMYFUNCTION("""COMPUTED_VALUE"""),0.1)</f>
        <v>0.1</v>
      </c>
      <c r="F10" s="122" t="str">
        <f>IFERROR(__xludf.DUMMYFUNCTION("""COMPUTED_VALUE"""),"Mayra")</f>
        <v>Mayra</v>
      </c>
      <c r="G10" s="107">
        <f>IFERROR(__xludf.DUMMYFUNCTION("""COMPUTED_VALUE"""),0.0)</f>
        <v>0</v>
      </c>
      <c r="H10" s="108">
        <f>IFERROR(__xludf.DUMMYFUNCTION("""COMPUTED_VALUE"""),0.0)</f>
        <v>0</v>
      </c>
      <c r="I10" s="108">
        <f>IFERROR(__xludf.DUMMYFUNCTION("""COMPUTED_VALUE"""),0.0)</f>
        <v>0</v>
      </c>
      <c r="J10" s="108">
        <f>IFERROR(__xludf.DUMMYFUNCTION("""COMPUTED_VALUE"""),0.0)</f>
        <v>0</v>
      </c>
      <c r="K10" s="108">
        <f>IFERROR(__xludf.DUMMYFUNCTION("""COMPUTED_VALUE"""),0.0)</f>
        <v>0</v>
      </c>
      <c r="L10" s="108">
        <f>IFERROR(__xludf.DUMMYFUNCTION("""COMPUTED_VALUE"""),0.0)</f>
        <v>0</v>
      </c>
      <c r="M10" s="108">
        <f>IFERROR(__xludf.DUMMYFUNCTION("""COMPUTED_VALUE"""),0.0)</f>
        <v>0</v>
      </c>
      <c r="N10" s="108">
        <f>IFERROR(__xludf.DUMMYFUNCTION("""COMPUTED_VALUE"""),0.0)</f>
        <v>0</v>
      </c>
      <c r="O10" s="108">
        <f>IFERROR(__xludf.DUMMYFUNCTION("""COMPUTED_VALUE"""),0.0)</f>
        <v>0</v>
      </c>
      <c r="P10" s="108">
        <f>IFERROR(__xludf.DUMMYFUNCTION("""COMPUTED_VALUE"""),0.0)</f>
        <v>0</v>
      </c>
      <c r="Q10" s="108">
        <f>IFERROR(__xludf.DUMMYFUNCTION("""COMPUTED_VALUE"""),0.0)</f>
        <v>0</v>
      </c>
      <c r="R10" s="108">
        <f>IFERROR(__xludf.DUMMYFUNCTION("""COMPUTED_VALUE"""),0.0)</f>
        <v>0</v>
      </c>
    </row>
    <row r="11">
      <c r="A11" s="105">
        <f>IFERROR(__xludf.DUMMYFUNCTION("""COMPUTED_VALUE"""),3707.0)</f>
        <v>3707</v>
      </c>
      <c r="B11" s="118" t="str">
        <f>IFERROR(__xludf.DUMMYFUNCTION("""COMPUTED_VALUE"""),"Condominio Esperanza AC")</f>
        <v>Condominio Esperanza AC</v>
      </c>
      <c r="C11" s="119" t="str">
        <f>IFERROR(__xludf.DUMMYFUNCTION("""COMPUTED_VALUE"""),"Esperanza")</f>
        <v>Esperanza</v>
      </c>
      <c r="D11" s="120" t="str">
        <f>IFERROR(__xludf.DUMMYFUNCTION("""COMPUTED_VALUE"""),"Gerardo Galindo")</f>
        <v>Gerardo Galindo</v>
      </c>
      <c r="E11" s="121">
        <f>IFERROR(__xludf.DUMMYFUNCTION("""COMPUTED_VALUE"""),0.1)</f>
        <v>0.1</v>
      </c>
      <c r="F11" s="122" t="str">
        <f>IFERROR(__xludf.DUMMYFUNCTION("""COMPUTED_VALUE"""),"Mayra")</f>
        <v>Mayra</v>
      </c>
      <c r="G11" s="107">
        <f>IFERROR(__xludf.DUMMYFUNCTION("""COMPUTED_VALUE"""),0.0)</f>
        <v>0</v>
      </c>
      <c r="H11" s="108">
        <f>IFERROR(__xludf.DUMMYFUNCTION("""COMPUTED_VALUE"""),0.0)</f>
        <v>0</v>
      </c>
      <c r="I11" s="108">
        <f>IFERROR(__xludf.DUMMYFUNCTION("""COMPUTED_VALUE"""),0.0)</f>
        <v>0</v>
      </c>
      <c r="J11" s="108">
        <f>IFERROR(__xludf.DUMMYFUNCTION("""COMPUTED_VALUE"""),0.0)</f>
        <v>0</v>
      </c>
      <c r="K11" s="108">
        <f>IFERROR(__xludf.DUMMYFUNCTION("""COMPUTED_VALUE"""),0.0)</f>
        <v>0</v>
      </c>
      <c r="L11" s="108">
        <f>IFERROR(__xludf.DUMMYFUNCTION("""COMPUTED_VALUE"""),0.0)</f>
        <v>0</v>
      </c>
      <c r="M11" s="108">
        <f>IFERROR(__xludf.DUMMYFUNCTION("""COMPUTED_VALUE"""),0.0)</f>
        <v>0</v>
      </c>
      <c r="N11" s="108">
        <f>IFERROR(__xludf.DUMMYFUNCTION("""COMPUTED_VALUE"""),0.0)</f>
        <v>0</v>
      </c>
      <c r="O11" s="108">
        <f>IFERROR(__xludf.DUMMYFUNCTION("""COMPUTED_VALUE"""),0.0)</f>
        <v>0</v>
      </c>
      <c r="P11" s="108">
        <f>IFERROR(__xludf.DUMMYFUNCTION("""COMPUTED_VALUE"""),0.0)</f>
        <v>0</v>
      </c>
      <c r="Q11" s="108">
        <f>IFERROR(__xludf.DUMMYFUNCTION("""COMPUTED_VALUE"""),0.0)</f>
        <v>0</v>
      </c>
      <c r="R11" s="108">
        <f>IFERROR(__xludf.DUMMYFUNCTION("""COMPUTED_VALUE"""),0.0)</f>
        <v>0</v>
      </c>
    </row>
    <row r="12">
      <c r="A12" s="105">
        <f>IFERROR(__xludf.DUMMYFUNCTION("""COMPUTED_VALUE"""),18312.0)</f>
        <v>18312</v>
      </c>
      <c r="B12" s="118" t="str">
        <f>IFERROR(__xludf.DUMMYFUNCTION("""COMPUTED_VALUE"""),"OPERADORA FS CP S DE RL DE CV")</f>
        <v>OPERADORA FS CP S DE RL DE CV</v>
      </c>
      <c r="C12" s="119" t="str">
        <f>IFERROR(__xludf.DUMMYFUNCTION("""COMPUTED_VALUE"""),"Four Seasons")</f>
        <v>Four Seasons</v>
      </c>
      <c r="D12" s="120" t="str">
        <f>IFERROR(__xludf.DUMMYFUNCTION("""COMPUTED_VALUE"""),"Jonathan Arellano")</f>
        <v>Jonathan Arellano</v>
      </c>
      <c r="E12" s="121">
        <f>IFERROR(__xludf.DUMMYFUNCTION("""COMPUTED_VALUE"""),0.1)</f>
        <v>0.1</v>
      </c>
      <c r="F12" s="122" t="str">
        <f>IFERROR(__xludf.DUMMYFUNCTION("""COMPUTED_VALUE"""),"Mayra")</f>
        <v>Mayra</v>
      </c>
      <c r="G12" s="107">
        <f>IFERROR(__xludf.DUMMYFUNCTION("""COMPUTED_VALUE"""),0.0)</f>
        <v>0</v>
      </c>
      <c r="H12" s="108">
        <f>IFERROR(__xludf.DUMMYFUNCTION("""COMPUTED_VALUE"""),0.0)</f>
        <v>0</v>
      </c>
      <c r="I12" s="108">
        <f>IFERROR(__xludf.DUMMYFUNCTION("""COMPUTED_VALUE"""),0.0)</f>
        <v>0</v>
      </c>
      <c r="J12" s="108">
        <f>IFERROR(__xludf.DUMMYFUNCTION("""COMPUTED_VALUE"""),0.0)</f>
        <v>0</v>
      </c>
      <c r="K12" s="108">
        <f>IFERROR(__xludf.DUMMYFUNCTION("""COMPUTED_VALUE"""),0.0)</f>
        <v>0</v>
      </c>
      <c r="L12" s="108">
        <f>IFERROR(__xludf.DUMMYFUNCTION("""COMPUTED_VALUE"""),0.0)</f>
        <v>0</v>
      </c>
      <c r="M12" s="108">
        <f>IFERROR(__xludf.DUMMYFUNCTION("""COMPUTED_VALUE"""),0.0)</f>
        <v>0</v>
      </c>
      <c r="N12" s="108">
        <f>IFERROR(__xludf.DUMMYFUNCTION("""COMPUTED_VALUE"""),0.0)</f>
        <v>0</v>
      </c>
      <c r="O12" s="108">
        <f>IFERROR(__xludf.DUMMYFUNCTION("""COMPUTED_VALUE"""),0.0)</f>
        <v>0</v>
      </c>
      <c r="P12" s="108">
        <f>IFERROR(__xludf.DUMMYFUNCTION("""COMPUTED_VALUE"""),0.0)</f>
        <v>0</v>
      </c>
      <c r="Q12" s="108">
        <f>IFERROR(__xludf.DUMMYFUNCTION("""COMPUTED_VALUE"""),0.0)</f>
        <v>0</v>
      </c>
      <c r="R12" s="108">
        <f>IFERROR(__xludf.DUMMYFUNCTION("""COMPUTED_VALUE"""),0.0)</f>
        <v>0</v>
      </c>
    </row>
    <row r="13">
      <c r="A13" s="105">
        <f>IFERROR(__xludf.DUMMYFUNCTION("""COMPUTED_VALUE"""),1161.0)</f>
        <v>1161</v>
      </c>
      <c r="B13" s="118" t="str">
        <f>IFERROR(__xludf.DUMMYFUNCTION("""COMPUTED_VALUE"""),"Administradora Fase Las Estrellas Ac")</f>
        <v>Administradora Fase Las Estrellas Ac</v>
      </c>
      <c r="C13" s="119" t="str">
        <f>IFERROR(__xludf.DUMMYFUNCTION("""COMPUTED_VALUE"""),"Esperanza")</f>
        <v>Esperanza</v>
      </c>
      <c r="D13" s="120" t="str">
        <f>IFERROR(__xludf.DUMMYFUNCTION("""COMPUTED_VALUE"""),"Gerardo Galindo")</f>
        <v>Gerardo Galindo</v>
      </c>
      <c r="E13" s="121">
        <f>IFERROR(__xludf.DUMMYFUNCTION("""COMPUTED_VALUE"""),0.1)</f>
        <v>0.1</v>
      </c>
      <c r="F13" s="122" t="str">
        <f>IFERROR(__xludf.DUMMYFUNCTION("""COMPUTED_VALUE"""),"Mayra")</f>
        <v>Mayra</v>
      </c>
      <c r="G13" s="107">
        <f>IFERROR(__xludf.DUMMYFUNCTION("""COMPUTED_VALUE"""),0.0)</f>
        <v>0</v>
      </c>
      <c r="H13" s="108">
        <f>IFERROR(__xludf.DUMMYFUNCTION("""COMPUTED_VALUE"""),0.0)</f>
        <v>0</v>
      </c>
      <c r="I13" s="108">
        <f>IFERROR(__xludf.DUMMYFUNCTION("""COMPUTED_VALUE"""),0.0)</f>
        <v>0</v>
      </c>
      <c r="J13" s="108">
        <f>IFERROR(__xludf.DUMMYFUNCTION("""COMPUTED_VALUE"""),0.0)</f>
        <v>0</v>
      </c>
      <c r="K13" s="108">
        <f>IFERROR(__xludf.DUMMYFUNCTION("""COMPUTED_VALUE"""),0.0)</f>
        <v>0</v>
      </c>
      <c r="L13" s="108">
        <f>IFERROR(__xludf.DUMMYFUNCTION("""COMPUTED_VALUE"""),0.0)</f>
        <v>0</v>
      </c>
      <c r="M13" s="108">
        <f>IFERROR(__xludf.DUMMYFUNCTION("""COMPUTED_VALUE"""),0.0)</f>
        <v>0</v>
      </c>
      <c r="N13" s="108">
        <f>IFERROR(__xludf.DUMMYFUNCTION("""COMPUTED_VALUE"""),0.0)</f>
        <v>0</v>
      </c>
      <c r="O13" s="108">
        <f>IFERROR(__xludf.DUMMYFUNCTION("""COMPUTED_VALUE"""),0.0)</f>
        <v>0</v>
      </c>
      <c r="P13" s="108">
        <f>IFERROR(__xludf.DUMMYFUNCTION("""COMPUTED_VALUE"""),0.0)</f>
        <v>0</v>
      </c>
      <c r="Q13" s="108">
        <f>IFERROR(__xludf.DUMMYFUNCTION("""COMPUTED_VALUE"""),0.0)</f>
        <v>0</v>
      </c>
      <c r="R13" s="108">
        <f>IFERROR(__xludf.DUMMYFUNCTION("""COMPUTED_VALUE"""),0.0)</f>
        <v>0</v>
      </c>
    </row>
    <row r="14">
      <c r="A14" s="105">
        <f>IFERROR(__xludf.DUMMYFUNCTION("""COMPUTED_VALUE"""),19769.0)</f>
        <v>19769</v>
      </c>
      <c r="B14" s="118" t="str">
        <f>IFERROR(__xludf.DUMMYFUNCTION("""COMPUTED_VALUE"""),"DCSL Construction Services S. de R.L. de C.V.")</f>
        <v>DCSL Construction Services S. de R.L. de C.V.</v>
      </c>
      <c r="C14" s="119" t="str">
        <f>IFERROR(__xludf.DUMMYFUNCTION("""COMPUTED_VALUE"""),"Diamante")</f>
        <v>Diamante</v>
      </c>
      <c r="D14" s="120" t="str">
        <f>IFERROR(__xludf.DUMMYFUNCTION("""COMPUTED_VALUE"""),"Paulina Flores")</f>
        <v>Paulina Flores</v>
      </c>
      <c r="E14" s="121">
        <f>IFERROR(__xludf.DUMMYFUNCTION("""COMPUTED_VALUE"""),0.0)</f>
        <v>0</v>
      </c>
      <c r="F14" s="119" t="str">
        <f>IFERROR(__xludf.DUMMYFUNCTION("""COMPUTED_VALUE"""),"Mayra")</f>
        <v>Mayra</v>
      </c>
      <c r="G14" s="107">
        <f>IFERROR(__xludf.DUMMYFUNCTION("""COMPUTED_VALUE"""),0.0)</f>
        <v>0</v>
      </c>
      <c r="H14" s="108">
        <f>IFERROR(__xludf.DUMMYFUNCTION("""COMPUTED_VALUE"""),0.0)</f>
        <v>0</v>
      </c>
      <c r="I14" s="108">
        <f>IFERROR(__xludf.DUMMYFUNCTION("""COMPUTED_VALUE"""),0.0)</f>
        <v>0</v>
      </c>
      <c r="J14" s="108">
        <f>IFERROR(__xludf.DUMMYFUNCTION("""COMPUTED_VALUE"""),0.0)</f>
        <v>0</v>
      </c>
      <c r="K14" s="108">
        <f>IFERROR(__xludf.DUMMYFUNCTION("""COMPUTED_VALUE"""),0.0)</f>
        <v>0</v>
      </c>
      <c r="L14" s="108">
        <f>IFERROR(__xludf.DUMMYFUNCTION("""COMPUTED_VALUE"""),0.0)</f>
        <v>0</v>
      </c>
      <c r="M14" s="108">
        <f>IFERROR(__xludf.DUMMYFUNCTION("""COMPUTED_VALUE"""),0.0)</f>
        <v>0</v>
      </c>
      <c r="N14" s="108">
        <f>IFERROR(__xludf.DUMMYFUNCTION("""COMPUTED_VALUE"""),0.0)</f>
        <v>0</v>
      </c>
      <c r="O14" s="108">
        <f>IFERROR(__xludf.DUMMYFUNCTION("""COMPUTED_VALUE"""),0.0)</f>
        <v>0</v>
      </c>
      <c r="P14" s="108">
        <f>IFERROR(__xludf.DUMMYFUNCTION("""COMPUTED_VALUE"""),0.0)</f>
        <v>0</v>
      </c>
      <c r="Q14" s="108">
        <f>IFERROR(__xludf.DUMMYFUNCTION("""COMPUTED_VALUE"""),0.0)</f>
        <v>0</v>
      </c>
      <c r="R14" s="108">
        <f>IFERROR(__xludf.DUMMYFUNCTION("""COMPUTED_VALUE"""),0.0)</f>
        <v>0</v>
      </c>
    </row>
    <row r="15">
      <c r="A15" s="105">
        <f>IFERROR(__xludf.DUMMYFUNCTION("""COMPUTED_VALUE"""),11604.0)</f>
        <v>11604</v>
      </c>
      <c r="B15" s="118" t="str">
        <f>IFERROR(__xludf.DUMMYFUNCTION("""COMPUTED_VALUE"""),"Hospitalidad Turistica, S.A. DE C.V.")</f>
        <v>Hospitalidad Turistica, S.A. DE C.V.</v>
      </c>
      <c r="C15" s="119" t="str">
        <f>IFERROR(__xludf.DUMMYFUNCTION("""COMPUTED_VALUE"""),"Barcelo")</f>
        <v>Barcelo</v>
      </c>
      <c r="D15" s="120" t="str">
        <f>IFERROR(__xludf.DUMMYFUNCTION("""COMPUTED_VALUE"""),"Edgar Martell")</f>
        <v>Edgar Martell</v>
      </c>
      <c r="E15" s="121">
        <f>IFERROR(__xludf.DUMMYFUNCTION("""COMPUTED_VALUE"""),0.1)</f>
        <v>0.1</v>
      </c>
      <c r="F15" s="119" t="str">
        <f>IFERROR(__xludf.DUMMYFUNCTION("""COMPUTED_VALUE"""),"Brenda")</f>
        <v>Brenda</v>
      </c>
      <c r="G15" s="107">
        <f>IFERROR(__xludf.DUMMYFUNCTION("""COMPUTED_VALUE"""),68389.01000000001)</f>
        <v>68389.01</v>
      </c>
      <c r="H15" s="108">
        <f>IFERROR(__xludf.DUMMYFUNCTION("""COMPUTED_VALUE"""),49539.290000000015)</f>
        <v>49539.29</v>
      </c>
      <c r="I15" s="108">
        <f>IFERROR(__xludf.DUMMYFUNCTION("""COMPUTED_VALUE"""),53469.69000000001)</f>
        <v>53469.69</v>
      </c>
      <c r="J15" s="108">
        <f>IFERROR(__xludf.DUMMYFUNCTION("""COMPUTED_VALUE"""),102974.31000000003)</f>
        <v>102974.31</v>
      </c>
      <c r="K15" s="108">
        <f>IFERROR(__xludf.DUMMYFUNCTION("""COMPUTED_VALUE"""),101174.72)</f>
        <v>101174.72</v>
      </c>
      <c r="L15" s="108">
        <f>IFERROR(__xludf.DUMMYFUNCTION("""COMPUTED_VALUE"""),0.0)</f>
        <v>0</v>
      </c>
      <c r="M15" s="108">
        <f>IFERROR(__xludf.DUMMYFUNCTION("""COMPUTED_VALUE"""),0.0)</f>
        <v>0</v>
      </c>
      <c r="N15" s="108">
        <f>IFERROR(__xludf.DUMMYFUNCTION("""COMPUTED_VALUE"""),0.0)</f>
        <v>0</v>
      </c>
      <c r="O15" s="108">
        <f>IFERROR(__xludf.DUMMYFUNCTION("""COMPUTED_VALUE"""),0.0)</f>
        <v>0</v>
      </c>
      <c r="P15" s="108">
        <f>IFERROR(__xludf.DUMMYFUNCTION("""COMPUTED_VALUE"""),0.0)</f>
        <v>0</v>
      </c>
      <c r="Q15" s="108">
        <f>IFERROR(__xludf.DUMMYFUNCTION("""COMPUTED_VALUE"""),0.0)</f>
        <v>0</v>
      </c>
      <c r="R15" s="108">
        <f>IFERROR(__xludf.DUMMYFUNCTION("""COMPUTED_VALUE"""),0.0)</f>
        <v>0</v>
      </c>
    </row>
    <row r="16">
      <c r="A16" s="105">
        <f>IFERROR(__xludf.DUMMYFUNCTION("""COMPUTED_VALUE"""),19524.0)</f>
        <v>19524</v>
      </c>
      <c r="B16" s="118" t="str">
        <f>IFERROR(__xludf.DUMMYFUNCTION("""COMPUTED_VALUE"""),"AHC PROFESSIONALS SC.")</f>
        <v>AHC PROFESSIONALS SC.</v>
      </c>
      <c r="C16" s="119" t="str">
        <f>IFERROR(__xludf.DUMMYFUNCTION("""COMPUTED_VALUE"""),"Cabo Azul")</f>
        <v>Cabo Azul</v>
      </c>
      <c r="D16" s="120" t="str">
        <f>IFERROR(__xludf.DUMMYFUNCTION("""COMPUTED_VALUE"""),"Gibran Quintero")</f>
        <v>Gibran Quintero</v>
      </c>
      <c r="E16" s="121">
        <f>IFERROR(__xludf.DUMMYFUNCTION("""COMPUTED_VALUE"""),0.1)</f>
        <v>0.1</v>
      </c>
      <c r="F16" s="119" t="str">
        <f>IFERROR(__xludf.DUMMYFUNCTION("""COMPUTED_VALUE"""),"Brenda")</f>
        <v>Brenda</v>
      </c>
      <c r="G16" s="107">
        <f>IFERROR(__xludf.DUMMYFUNCTION("""COMPUTED_VALUE"""),161299.66000000003)</f>
        <v>161299.66</v>
      </c>
      <c r="H16" s="108">
        <f>IFERROR(__xludf.DUMMYFUNCTION("""COMPUTED_VALUE"""),248466.62)</f>
        <v>248466.62</v>
      </c>
      <c r="I16" s="108">
        <f>IFERROR(__xludf.DUMMYFUNCTION("""COMPUTED_VALUE"""),925420.1100000002)</f>
        <v>925420.11</v>
      </c>
      <c r="J16" s="108">
        <f>IFERROR(__xludf.DUMMYFUNCTION("""COMPUTED_VALUE"""),141173.9)</f>
        <v>141173.9</v>
      </c>
      <c r="K16" s="108">
        <f>IFERROR(__xludf.DUMMYFUNCTION("""COMPUTED_VALUE"""),273943.39999999997)</f>
        <v>273943.4</v>
      </c>
      <c r="L16" s="108">
        <f>IFERROR(__xludf.DUMMYFUNCTION("""COMPUTED_VALUE"""),382941.62999999995)</f>
        <v>382941.63</v>
      </c>
      <c r="M16" s="108">
        <f>IFERROR(__xludf.DUMMYFUNCTION("""COMPUTED_VALUE"""),114750.93000000001)</f>
        <v>114750.93</v>
      </c>
      <c r="N16" s="108">
        <f>IFERROR(__xludf.DUMMYFUNCTION("""COMPUTED_VALUE"""),290921.47000000003)</f>
        <v>290921.47</v>
      </c>
      <c r="O16" s="108">
        <f>IFERROR(__xludf.DUMMYFUNCTION("""COMPUTED_VALUE"""),113648.62)</f>
        <v>113648.62</v>
      </c>
      <c r="P16" s="108">
        <f>IFERROR(__xludf.DUMMYFUNCTION("""COMPUTED_VALUE"""),126741.43)</f>
        <v>126741.43</v>
      </c>
      <c r="Q16" s="108">
        <f>IFERROR(__xludf.DUMMYFUNCTION("""COMPUTED_VALUE"""),235331.13000000006)</f>
        <v>235331.13</v>
      </c>
      <c r="R16" s="108">
        <f>IFERROR(__xludf.DUMMYFUNCTION("""COMPUTED_VALUE"""),51588.469999999994)</f>
        <v>51588.47</v>
      </c>
    </row>
    <row r="17">
      <c r="A17" s="105">
        <f>IFERROR(__xludf.DUMMYFUNCTION("""COMPUTED_VALUE"""),20506.0)</f>
        <v>20506</v>
      </c>
      <c r="B17" s="118" t="str">
        <f>IFERROR(__xludf.DUMMYFUNCTION("""COMPUTED_VALUE"""),"DPM Acquisition Mexico S. de R.L. de C.V.")</f>
        <v>DPM Acquisition Mexico S. de R.L. de C.V.</v>
      </c>
      <c r="C17" s="119" t="str">
        <f>IFERROR(__xludf.DUMMYFUNCTION("""COMPUTED_VALUE"""),"Cabo Azul")</f>
        <v>Cabo Azul</v>
      </c>
      <c r="D17" s="120" t="str">
        <f>IFERROR(__xludf.DUMMYFUNCTION("""COMPUTED_VALUE"""),"Gibran Quintero")</f>
        <v>Gibran Quintero</v>
      </c>
      <c r="E17" s="121">
        <f>IFERROR(__xludf.DUMMYFUNCTION("""COMPUTED_VALUE"""),0.1)</f>
        <v>0.1</v>
      </c>
      <c r="F17" s="123" t="str">
        <f>IFERROR(__xludf.DUMMYFUNCTION("""COMPUTED_VALUE"""),"Brenda")</f>
        <v>Brenda</v>
      </c>
      <c r="G17" s="107">
        <f>IFERROR(__xludf.DUMMYFUNCTION("""COMPUTED_VALUE"""),13835.099999999999)</f>
        <v>13835.1</v>
      </c>
      <c r="H17" s="108">
        <f>IFERROR(__xludf.DUMMYFUNCTION("""COMPUTED_VALUE"""),0.0)</f>
        <v>0</v>
      </c>
      <c r="I17" s="108">
        <f>IFERROR(__xludf.DUMMYFUNCTION("""COMPUTED_VALUE"""),52076.57)</f>
        <v>52076.57</v>
      </c>
      <c r="J17" s="108">
        <f>IFERROR(__xludf.DUMMYFUNCTION("""COMPUTED_VALUE"""),0.0)</f>
        <v>0</v>
      </c>
      <c r="K17" s="108">
        <f>IFERROR(__xludf.DUMMYFUNCTION("""COMPUTED_VALUE"""),0.0)</f>
        <v>0</v>
      </c>
      <c r="L17" s="108">
        <f>IFERROR(__xludf.DUMMYFUNCTION("""COMPUTED_VALUE"""),0.0)</f>
        <v>0</v>
      </c>
      <c r="M17" s="108">
        <f>IFERROR(__xludf.DUMMYFUNCTION("""COMPUTED_VALUE"""),0.0)</f>
        <v>0</v>
      </c>
      <c r="N17" s="108">
        <f>IFERROR(__xludf.DUMMYFUNCTION("""COMPUTED_VALUE"""),0.0)</f>
        <v>0</v>
      </c>
      <c r="O17" s="108">
        <f>IFERROR(__xludf.DUMMYFUNCTION("""COMPUTED_VALUE"""),0.0)</f>
        <v>0</v>
      </c>
      <c r="P17" s="108">
        <f>IFERROR(__xludf.DUMMYFUNCTION("""COMPUTED_VALUE"""),0.0)</f>
        <v>0</v>
      </c>
      <c r="Q17" s="108">
        <f>IFERROR(__xludf.DUMMYFUNCTION("""COMPUTED_VALUE"""),0.0)</f>
        <v>0</v>
      </c>
      <c r="R17" s="108">
        <f>IFERROR(__xludf.DUMMYFUNCTION("""COMPUTED_VALUE"""),0.0)</f>
        <v>0</v>
      </c>
    </row>
    <row r="18">
      <c r="A18" s="105">
        <f>IFERROR(__xludf.DUMMYFUNCTION("""COMPUTED_VALUE"""),2369.0)</f>
        <v>2369</v>
      </c>
      <c r="B18" s="118" t="str">
        <f>IFERROR(__xludf.DUMMYFUNCTION("""COMPUTED_VALUE"""),"Banco Invex S.A. Fideicomiso Invex Ciento Veintitres 123 Melia Casa Grande")</f>
        <v>Banco Invex S.A. Fideicomiso Invex Ciento Veintitres 123 Melia Casa Grande</v>
      </c>
      <c r="C18" s="119" t="str">
        <f>IFERROR(__xludf.DUMMYFUNCTION("""COMPUTED_VALUE"""),"Dreams")</f>
        <v>Dreams</v>
      </c>
      <c r="D18" s="120" t="str">
        <f>IFERROR(__xludf.DUMMYFUNCTION("""COMPUTED_VALUE"""),"Ramiro Castillo")</f>
        <v>Ramiro Castillo</v>
      </c>
      <c r="E18" s="121">
        <f>IFERROR(__xludf.DUMMYFUNCTION("""COMPUTED_VALUE"""),0.1)</f>
        <v>0.1</v>
      </c>
      <c r="F18" s="122" t="str">
        <f>IFERROR(__xludf.DUMMYFUNCTION("""COMPUTED_VALUE"""),"Brenda")</f>
        <v>Brenda</v>
      </c>
      <c r="G18" s="107">
        <f>IFERROR(__xludf.DUMMYFUNCTION("""COMPUTED_VALUE"""),109680.09000000001)</f>
        <v>109680.09</v>
      </c>
      <c r="H18" s="108">
        <f>IFERROR(__xludf.DUMMYFUNCTION("""COMPUTED_VALUE"""),81781.8)</f>
        <v>81781.8</v>
      </c>
      <c r="I18" s="108">
        <f>IFERROR(__xludf.DUMMYFUNCTION("""COMPUTED_VALUE"""),111989.49)</f>
        <v>111989.49</v>
      </c>
      <c r="J18" s="108">
        <f>IFERROR(__xludf.DUMMYFUNCTION("""COMPUTED_VALUE"""),51585.89)</f>
        <v>51585.89</v>
      </c>
      <c r="K18" s="108">
        <f>IFERROR(__xludf.DUMMYFUNCTION("""COMPUTED_VALUE"""),84854.85)</f>
        <v>84854.85</v>
      </c>
      <c r="L18" s="108">
        <f>IFERROR(__xludf.DUMMYFUNCTION("""COMPUTED_VALUE"""),81970.89)</f>
        <v>81970.89</v>
      </c>
      <c r="M18" s="108">
        <f>IFERROR(__xludf.DUMMYFUNCTION("""COMPUTED_VALUE"""),19038.49)</f>
        <v>19038.49</v>
      </c>
      <c r="N18" s="108">
        <f>IFERROR(__xludf.DUMMYFUNCTION("""COMPUTED_VALUE"""),88135.79)</f>
        <v>88135.79</v>
      </c>
      <c r="O18" s="108">
        <f>IFERROR(__xludf.DUMMYFUNCTION("""COMPUTED_VALUE"""),47477.73)</f>
        <v>47477.73</v>
      </c>
      <c r="P18" s="108">
        <f>IFERROR(__xludf.DUMMYFUNCTION("""COMPUTED_VALUE"""),66475.7)</f>
        <v>66475.7</v>
      </c>
      <c r="Q18" s="108">
        <f>IFERROR(__xludf.DUMMYFUNCTION("""COMPUTED_VALUE"""),119934.56999999999)</f>
        <v>119934.57</v>
      </c>
      <c r="R18" s="108">
        <f>IFERROR(__xludf.DUMMYFUNCTION("""COMPUTED_VALUE"""),53367.18000000001)</f>
        <v>53367.18</v>
      </c>
    </row>
    <row r="19">
      <c r="A19" s="105">
        <f>IFERROR(__xludf.DUMMYFUNCTION("""COMPUTED_VALUE"""),19151.0)</f>
        <v>19151</v>
      </c>
      <c r="B19" s="118" t="str">
        <f>IFERROR(__xludf.DUMMYFUNCTION("""COMPUTED_VALUE"""),"Suites Operadora Del Pacifico S.A. De C.V.")</f>
        <v>Suites Operadora Del Pacifico S.A. De C.V.</v>
      </c>
      <c r="C19" s="119" t="str">
        <f>IFERROR(__xludf.DUMMYFUNCTION("""COMPUTED_VALUE"""),"Velas")</f>
        <v>Velas</v>
      </c>
      <c r="D19" s="120" t="str">
        <f>IFERROR(__xludf.DUMMYFUNCTION("""COMPUTED_VALUE"""),"Freddy Alvarez")</f>
        <v>Freddy Alvarez</v>
      </c>
      <c r="E19" s="121">
        <f>IFERROR(__xludf.DUMMYFUNCTION("""COMPUTED_VALUE"""),0.1)</f>
        <v>0.1</v>
      </c>
      <c r="F19" s="123" t="str">
        <f>IFERROR(__xludf.DUMMYFUNCTION("""COMPUTED_VALUE"""),"Brenda")</f>
        <v>Brenda</v>
      </c>
      <c r="G19" s="107">
        <f>IFERROR(__xludf.DUMMYFUNCTION("""COMPUTED_VALUE"""),111703.21000000002)</f>
        <v>111703.21</v>
      </c>
      <c r="H19" s="108">
        <f>IFERROR(__xludf.DUMMYFUNCTION("""COMPUTED_VALUE"""),112730.59999999999)</f>
        <v>112730.6</v>
      </c>
      <c r="I19" s="108">
        <f>IFERROR(__xludf.DUMMYFUNCTION("""COMPUTED_VALUE"""),106851.04)</f>
        <v>106851.04</v>
      </c>
      <c r="J19" s="108">
        <f>IFERROR(__xludf.DUMMYFUNCTION("""COMPUTED_VALUE"""),99934.92)</f>
        <v>99934.92</v>
      </c>
      <c r="K19" s="108">
        <f>IFERROR(__xludf.DUMMYFUNCTION("""COMPUTED_VALUE"""),168997.12999999998)</f>
        <v>168997.13</v>
      </c>
      <c r="L19" s="108">
        <f>IFERROR(__xludf.DUMMYFUNCTION("""COMPUTED_VALUE"""),143955.36)</f>
        <v>143955.36</v>
      </c>
      <c r="M19" s="108">
        <f>IFERROR(__xludf.DUMMYFUNCTION("""COMPUTED_VALUE"""),79992.99)</f>
        <v>79992.99</v>
      </c>
      <c r="N19" s="108">
        <f>IFERROR(__xludf.DUMMYFUNCTION("""COMPUTED_VALUE"""),150777.66000000006)</f>
        <v>150777.66</v>
      </c>
      <c r="O19" s="108">
        <f>IFERROR(__xludf.DUMMYFUNCTION("""COMPUTED_VALUE"""),175413.11)</f>
        <v>175413.11</v>
      </c>
      <c r="P19" s="108">
        <f>IFERROR(__xludf.DUMMYFUNCTION("""COMPUTED_VALUE"""),230363.84000000003)</f>
        <v>230363.84</v>
      </c>
      <c r="Q19" s="108">
        <f>IFERROR(__xludf.DUMMYFUNCTION("""COMPUTED_VALUE"""),65854.37000000001)</f>
        <v>65854.37</v>
      </c>
      <c r="R19" s="108">
        <f>IFERROR(__xludf.DUMMYFUNCTION("""COMPUTED_VALUE"""),176026.60000000003)</f>
        <v>176026.6</v>
      </c>
    </row>
    <row r="20">
      <c r="A20" s="105">
        <f>IFERROR(__xludf.DUMMYFUNCTION("""COMPUTED_VALUE"""),17532.0)</f>
        <v>17532</v>
      </c>
      <c r="B20" s="118" t="str">
        <f>IFERROR(__xludf.DUMMYFUNCTION("""COMPUTED_VALUE"""),"VIDANTA ENTERTAINMENT SA DE CV")</f>
        <v>VIDANTA ENTERTAINMENT SA DE CV</v>
      </c>
      <c r="C20" s="119" t="str">
        <f>IFERROR(__xludf.DUMMYFUNCTION("""COMPUTED_VALUE"""),"Vidanta")</f>
        <v>Vidanta</v>
      </c>
      <c r="D20" s="120" t="str">
        <f>IFERROR(__xludf.DUMMYFUNCTION("""COMPUTED_VALUE"""),"Alberto Reyes")</f>
        <v>Alberto Reyes</v>
      </c>
      <c r="E20" s="121">
        <f>IFERROR(__xludf.DUMMYFUNCTION("""COMPUTED_VALUE"""),0.1)</f>
        <v>0.1</v>
      </c>
      <c r="F20" s="122" t="str">
        <f>IFERROR(__xludf.DUMMYFUNCTION("""COMPUTED_VALUE"""),"Brenda")</f>
        <v>Brenda</v>
      </c>
      <c r="G20" s="107">
        <f>IFERROR(__xludf.DUMMYFUNCTION("""COMPUTED_VALUE"""),66821.27)</f>
        <v>66821.27</v>
      </c>
      <c r="H20" s="108">
        <f>IFERROR(__xludf.DUMMYFUNCTION("""COMPUTED_VALUE"""),50491.02999999999)</f>
        <v>50491.03</v>
      </c>
      <c r="I20" s="108">
        <f>IFERROR(__xludf.DUMMYFUNCTION("""COMPUTED_VALUE"""),63384.34)</f>
        <v>63384.34</v>
      </c>
      <c r="J20" s="108">
        <f>IFERROR(__xludf.DUMMYFUNCTION("""COMPUTED_VALUE"""),48781.33999999999)</f>
        <v>48781.34</v>
      </c>
      <c r="K20" s="108">
        <f>IFERROR(__xludf.DUMMYFUNCTION("""COMPUTED_VALUE"""),184916.05999999997)</f>
        <v>184916.06</v>
      </c>
      <c r="L20" s="108">
        <f>IFERROR(__xludf.DUMMYFUNCTION("""COMPUTED_VALUE"""),25261.040000000005)</f>
        <v>25261.04</v>
      </c>
      <c r="M20" s="108">
        <f>IFERROR(__xludf.DUMMYFUNCTION("""COMPUTED_VALUE"""),107271.87)</f>
        <v>107271.87</v>
      </c>
      <c r="N20" s="108">
        <f>IFERROR(__xludf.DUMMYFUNCTION("""COMPUTED_VALUE"""),82381.68)</f>
        <v>82381.68</v>
      </c>
      <c r="O20" s="108">
        <f>IFERROR(__xludf.DUMMYFUNCTION("""COMPUTED_VALUE"""),48463.920000000006)</f>
        <v>48463.92</v>
      </c>
      <c r="P20" s="108">
        <f>IFERROR(__xludf.DUMMYFUNCTION("""COMPUTED_VALUE"""),114874.68000000001)</f>
        <v>114874.68</v>
      </c>
      <c r="Q20" s="108">
        <f>IFERROR(__xludf.DUMMYFUNCTION("""COMPUTED_VALUE"""),54310.08)</f>
        <v>54310.08</v>
      </c>
      <c r="R20" s="108">
        <f>IFERROR(__xludf.DUMMYFUNCTION("""COMPUTED_VALUE"""),61265.93000000001)</f>
        <v>61265.93</v>
      </c>
    </row>
    <row r="21">
      <c r="A21" s="105">
        <f>IFERROR(__xludf.DUMMYFUNCTION("""COMPUTED_VALUE"""),15587.0)</f>
        <v>15587</v>
      </c>
      <c r="B21" s="118" t="str">
        <f>IFERROR(__xludf.DUMMYFUNCTION("""COMPUTED_VALUE"""),"OPERADORA MISION SAN JOSE S.A. DE C.V.")</f>
        <v>OPERADORA MISION SAN JOSE S.A. DE C.V.</v>
      </c>
      <c r="C21" s="119" t="str">
        <f>IFERROR(__xludf.DUMMYFUNCTION("""COMPUTED_VALUE"""),"Marriot")</f>
        <v>Marriot</v>
      </c>
      <c r="D21" s="120" t="str">
        <f>IFERROR(__xludf.DUMMYFUNCTION("""COMPUTED_VALUE"""),"Carlos Cota")</f>
        <v>Carlos Cota</v>
      </c>
      <c r="E21" s="121">
        <f>IFERROR(__xludf.DUMMYFUNCTION("""COMPUTED_VALUE"""),0.1)</f>
        <v>0.1</v>
      </c>
      <c r="F21" s="119" t="str">
        <f>IFERROR(__xludf.DUMMYFUNCTION("""COMPUTED_VALUE"""),"Yamilet")</f>
        <v>Yamilet</v>
      </c>
      <c r="G21" s="107">
        <f>IFERROR(__xludf.DUMMYFUNCTION("""COMPUTED_VALUE"""),0.0)</f>
        <v>0</v>
      </c>
      <c r="H21" s="108">
        <f>IFERROR(__xludf.DUMMYFUNCTION("""COMPUTED_VALUE"""),0.0)</f>
        <v>0</v>
      </c>
      <c r="I21" s="108">
        <f>IFERROR(__xludf.DUMMYFUNCTION("""COMPUTED_VALUE"""),0.0)</f>
        <v>0</v>
      </c>
      <c r="J21" s="108">
        <f>IFERROR(__xludf.DUMMYFUNCTION("""COMPUTED_VALUE"""),0.0)</f>
        <v>0</v>
      </c>
      <c r="K21" s="108">
        <f>IFERROR(__xludf.DUMMYFUNCTION("""COMPUTED_VALUE"""),0.0)</f>
        <v>0</v>
      </c>
      <c r="L21" s="108">
        <f>IFERROR(__xludf.DUMMYFUNCTION("""COMPUTED_VALUE"""),0.0)</f>
        <v>0</v>
      </c>
      <c r="M21" s="108">
        <f>IFERROR(__xludf.DUMMYFUNCTION("""COMPUTED_VALUE"""),0.0)</f>
        <v>0</v>
      </c>
      <c r="N21" s="108">
        <f>IFERROR(__xludf.DUMMYFUNCTION("""COMPUTED_VALUE"""),0.0)</f>
        <v>0</v>
      </c>
      <c r="O21" s="108">
        <f>IFERROR(__xludf.DUMMYFUNCTION("""COMPUTED_VALUE"""),0.0)</f>
        <v>0</v>
      </c>
      <c r="P21" s="108">
        <f>IFERROR(__xludf.DUMMYFUNCTION("""COMPUTED_VALUE"""),0.0)</f>
        <v>0</v>
      </c>
      <c r="Q21" s="108">
        <f>IFERROR(__xludf.DUMMYFUNCTION("""COMPUTED_VALUE"""),0.0)</f>
        <v>0</v>
      </c>
      <c r="R21" s="108">
        <f>IFERROR(__xludf.DUMMYFUNCTION("""COMPUTED_VALUE"""),0.0)</f>
        <v>0</v>
      </c>
    </row>
    <row r="22">
      <c r="A22" s="105">
        <f>IFERROR(__xludf.DUMMYFUNCTION("""COMPUTED_VALUE"""),15587.0)</f>
        <v>15587</v>
      </c>
      <c r="B22" s="118" t="str">
        <f>IFERROR(__xludf.DUMMYFUNCTION("""COMPUTED_VALUE"""),"OPERADORA MISION SAN JOSE S.A. DE C.V.")</f>
        <v>OPERADORA MISION SAN JOSE S.A. DE C.V.</v>
      </c>
      <c r="C22" s="119" t="str">
        <f>IFERROR(__xludf.DUMMYFUNCTION("""COMPUTED_VALUE"""),"Marriot")</f>
        <v>Marriot</v>
      </c>
      <c r="D22" s="120" t="str">
        <f>IFERROR(__xludf.DUMMYFUNCTION("""COMPUTED_VALUE"""),"Arnulfo Hidalgo")</f>
        <v>Arnulfo Hidalgo</v>
      </c>
      <c r="E22" s="121">
        <f>IFERROR(__xludf.DUMMYFUNCTION("""COMPUTED_VALUE"""),0.05)</f>
        <v>0.05</v>
      </c>
      <c r="F22" s="122" t="str">
        <f>IFERROR(__xludf.DUMMYFUNCTION("""COMPUTED_VALUE"""),"Yamilet")</f>
        <v>Yamilet</v>
      </c>
      <c r="G22" s="108">
        <f>IFERROR(__xludf.DUMMYFUNCTION("""COMPUTED_VALUE"""),0.0)</f>
        <v>0</v>
      </c>
      <c r="H22" s="108">
        <f>IFERROR(__xludf.DUMMYFUNCTION("""COMPUTED_VALUE"""),0.0)</f>
        <v>0</v>
      </c>
      <c r="I22" s="108">
        <f>IFERROR(__xludf.DUMMYFUNCTION("""COMPUTED_VALUE"""),0.0)</f>
        <v>0</v>
      </c>
      <c r="J22" s="108">
        <f>IFERROR(__xludf.DUMMYFUNCTION("""COMPUTED_VALUE"""),0.0)</f>
        <v>0</v>
      </c>
      <c r="K22" s="108">
        <f>IFERROR(__xludf.DUMMYFUNCTION("""COMPUTED_VALUE"""),0.0)</f>
        <v>0</v>
      </c>
      <c r="L22" s="108">
        <f>IFERROR(__xludf.DUMMYFUNCTION("""COMPUTED_VALUE"""),0.0)</f>
        <v>0</v>
      </c>
      <c r="M22" s="108">
        <f>IFERROR(__xludf.DUMMYFUNCTION("""COMPUTED_VALUE"""),0.0)</f>
        <v>0</v>
      </c>
      <c r="N22" s="108">
        <f>IFERROR(__xludf.DUMMYFUNCTION("""COMPUTED_VALUE"""),0.0)</f>
        <v>0</v>
      </c>
      <c r="O22" s="108">
        <f>IFERROR(__xludf.DUMMYFUNCTION("""COMPUTED_VALUE"""),0.0)</f>
        <v>0</v>
      </c>
      <c r="P22" s="108">
        <f>IFERROR(__xludf.DUMMYFUNCTION("""COMPUTED_VALUE"""),0.0)</f>
        <v>0</v>
      </c>
      <c r="Q22" s="108">
        <f>IFERROR(__xludf.DUMMYFUNCTION("""COMPUTED_VALUE"""),0.0)</f>
        <v>0</v>
      </c>
      <c r="R22" s="108">
        <f>IFERROR(__xludf.DUMMYFUNCTION("""COMPUTED_VALUE"""),0.0)</f>
        <v>0</v>
      </c>
    </row>
    <row r="23">
      <c r="A23" s="105">
        <f>IFERROR(__xludf.DUMMYFUNCTION("""COMPUTED_VALUE"""),20749.0)</f>
        <v>20749</v>
      </c>
      <c r="B23" s="118" t="str">
        <f>IFERROR(__xludf.DUMMYFUNCTION("""COMPUTED_VALUE"""),"CLASE AZUL HOSPITALITY")</f>
        <v>CLASE AZUL HOSPITALITY</v>
      </c>
      <c r="C23" s="119" t="str">
        <f>IFERROR(__xludf.DUMMYFUNCTION("""COMPUTED_VALUE"""),"Clase Azul")</f>
        <v>Clase Azul</v>
      </c>
      <c r="D23" s="120" t="str">
        <f>IFERROR(__xludf.DUMMYFUNCTION("""COMPUTED_VALUE"""),"Yazmin Lagunes")</f>
        <v>Yazmin Lagunes</v>
      </c>
      <c r="E23" s="121">
        <f>IFERROR(__xludf.DUMMYFUNCTION("""COMPUTED_VALUE"""),0.1)</f>
        <v>0.1</v>
      </c>
      <c r="F23" s="122" t="str">
        <f>IFERROR(__xludf.DUMMYFUNCTION("""COMPUTED_VALUE"""),"Yamilet")</f>
        <v>Yamilet</v>
      </c>
      <c r="G23" s="108">
        <f>IFERROR(__xludf.DUMMYFUNCTION("""COMPUTED_VALUE"""),0.0)</f>
        <v>0</v>
      </c>
      <c r="H23" s="108">
        <f>IFERROR(__xludf.DUMMYFUNCTION("""COMPUTED_VALUE"""),0.0)</f>
        <v>0</v>
      </c>
      <c r="I23" s="108">
        <f>IFERROR(__xludf.DUMMYFUNCTION("""COMPUTED_VALUE"""),0.0)</f>
        <v>0</v>
      </c>
      <c r="J23" s="108">
        <f>IFERROR(__xludf.DUMMYFUNCTION("""COMPUTED_VALUE"""),0.0)</f>
        <v>0</v>
      </c>
      <c r="K23" s="108">
        <f>IFERROR(__xludf.DUMMYFUNCTION("""COMPUTED_VALUE"""),0.0)</f>
        <v>0</v>
      </c>
      <c r="L23" s="108">
        <f>IFERROR(__xludf.DUMMYFUNCTION("""COMPUTED_VALUE"""),0.0)</f>
        <v>0</v>
      </c>
      <c r="M23" s="108">
        <f>IFERROR(__xludf.DUMMYFUNCTION("""COMPUTED_VALUE"""),37183.54)</f>
        <v>37183.54</v>
      </c>
      <c r="N23" s="108">
        <f>IFERROR(__xludf.DUMMYFUNCTION("""COMPUTED_VALUE"""),5052.96)</f>
        <v>5052.96</v>
      </c>
      <c r="O23" s="108">
        <f>IFERROR(__xludf.DUMMYFUNCTION("""COMPUTED_VALUE"""),0.0)</f>
        <v>0</v>
      </c>
      <c r="P23" s="108">
        <f>IFERROR(__xludf.DUMMYFUNCTION("""COMPUTED_VALUE"""),0.0)</f>
        <v>0</v>
      </c>
      <c r="Q23" s="108">
        <f>IFERROR(__xludf.DUMMYFUNCTION("""COMPUTED_VALUE"""),0.0)</f>
        <v>0</v>
      </c>
      <c r="R23" s="108">
        <f>IFERROR(__xludf.DUMMYFUNCTION("""COMPUTED_VALUE"""),0.0)</f>
        <v>0</v>
      </c>
    </row>
    <row r="24">
      <c r="A24" s="105">
        <f>IFERROR(__xludf.DUMMYFUNCTION("""COMPUTED_VALUE"""),17685.0)</f>
        <v>17685</v>
      </c>
      <c r="B24" s="118" t="str">
        <f>IFERROR(__xludf.DUMMYFUNCTION("""COMPUTED_VALUE"""),"FIDEICOMISO HLC OPERADOR CIB/2986")</f>
        <v>FIDEICOMISO HLC OPERADOR CIB/2986</v>
      </c>
      <c r="C24" s="119" t="str">
        <f>IFERROR(__xludf.DUMMYFUNCTION("""COMPUTED_VALUE"""),"Hilton")</f>
        <v>Hilton</v>
      </c>
      <c r="D24" s="120" t="str">
        <f>IFERROR(__xludf.DUMMYFUNCTION("""COMPUTED_VALUE"""),"Daysi Mon. Rodriguez")</f>
        <v>Daysi Mon. Rodriguez</v>
      </c>
      <c r="E24" s="121">
        <f>IFERROR(__xludf.DUMMYFUNCTION("""COMPUTED_VALUE"""),0.1)</f>
        <v>0.1</v>
      </c>
      <c r="F24" s="122" t="str">
        <f>IFERROR(__xludf.DUMMYFUNCTION("""COMPUTED_VALUE"""),"Yamilet")</f>
        <v>Yamilet</v>
      </c>
      <c r="G24" s="108">
        <f>IFERROR(__xludf.DUMMYFUNCTION("""COMPUTED_VALUE"""),0.0)</f>
        <v>0</v>
      </c>
      <c r="H24" s="108">
        <f>IFERROR(__xludf.DUMMYFUNCTION("""COMPUTED_VALUE"""),0.0)</f>
        <v>0</v>
      </c>
      <c r="I24" s="108">
        <f>IFERROR(__xludf.DUMMYFUNCTION("""COMPUTED_VALUE"""),0.0)</f>
        <v>0</v>
      </c>
      <c r="J24" s="108">
        <f>IFERROR(__xludf.DUMMYFUNCTION("""COMPUTED_VALUE"""),0.0)</f>
        <v>0</v>
      </c>
      <c r="K24" s="108">
        <f>IFERROR(__xludf.DUMMYFUNCTION("""COMPUTED_VALUE"""),0.0)</f>
        <v>0</v>
      </c>
      <c r="L24" s="108">
        <f>IFERROR(__xludf.DUMMYFUNCTION("""COMPUTED_VALUE"""),0.0)</f>
        <v>0</v>
      </c>
      <c r="M24" s="108">
        <f>IFERROR(__xludf.DUMMYFUNCTION("""COMPUTED_VALUE"""),0.0)</f>
        <v>0</v>
      </c>
      <c r="N24" s="108">
        <f>IFERROR(__xludf.DUMMYFUNCTION("""COMPUTED_VALUE"""),0.0)</f>
        <v>0</v>
      </c>
      <c r="O24" s="108">
        <f>IFERROR(__xludf.DUMMYFUNCTION("""COMPUTED_VALUE"""),0.0)</f>
        <v>0</v>
      </c>
      <c r="P24" s="108">
        <f>IFERROR(__xludf.DUMMYFUNCTION("""COMPUTED_VALUE"""),0.0)</f>
        <v>0</v>
      </c>
      <c r="Q24" s="108">
        <f>IFERROR(__xludf.DUMMYFUNCTION("""COMPUTED_VALUE"""),0.0)</f>
        <v>0</v>
      </c>
      <c r="R24" s="108">
        <f>IFERROR(__xludf.DUMMYFUNCTION("""COMPUTED_VALUE"""),0.0)</f>
        <v>0</v>
      </c>
    </row>
    <row r="25">
      <c r="A25" s="105">
        <f>IFERROR(__xludf.DUMMYFUNCTION("""COMPUTED_VALUE"""),16127.0)</f>
        <v>16127</v>
      </c>
      <c r="B25" s="118" t="str">
        <f>IFERROR(__xludf.DUMMYFUNCTION("""COMPUTED_VALUE"""),"PROMOTORA TURISTICA PUNTA BETE SAPI DE CV")</f>
        <v>PROMOTORA TURISTICA PUNTA BETE SAPI DE CV</v>
      </c>
      <c r="C25" s="119" t="str">
        <f>IFERROR(__xludf.DUMMYFUNCTION("""COMPUTED_VALUE"""),"Casa Velas Boutique")</f>
        <v>Casa Velas Boutique</v>
      </c>
      <c r="D25" s="120" t="str">
        <f>IFERROR(__xludf.DUMMYFUNCTION("""COMPUTED_VALUE"""),"Freddy Alvarez")</f>
        <v>Freddy Alvarez</v>
      </c>
      <c r="E25" s="121">
        <f>IFERROR(__xludf.DUMMYFUNCTION("""COMPUTED_VALUE"""),0.1)</f>
        <v>0.1</v>
      </c>
      <c r="F25" s="122" t="str">
        <f>IFERROR(__xludf.DUMMYFUNCTION("""COMPUTED_VALUE"""),"Brenda")</f>
        <v>Brenda</v>
      </c>
      <c r="G25" s="108">
        <f>IFERROR(__xludf.DUMMYFUNCTION("""COMPUTED_VALUE"""),0.0)</f>
        <v>0</v>
      </c>
      <c r="H25" s="108">
        <f>IFERROR(__xludf.DUMMYFUNCTION("""COMPUTED_VALUE"""),0.0)</f>
        <v>0</v>
      </c>
      <c r="I25" s="108">
        <f>IFERROR(__xludf.DUMMYFUNCTION("""COMPUTED_VALUE"""),0.0)</f>
        <v>0</v>
      </c>
      <c r="J25" s="108">
        <f>IFERROR(__xludf.DUMMYFUNCTION("""COMPUTED_VALUE"""),0.0)</f>
        <v>0</v>
      </c>
      <c r="K25" s="108">
        <f>IFERROR(__xludf.DUMMYFUNCTION("""COMPUTED_VALUE"""),0.0)</f>
        <v>0</v>
      </c>
      <c r="L25" s="108">
        <f>IFERROR(__xludf.DUMMYFUNCTION("""COMPUTED_VALUE"""),0.0)</f>
        <v>0</v>
      </c>
      <c r="M25" s="108">
        <f>IFERROR(__xludf.DUMMYFUNCTION("""COMPUTED_VALUE"""),0.0)</f>
        <v>0</v>
      </c>
      <c r="N25" s="108">
        <f>IFERROR(__xludf.DUMMYFUNCTION("""COMPUTED_VALUE"""),0.0)</f>
        <v>0</v>
      </c>
      <c r="O25" s="108">
        <f>IFERROR(__xludf.DUMMYFUNCTION("""COMPUTED_VALUE"""),0.0)</f>
        <v>0</v>
      </c>
      <c r="P25" s="108">
        <f>IFERROR(__xludf.DUMMYFUNCTION("""COMPUTED_VALUE"""),658647.9499999998)</f>
        <v>658647.95</v>
      </c>
      <c r="Q25" s="108">
        <f>IFERROR(__xludf.DUMMYFUNCTION("""COMPUTED_VALUE"""),444086.53000000014)</f>
        <v>444086.53</v>
      </c>
      <c r="R25" s="108">
        <f>IFERROR(__xludf.DUMMYFUNCTION("""COMPUTED_VALUE"""),126097.07)</f>
        <v>126097.07</v>
      </c>
    </row>
    <row r="26">
      <c r="A26" s="105"/>
      <c r="B26" s="118"/>
      <c r="C26" s="119"/>
      <c r="D26" s="120"/>
      <c r="E26" s="119"/>
      <c r="F26" s="122"/>
      <c r="G26" s="108" t="str">
        <f>IFERROR(__xludf.DUMMYFUNCTION("""COMPUTED_VALUE"""),"")</f>
        <v/>
      </c>
      <c r="H26" s="108" t="str">
        <f>IFERROR(__xludf.DUMMYFUNCTION("""COMPUTED_VALUE"""),"")</f>
        <v/>
      </c>
      <c r="I26" s="108" t="str">
        <f>IFERROR(__xludf.DUMMYFUNCTION("""COMPUTED_VALUE"""),"")</f>
        <v/>
      </c>
      <c r="J26" s="108" t="str">
        <f>IFERROR(__xludf.DUMMYFUNCTION("""COMPUTED_VALUE"""),"")</f>
        <v/>
      </c>
      <c r="K26" s="108" t="str">
        <f>IFERROR(__xludf.DUMMYFUNCTION("""COMPUTED_VALUE"""),"")</f>
        <v/>
      </c>
      <c r="L26" s="108" t="str">
        <f>IFERROR(__xludf.DUMMYFUNCTION("""COMPUTED_VALUE"""),"")</f>
        <v/>
      </c>
      <c r="M26" s="108" t="str">
        <f>IFERROR(__xludf.DUMMYFUNCTION("""COMPUTED_VALUE"""),"")</f>
        <v/>
      </c>
      <c r="N26" s="108" t="str">
        <f>IFERROR(__xludf.DUMMYFUNCTION("""COMPUTED_VALUE"""),"")</f>
        <v/>
      </c>
      <c r="O26" s="108" t="str">
        <f>IFERROR(__xludf.DUMMYFUNCTION("""COMPUTED_VALUE"""),"")</f>
        <v/>
      </c>
      <c r="P26" s="108" t="str">
        <f>IFERROR(__xludf.DUMMYFUNCTION("""COMPUTED_VALUE"""),"")</f>
        <v/>
      </c>
      <c r="Q26" s="108" t="str">
        <f>IFERROR(__xludf.DUMMYFUNCTION("""COMPUTED_VALUE"""),"")</f>
        <v/>
      </c>
      <c r="R26" s="108" t="str">
        <f>IFERROR(__xludf.DUMMYFUNCTION("""COMPUTED_VALUE"""),"")</f>
        <v/>
      </c>
    </row>
    <row r="27">
      <c r="A27" s="105"/>
      <c r="B27" s="118"/>
      <c r="C27" s="119"/>
      <c r="D27" s="120"/>
      <c r="E27" s="119"/>
      <c r="F27" s="122"/>
      <c r="G27" s="108" t="str">
        <f>IFERROR(__xludf.DUMMYFUNCTION("""COMPUTED_VALUE"""),"")</f>
        <v/>
      </c>
      <c r="H27" s="108" t="str">
        <f>IFERROR(__xludf.DUMMYFUNCTION("""COMPUTED_VALUE"""),"")</f>
        <v/>
      </c>
      <c r="I27" s="108" t="str">
        <f>IFERROR(__xludf.DUMMYFUNCTION("""COMPUTED_VALUE"""),"")</f>
        <v/>
      </c>
      <c r="J27" s="108" t="str">
        <f>IFERROR(__xludf.DUMMYFUNCTION("""COMPUTED_VALUE"""),"")</f>
        <v/>
      </c>
      <c r="K27" s="108" t="str">
        <f>IFERROR(__xludf.DUMMYFUNCTION("""COMPUTED_VALUE"""),"")</f>
        <v/>
      </c>
      <c r="L27" s="108" t="str">
        <f>IFERROR(__xludf.DUMMYFUNCTION("""COMPUTED_VALUE"""),"")</f>
        <v/>
      </c>
      <c r="M27" s="108" t="str">
        <f>IFERROR(__xludf.DUMMYFUNCTION("""COMPUTED_VALUE"""),"")</f>
        <v/>
      </c>
      <c r="N27" s="108" t="str">
        <f>IFERROR(__xludf.DUMMYFUNCTION("""COMPUTED_VALUE"""),"")</f>
        <v/>
      </c>
      <c r="O27" s="108" t="str">
        <f>IFERROR(__xludf.DUMMYFUNCTION("""COMPUTED_VALUE"""),"")</f>
        <v/>
      </c>
      <c r="P27" s="108" t="str">
        <f>IFERROR(__xludf.DUMMYFUNCTION("""COMPUTED_VALUE"""),"")</f>
        <v/>
      </c>
      <c r="Q27" s="108" t="str">
        <f>IFERROR(__xludf.DUMMYFUNCTION("""COMPUTED_VALUE"""),"")</f>
        <v/>
      </c>
      <c r="R27" s="108" t="str">
        <f>IFERROR(__xludf.DUMMYFUNCTION("""COMPUTED_VALUE"""),"")</f>
        <v/>
      </c>
    </row>
    <row r="28">
      <c r="A28" s="105"/>
      <c r="B28" s="118"/>
      <c r="C28" s="119"/>
      <c r="D28" s="120"/>
      <c r="E28" s="119"/>
      <c r="F28" s="122"/>
      <c r="G28" s="108" t="str">
        <f>IFERROR(__xludf.DUMMYFUNCTION("""COMPUTED_VALUE"""),"")</f>
        <v/>
      </c>
      <c r="H28" s="108" t="str">
        <f>IFERROR(__xludf.DUMMYFUNCTION("""COMPUTED_VALUE"""),"")</f>
        <v/>
      </c>
      <c r="I28" s="108" t="str">
        <f>IFERROR(__xludf.DUMMYFUNCTION("""COMPUTED_VALUE"""),"")</f>
        <v/>
      </c>
      <c r="J28" s="108" t="str">
        <f>IFERROR(__xludf.DUMMYFUNCTION("""COMPUTED_VALUE"""),"")</f>
        <v/>
      </c>
      <c r="K28" s="108" t="str">
        <f>IFERROR(__xludf.DUMMYFUNCTION("""COMPUTED_VALUE"""),"")</f>
        <v/>
      </c>
      <c r="L28" s="108" t="str">
        <f>IFERROR(__xludf.DUMMYFUNCTION("""COMPUTED_VALUE"""),"")</f>
        <v/>
      </c>
      <c r="M28" s="108" t="str">
        <f>IFERROR(__xludf.DUMMYFUNCTION("""COMPUTED_VALUE"""),"")</f>
        <v/>
      </c>
      <c r="N28" s="108" t="str">
        <f>IFERROR(__xludf.DUMMYFUNCTION("""COMPUTED_VALUE"""),"")</f>
        <v/>
      </c>
      <c r="O28" s="108" t="str">
        <f>IFERROR(__xludf.DUMMYFUNCTION("""COMPUTED_VALUE"""),"")</f>
        <v/>
      </c>
      <c r="P28" s="108" t="str">
        <f>IFERROR(__xludf.DUMMYFUNCTION("""COMPUTED_VALUE"""),"")</f>
        <v/>
      </c>
      <c r="Q28" s="108" t="str">
        <f>IFERROR(__xludf.DUMMYFUNCTION("""COMPUTED_VALUE"""),"")</f>
        <v/>
      </c>
      <c r="R28" s="108" t="str">
        <f>IFERROR(__xludf.DUMMYFUNCTION("""COMPUTED_VALUE"""),"")</f>
        <v/>
      </c>
    </row>
    <row r="29">
      <c r="A29" s="105"/>
      <c r="B29" s="118"/>
      <c r="C29" s="119"/>
      <c r="D29" s="120"/>
      <c r="E29" s="119"/>
      <c r="F29" s="122"/>
      <c r="G29" s="108" t="str">
        <f>IFERROR(__xludf.DUMMYFUNCTION("""COMPUTED_VALUE"""),"")</f>
        <v/>
      </c>
      <c r="H29" s="108" t="str">
        <f>IFERROR(__xludf.DUMMYFUNCTION("""COMPUTED_VALUE"""),"")</f>
        <v/>
      </c>
      <c r="I29" s="108" t="str">
        <f>IFERROR(__xludf.DUMMYFUNCTION("""COMPUTED_VALUE"""),"")</f>
        <v/>
      </c>
      <c r="J29" s="108" t="str">
        <f>IFERROR(__xludf.DUMMYFUNCTION("""COMPUTED_VALUE"""),"")</f>
        <v/>
      </c>
      <c r="K29" s="108" t="str">
        <f>IFERROR(__xludf.DUMMYFUNCTION("""COMPUTED_VALUE"""),"")</f>
        <v/>
      </c>
      <c r="L29" s="108" t="str">
        <f>IFERROR(__xludf.DUMMYFUNCTION("""COMPUTED_VALUE"""),"")</f>
        <v/>
      </c>
      <c r="M29" s="108" t="str">
        <f>IFERROR(__xludf.DUMMYFUNCTION("""COMPUTED_VALUE"""),"")</f>
        <v/>
      </c>
      <c r="N29" s="108" t="str">
        <f>IFERROR(__xludf.DUMMYFUNCTION("""COMPUTED_VALUE"""),"")</f>
        <v/>
      </c>
      <c r="O29" s="108" t="str">
        <f>IFERROR(__xludf.DUMMYFUNCTION("""COMPUTED_VALUE"""),"")</f>
        <v/>
      </c>
      <c r="P29" s="108" t="str">
        <f>IFERROR(__xludf.DUMMYFUNCTION("""COMPUTED_VALUE"""),"")</f>
        <v/>
      </c>
      <c r="Q29" s="108" t="str">
        <f>IFERROR(__xludf.DUMMYFUNCTION("""COMPUTED_VALUE"""),"")</f>
        <v/>
      </c>
      <c r="R29" s="108" t="str">
        <f>IFERROR(__xludf.DUMMYFUNCTION("""COMPUTED_VALUE"""),"")</f>
        <v/>
      </c>
    </row>
    <row r="30">
      <c r="A30" s="105"/>
      <c r="B30" s="118"/>
      <c r="C30" s="119"/>
      <c r="D30" s="120"/>
      <c r="E30" s="119"/>
      <c r="F30" s="122"/>
      <c r="G30" s="108" t="str">
        <f>IFERROR(__xludf.DUMMYFUNCTION("""COMPUTED_VALUE"""),"")</f>
        <v/>
      </c>
      <c r="H30" s="108" t="str">
        <f>IFERROR(__xludf.DUMMYFUNCTION("""COMPUTED_VALUE"""),"")</f>
        <v/>
      </c>
      <c r="I30" s="108" t="str">
        <f>IFERROR(__xludf.DUMMYFUNCTION("""COMPUTED_VALUE"""),"")</f>
        <v/>
      </c>
      <c r="J30" s="108" t="str">
        <f>IFERROR(__xludf.DUMMYFUNCTION("""COMPUTED_VALUE"""),"")</f>
        <v/>
      </c>
      <c r="K30" s="108" t="str">
        <f>IFERROR(__xludf.DUMMYFUNCTION("""COMPUTED_VALUE"""),"")</f>
        <v/>
      </c>
      <c r="L30" s="108" t="str">
        <f>IFERROR(__xludf.DUMMYFUNCTION("""COMPUTED_VALUE"""),"")</f>
        <v/>
      </c>
      <c r="M30" s="108" t="str">
        <f>IFERROR(__xludf.DUMMYFUNCTION("""COMPUTED_VALUE"""),"")</f>
        <v/>
      </c>
      <c r="N30" s="108" t="str">
        <f>IFERROR(__xludf.DUMMYFUNCTION("""COMPUTED_VALUE"""),"")</f>
        <v/>
      </c>
      <c r="O30" s="108" t="str">
        <f>IFERROR(__xludf.DUMMYFUNCTION("""COMPUTED_VALUE"""),"")</f>
        <v/>
      </c>
      <c r="P30" s="108" t="str">
        <f>IFERROR(__xludf.DUMMYFUNCTION("""COMPUTED_VALUE"""),"")</f>
        <v/>
      </c>
      <c r="Q30" s="108" t="str">
        <f>IFERROR(__xludf.DUMMYFUNCTION("""COMPUTED_VALUE"""),"")</f>
        <v/>
      </c>
      <c r="R30" s="108" t="str">
        <f>IFERROR(__xludf.DUMMYFUNCTION("""COMPUTED_VALUE"""),"")</f>
        <v/>
      </c>
    </row>
    <row r="31">
      <c r="A31" s="105"/>
      <c r="B31" s="118"/>
      <c r="C31" s="119"/>
      <c r="D31" s="120"/>
      <c r="E31" s="119"/>
      <c r="F31" s="122"/>
      <c r="G31" s="108" t="str">
        <f>IFERROR(__xludf.DUMMYFUNCTION("""COMPUTED_VALUE"""),"")</f>
        <v/>
      </c>
      <c r="H31" s="108" t="str">
        <f>IFERROR(__xludf.DUMMYFUNCTION("""COMPUTED_VALUE"""),"")</f>
        <v/>
      </c>
      <c r="I31" s="108" t="str">
        <f>IFERROR(__xludf.DUMMYFUNCTION("""COMPUTED_VALUE"""),"")</f>
        <v/>
      </c>
      <c r="J31" s="108" t="str">
        <f>IFERROR(__xludf.DUMMYFUNCTION("""COMPUTED_VALUE"""),"")</f>
        <v/>
      </c>
      <c r="K31" s="108" t="str">
        <f>IFERROR(__xludf.DUMMYFUNCTION("""COMPUTED_VALUE"""),"")</f>
        <v/>
      </c>
      <c r="L31" s="108" t="str">
        <f>IFERROR(__xludf.DUMMYFUNCTION("""COMPUTED_VALUE"""),"")</f>
        <v/>
      </c>
      <c r="M31" s="108" t="str">
        <f>IFERROR(__xludf.DUMMYFUNCTION("""COMPUTED_VALUE"""),"")</f>
        <v/>
      </c>
      <c r="N31" s="108" t="str">
        <f>IFERROR(__xludf.DUMMYFUNCTION("""COMPUTED_VALUE"""),"")</f>
        <v/>
      </c>
      <c r="O31" s="108" t="str">
        <f>IFERROR(__xludf.DUMMYFUNCTION("""COMPUTED_VALUE"""),"")</f>
        <v/>
      </c>
      <c r="P31" s="108" t="str">
        <f>IFERROR(__xludf.DUMMYFUNCTION("""COMPUTED_VALUE"""),"")</f>
        <v/>
      </c>
      <c r="Q31" s="108" t="str">
        <f>IFERROR(__xludf.DUMMYFUNCTION("""COMPUTED_VALUE"""),"")</f>
        <v/>
      </c>
      <c r="R31" s="108" t="str">
        <f>IFERROR(__xludf.DUMMYFUNCTION("""COMPUTED_VALUE"""),"")</f>
        <v/>
      </c>
    </row>
    <row r="32">
      <c r="A32" s="105"/>
      <c r="B32" s="118"/>
      <c r="C32" s="119"/>
      <c r="D32" s="120"/>
      <c r="E32" s="119"/>
      <c r="F32" s="122"/>
      <c r="G32" s="108" t="str">
        <f>IFERROR(__xludf.DUMMYFUNCTION("""COMPUTED_VALUE"""),"")</f>
        <v/>
      </c>
      <c r="H32" s="108" t="str">
        <f>IFERROR(__xludf.DUMMYFUNCTION("""COMPUTED_VALUE"""),"")</f>
        <v/>
      </c>
      <c r="I32" s="108" t="str">
        <f>IFERROR(__xludf.DUMMYFUNCTION("""COMPUTED_VALUE"""),"")</f>
        <v/>
      </c>
      <c r="J32" s="108" t="str">
        <f>IFERROR(__xludf.DUMMYFUNCTION("""COMPUTED_VALUE"""),"")</f>
        <v/>
      </c>
      <c r="K32" s="108" t="str">
        <f>IFERROR(__xludf.DUMMYFUNCTION("""COMPUTED_VALUE"""),"")</f>
        <v/>
      </c>
      <c r="L32" s="108" t="str">
        <f>IFERROR(__xludf.DUMMYFUNCTION("""COMPUTED_VALUE"""),"")</f>
        <v/>
      </c>
      <c r="M32" s="108" t="str">
        <f>IFERROR(__xludf.DUMMYFUNCTION("""COMPUTED_VALUE"""),"")</f>
        <v/>
      </c>
      <c r="N32" s="108" t="str">
        <f>IFERROR(__xludf.DUMMYFUNCTION("""COMPUTED_VALUE"""),"")</f>
        <v/>
      </c>
      <c r="O32" s="108" t="str">
        <f>IFERROR(__xludf.DUMMYFUNCTION("""COMPUTED_VALUE"""),"")</f>
        <v/>
      </c>
      <c r="P32" s="108" t="str">
        <f>IFERROR(__xludf.DUMMYFUNCTION("""COMPUTED_VALUE"""),"")</f>
        <v/>
      </c>
      <c r="Q32" s="108" t="str">
        <f>IFERROR(__xludf.DUMMYFUNCTION("""COMPUTED_VALUE"""),"")</f>
        <v/>
      </c>
      <c r="R32" s="108" t="str">
        <f>IFERROR(__xludf.DUMMYFUNCTION("""COMPUTED_VALUE"""),"")</f>
        <v/>
      </c>
    </row>
    <row r="33">
      <c r="A33" s="105"/>
      <c r="B33" s="118"/>
      <c r="C33" s="119"/>
      <c r="D33" s="120"/>
      <c r="E33" s="119"/>
      <c r="F33" s="122"/>
      <c r="G33" s="108" t="str">
        <f>IFERROR(__xludf.DUMMYFUNCTION("""COMPUTED_VALUE"""),"")</f>
        <v/>
      </c>
      <c r="H33" s="108" t="str">
        <f>IFERROR(__xludf.DUMMYFUNCTION("""COMPUTED_VALUE"""),"")</f>
        <v/>
      </c>
      <c r="I33" s="108" t="str">
        <f>IFERROR(__xludf.DUMMYFUNCTION("""COMPUTED_VALUE"""),"")</f>
        <v/>
      </c>
      <c r="J33" s="108" t="str">
        <f>IFERROR(__xludf.DUMMYFUNCTION("""COMPUTED_VALUE"""),"")</f>
        <v/>
      </c>
      <c r="K33" s="108" t="str">
        <f>IFERROR(__xludf.DUMMYFUNCTION("""COMPUTED_VALUE"""),"")</f>
        <v/>
      </c>
      <c r="L33" s="108" t="str">
        <f>IFERROR(__xludf.DUMMYFUNCTION("""COMPUTED_VALUE"""),"")</f>
        <v/>
      </c>
      <c r="M33" s="108" t="str">
        <f>IFERROR(__xludf.DUMMYFUNCTION("""COMPUTED_VALUE"""),"")</f>
        <v/>
      </c>
      <c r="N33" s="108" t="str">
        <f>IFERROR(__xludf.DUMMYFUNCTION("""COMPUTED_VALUE"""),"")</f>
        <v/>
      </c>
      <c r="O33" s="108" t="str">
        <f>IFERROR(__xludf.DUMMYFUNCTION("""COMPUTED_VALUE"""),"")</f>
        <v/>
      </c>
      <c r="P33" s="108" t="str">
        <f>IFERROR(__xludf.DUMMYFUNCTION("""COMPUTED_VALUE"""),"")</f>
        <v/>
      </c>
      <c r="Q33" s="108" t="str">
        <f>IFERROR(__xludf.DUMMYFUNCTION("""COMPUTED_VALUE"""),"")</f>
        <v/>
      </c>
      <c r="R33" s="108" t="str">
        <f>IFERROR(__xludf.DUMMYFUNCTION("""COMPUTED_VALUE"""),"")</f>
        <v/>
      </c>
    </row>
    <row r="34">
      <c r="A34" s="105"/>
      <c r="B34" s="118"/>
      <c r="C34" s="119"/>
      <c r="D34" s="120"/>
      <c r="E34" s="119"/>
      <c r="F34" s="122"/>
      <c r="G34" s="108" t="str">
        <f>IFERROR(__xludf.DUMMYFUNCTION("""COMPUTED_VALUE"""),"")</f>
        <v/>
      </c>
      <c r="H34" s="108" t="str">
        <f>IFERROR(__xludf.DUMMYFUNCTION("""COMPUTED_VALUE"""),"")</f>
        <v/>
      </c>
      <c r="I34" s="108" t="str">
        <f>IFERROR(__xludf.DUMMYFUNCTION("""COMPUTED_VALUE"""),"")</f>
        <v/>
      </c>
      <c r="J34" s="108" t="str">
        <f>IFERROR(__xludf.DUMMYFUNCTION("""COMPUTED_VALUE"""),"")</f>
        <v/>
      </c>
      <c r="K34" s="108" t="str">
        <f>IFERROR(__xludf.DUMMYFUNCTION("""COMPUTED_VALUE"""),"")</f>
        <v/>
      </c>
      <c r="L34" s="108" t="str">
        <f>IFERROR(__xludf.DUMMYFUNCTION("""COMPUTED_VALUE"""),"")</f>
        <v/>
      </c>
      <c r="M34" s="108" t="str">
        <f>IFERROR(__xludf.DUMMYFUNCTION("""COMPUTED_VALUE"""),"")</f>
        <v/>
      </c>
      <c r="N34" s="108" t="str">
        <f>IFERROR(__xludf.DUMMYFUNCTION("""COMPUTED_VALUE"""),"")</f>
        <v/>
      </c>
      <c r="O34" s="108" t="str">
        <f>IFERROR(__xludf.DUMMYFUNCTION("""COMPUTED_VALUE"""),"")</f>
        <v/>
      </c>
      <c r="P34" s="108" t="str">
        <f>IFERROR(__xludf.DUMMYFUNCTION("""COMPUTED_VALUE"""),"")</f>
        <v/>
      </c>
      <c r="Q34" s="108" t="str">
        <f>IFERROR(__xludf.DUMMYFUNCTION("""COMPUTED_VALUE"""),"")</f>
        <v/>
      </c>
      <c r="R34" s="108" t="str">
        <f>IFERROR(__xludf.DUMMYFUNCTION("""COMPUTED_VALUE"""),"")</f>
        <v/>
      </c>
    </row>
    <row r="35">
      <c r="A35" s="109"/>
      <c r="B35" s="110"/>
      <c r="C35" s="109"/>
      <c r="D35" s="109"/>
      <c r="E35" s="109"/>
      <c r="F35" s="111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</row>
    <row r="36">
      <c r="A36" s="109"/>
      <c r="B36" s="110"/>
      <c r="C36" s="109"/>
      <c r="D36" s="109"/>
      <c r="E36" s="109"/>
      <c r="F36" s="111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</row>
    <row r="37">
      <c r="A37" s="124" t="str">
        <f>IFERROR(__xludf.DUMMYFUNCTION("""COMPUTED_VALUE"""),"Código")</f>
        <v>Código</v>
      </c>
      <c r="B37" s="125" t="str">
        <f>IFERROR(__xludf.DUMMYFUNCTION("""COMPUTED_VALUE"""),"Razón Social")</f>
        <v>Razón Social</v>
      </c>
      <c r="C37" s="125" t="str">
        <f>IFERROR(__xludf.DUMMYFUNCTION("""COMPUTED_VALUE"""),"Hotel")</f>
        <v>Hotel</v>
      </c>
      <c r="D37" s="126" t="str">
        <f>IFERROR(__xludf.DUMMYFUNCTION("""COMPUTED_VALUE"""),"Comprador")</f>
        <v>Comprador</v>
      </c>
      <c r="E37" s="125" t="str">
        <f>IFERROR(__xludf.DUMMYFUNCTION("""COMPUTED_VALUE"""),"Porcentaje")</f>
        <v>Porcentaje</v>
      </c>
      <c r="F37" s="127" t="str">
        <f>IFERROR(__xludf.DUMMYFUNCTION("""COMPUTED_VALUE"""),"Vendedora")</f>
        <v>Vendedora</v>
      </c>
      <c r="G37" s="125" t="str">
        <f>IFERROR(__xludf.DUMMYFUNCTION("""COMPUTED_VALUE"""),"enero")</f>
        <v>enero</v>
      </c>
      <c r="H37" s="125" t="str">
        <f>IFERROR(__xludf.DUMMYFUNCTION("""COMPUTED_VALUE"""),"febrero")</f>
        <v>febrero</v>
      </c>
      <c r="I37" s="125" t="str">
        <f>IFERROR(__xludf.DUMMYFUNCTION("""COMPUTED_VALUE"""),"marzo")</f>
        <v>marzo</v>
      </c>
      <c r="J37" s="125" t="str">
        <f>IFERROR(__xludf.DUMMYFUNCTION("""COMPUTED_VALUE"""),"abril")</f>
        <v>abril</v>
      </c>
      <c r="K37" s="125" t="str">
        <f>IFERROR(__xludf.DUMMYFUNCTION("""COMPUTED_VALUE"""),"mayo")</f>
        <v>mayo</v>
      </c>
      <c r="L37" s="125" t="str">
        <f>IFERROR(__xludf.DUMMYFUNCTION("""COMPUTED_VALUE"""),"junio")</f>
        <v>junio</v>
      </c>
      <c r="M37" s="125" t="str">
        <f>IFERROR(__xludf.DUMMYFUNCTION("""COMPUTED_VALUE"""),"julio")</f>
        <v>julio</v>
      </c>
      <c r="N37" s="125" t="str">
        <f>IFERROR(__xludf.DUMMYFUNCTION("""COMPUTED_VALUE"""),"agosto")</f>
        <v>agosto</v>
      </c>
      <c r="O37" s="125" t="str">
        <f>IFERROR(__xludf.DUMMYFUNCTION("""COMPUTED_VALUE"""),"septiembre")</f>
        <v>septiembre</v>
      </c>
      <c r="P37" s="125" t="str">
        <f>IFERROR(__xludf.DUMMYFUNCTION("""COMPUTED_VALUE"""),"octubre")</f>
        <v>octubre</v>
      </c>
      <c r="Q37" s="125" t="str">
        <f>IFERROR(__xludf.DUMMYFUNCTION("""COMPUTED_VALUE"""),"noviembre")</f>
        <v>noviembre</v>
      </c>
      <c r="R37" s="125" t="str">
        <f>IFERROR(__xludf.DUMMYFUNCTION("""COMPUTED_VALUE"""),"diciembre")</f>
        <v>diciembre</v>
      </c>
    </row>
    <row r="38">
      <c r="A38" s="128"/>
      <c r="B38" s="129"/>
      <c r="C38" s="130"/>
      <c r="D38" s="120" t="str">
        <f>IFERROR(__xludf.DUMMYFUNCTION("""COMPUTED_VALUE"""),"Edgar Martell")</f>
        <v>Edgar Martell</v>
      </c>
      <c r="E38" s="131"/>
      <c r="F38" s="108" t="str">
        <f>IFERROR(__xludf.DUMMYFUNCTION("""COMPUTED_VALUE"""),"Brenda")</f>
        <v>Brenda</v>
      </c>
      <c r="G38" s="132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</row>
    <row r="39">
      <c r="A39" s="133"/>
      <c r="C39" s="134"/>
      <c r="D39" s="120" t="str">
        <f>IFERROR(__xludf.DUMMYFUNCTION("""COMPUTED_VALUE"""),"Gibran Quintero")</f>
        <v>Gibran Quintero</v>
      </c>
      <c r="E39" s="131"/>
      <c r="F39" s="108" t="str">
        <f>IFERROR(__xludf.DUMMYFUNCTION("""COMPUTED_VALUE"""),"Brenda")</f>
        <v>Brenda</v>
      </c>
      <c r="G39" s="108"/>
      <c r="H39" s="108"/>
      <c r="I39" s="108"/>
      <c r="J39" s="108"/>
      <c r="K39" s="108"/>
      <c r="L39" s="108"/>
      <c r="M39" s="108"/>
      <c r="N39" s="108"/>
      <c r="O39" s="108">
        <f>IFERROR(__xludf.DUMMYFUNCTION("""COMPUTED_VALUE"""),729.0)</f>
        <v>729</v>
      </c>
      <c r="P39" s="108"/>
      <c r="Q39" s="108"/>
      <c r="R39" s="108">
        <f>IFERROR(__xludf.DUMMYFUNCTION("""COMPUTED_VALUE"""),769.0)</f>
        <v>769</v>
      </c>
    </row>
    <row r="40">
      <c r="A40" s="133"/>
      <c r="C40" s="134"/>
      <c r="D40" s="120" t="str">
        <f>IFERROR(__xludf.DUMMYFUNCTION("""COMPUTED_VALUE"""),"Ramiro Castillo")</f>
        <v>Ramiro Castillo</v>
      </c>
      <c r="E40" s="131"/>
      <c r="F40" s="108" t="str">
        <f>IFERROR(__xludf.DUMMYFUNCTION("""COMPUTED_VALUE"""),"Brenda")</f>
        <v>Brenda</v>
      </c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</row>
    <row r="41">
      <c r="A41" s="133"/>
      <c r="C41" s="134"/>
      <c r="D41" s="120" t="str">
        <f>IFERROR(__xludf.DUMMYFUNCTION("""COMPUTED_VALUE"""),"Freddy Alvarez")</f>
        <v>Freddy Alvarez</v>
      </c>
      <c r="E41" s="131"/>
      <c r="F41" s="108" t="str">
        <f>IFERROR(__xludf.DUMMYFUNCTION("""COMPUTED_VALUE"""),"Brenda")</f>
        <v>Brenda</v>
      </c>
      <c r="G41" s="108"/>
      <c r="H41" s="108"/>
      <c r="I41" s="108"/>
      <c r="J41" s="108">
        <f>IFERROR(__xludf.DUMMYFUNCTION("""COMPUTED_VALUE"""),782.0)</f>
        <v>782</v>
      </c>
      <c r="K41" s="108"/>
      <c r="L41" s="108"/>
      <c r="M41" s="108"/>
      <c r="N41" s="108"/>
      <c r="O41" s="108">
        <f>IFERROR(__xludf.DUMMYFUNCTION("""COMPUTED_VALUE"""),135.0)</f>
        <v>135</v>
      </c>
      <c r="P41" s="108"/>
      <c r="Q41" s="108"/>
      <c r="R41" s="108"/>
    </row>
    <row r="42">
      <c r="A42" s="133"/>
      <c r="C42" s="134"/>
      <c r="D42" s="120" t="str">
        <f>IFERROR(__xludf.DUMMYFUNCTION("""COMPUTED_VALUE"""),"Alberto Reyes")</f>
        <v>Alberto Reyes</v>
      </c>
      <c r="E42" s="131"/>
      <c r="F42" s="108" t="str">
        <f>IFERROR(__xludf.DUMMYFUNCTION("""COMPUTED_VALUE"""),"Brenda")</f>
        <v>Brenda</v>
      </c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</row>
    <row r="43">
      <c r="A43" s="133"/>
      <c r="C43" s="134"/>
      <c r="D43" s="120" t="str">
        <f>IFERROR(__xludf.DUMMYFUNCTION("""COMPUTED_VALUE"""),"Regalos 2023")</f>
        <v>Regalos 2023</v>
      </c>
      <c r="E43" s="131"/>
      <c r="F43" s="108" t="str">
        <f>IFERROR(__xludf.DUMMYFUNCTION("""COMPUTED_VALUE"""),"Brenda")</f>
        <v>Brenda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>
        <f>IFERROR(__xludf.DUMMYFUNCTION("""COMPUTED_VALUE"""),29083.13)</f>
        <v>29083.13</v>
      </c>
      <c r="R43" s="108"/>
    </row>
    <row r="44">
      <c r="A44" s="135"/>
      <c r="B44" s="55"/>
      <c r="C44" s="56"/>
      <c r="D44" s="120"/>
      <c r="E44" s="131"/>
      <c r="F44" s="108" t="str">
        <f>IFERROR(__xludf.DUMMYFUNCTION("""COMPUTED_VALUE"""),"Brenda")</f>
        <v>Brenda</v>
      </c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32"/>
    </row>
    <row r="45">
      <c r="A45" s="109"/>
      <c r="B45" s="110"/>
      <c r="C45" s="109"/>
      <c r="D45" s="109"/>
      <c r="E45" s="109"/>
      <c r="F45" s="111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</row>
    <row r="46">
      <c r="A46" s="109"/>
      <c r="B46" s="110"/>
      <c r="C46" s="109"/>
      <c r="D46" s="109"/>
      <c r="E46" s="109"/>
      <c r="F46" s="136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</row>
    <row r="47">
      <c r="A47" s="109"/>
      <c r="B47" s="110"/>
      <c r="C47" s="109"/>
      <c r="D47" s="109"/>
      <c r="E47" s="137"/>
      <c r="F47" s="138" t="str">
        <f>IFERROR(__xludf.DUMMYFUNCTION("""COMPUTED_VALUE"""),"Cobrado")</f>
        <v>Cobrado</v>
      </c>
      <c r="G47" s="139">
        <f>IFERROR(__xludf.DUMMYFUNCTION("""COMPUTED_VALUE"""),1.0)</f>
        <v>1</v>
      </c>
      <c r="H47" s="139">
        <f>IFERROR(__xludf.DUMMYFUNCTION("""COMPUTED_VALUE"""),2.0)</f>
        <v>2</v>
      </c>
      <c r="I47" s="139">
        <f>IFERROR(__xludf.DUMMYFUNCTION("""COMPUTED_VALUE"""),3.0)</f>
        <v>3</v>
      </c>
      <c r="J47" s="139">
        <f>IFERROR(__xludf.DUMMYFUNCTION("""COMPUTED_VALUE"""),4.0)</f>
        <v>4</v>
      </c>
      <c r="K47" s="139">
        <f>IFERROR(__xludf.DUMMYFUNCTION("""COMPUTED_VALUE"""),5.0)</f>
        <v>5</v>
      </c>
      <c r="L47" s="139">
        <f>IFERROR(__xludf.DUMMYFUNCTION("""COMPUTED_VALUE"""),6.0)</f>
        <v>6</v>
      </c>
      <c r="M47" s="139">
        <f>IFERROR(__xludf.DUMMYFUNCTION("""COMPUTED_VALUE"""),7.0)</f>
        <v>7</v>
      </c>
      <c r="N47" s="139">
        <f>IFERROR(__xludf.DUMMYFUNCTION("""COMPUTED_VALUE"""),8.0)</f>
        <v>8</v>
      </c>
      <c r="O47" s="139">
        <f>IFERROR(__xludf.DUMMYFUNCTION("""COMPUTED_VALUE"""),9.0)</f>
        <v>9</v>
      </c>
      <c r="P47" s="139">
        <f>IFERROR(__xludf.DUMMYFUNCTION("""COMPUTED_VALUE"""),10.0)</f>
        <v>10</v>
      </c>
      <c r="Q47" s="139">
        <f>IFERROR(__xludf.DUMMYFUNCTION("""COMPUTED_VALUE"""),11.0)</f>
        <v>11</v>
      </c>
      <c r="R47" s="140">
        <f>IFERROR(__xludf.DUMMYFUNCTION("""COMPUTED_VALUE"""),12.0)</f>
        <v>12</v>
      </c>
    </row>
    <row r="48">
      <c r="A48" s="109"/>
      <c r="B48" s="110"/>
      <c r="C48" s="109"/>
      <c r="D48" s="109"/>
      <c r="E48" s="137"/>
      <c r="F48" s="141" t="str">
        <f>IFERROR(__xludf.DUMMYFUNCTION("""COMPUTED_VALUE"""),"Facturado")</f>
        <v>Facturado</v>
      </c>
      <c r="G48" s="142">
        <f>IFERROR(__xludf.DUMMYFUNCTION("""COMPUTED_VALUE"""),44866.0)</f>
        <v>44866</v>
      </c>
      <c r="H48" s="142">
        <f>IFERROR(__xludf.DUMMYFUNCTION("""COMPUTED_VALUE"""),44896.0)</f>
        <v>44896</v>
      </c>
      <c r="I48" s="143">
        <f>IFERROR(__xludf.DUMMYFUNCTION("""COMPUTED_VALUE"""),1.0)</f>
        <v>1</v>
      </c>
      <c r="J48" s="143">
        <f>IFERROR(__xludf.DUMMYFUNCTION("""COMPUTED_VALUE"""),2.0)</f>
        <v>2</v>
      </c>
      <c r="K48" s="143">
        <f>IFERROR(__xludf.DUMMYFUNCTION("""COMPUTED_VALUE"""),3.0)</f>
        <v>3</v>
      </c>
      <c r="L48" s="143">
        <f>IFERROR(__xludf.DUMMYFUNCTION("""COMPUTED_VALUE"""),4.0)</f>
        <v>4</v>
      </c>
      <c r="M48" s="143">
        <f>IFERROR(__xludf.DUMMYFUNCTION("""COMPUTED_VALUE"""),5.0)</f>
        <v>5</v>
      </c>
      <c r="N48" s="143">
        <f>IFERROR(__xludf.DUMMYFUNCTION("""COMPUTED_VALUE"""),6.0)</f>
        <v>6</v>
      </c>
      <c r="O48" s="143">
        <f>IFERROR(__xludf.DUMMYFUNCTION("""COMPUTED_VALUE"""),7.0)</f>
        <v>7</v>
      </c>
      <c r="P48" s="143">
        <f>IFERROR(__xludf.DUMMYFUNCTION("""COMPUTED_VALUE"""),8.0)</f>
        <v>8</v>
      </c>
      <c r="Q48" s="143">
        <f>IFERROR(__xludf.DUMMYFUNCTION("""COMPUTED_VALUE"""),9.0)</f>
        <v>9</v>
      </c>
      <c r="R48" s="144">
        <f>IFERROR(__xludf.DUMMYFUNCTION("""COMPUTED_VALUE"""),10.0)</f>
        <v>10</v>
      </c>
    </row>
    <row r="49">
      <c r="A49" s="109"/>
      <c r="B49" s="110"/>
      <c r="C49" s="109"/>
      <c r="D49" s="109"/>
      <c r="E49" s="137"/>
      <c r="F49" s="108"/>
      <c r="G49" s="145">
        <f>IFERROR(__xludf.DUMMYFUNCTION("""COMPUTED_VALUE"""),124061.57999999999)</f>
        <v>124061.58</v>
      </c>
      <c r="H49" s="136">
        <f>IFERROR(__xludf.DUMMYFUNCTION("""COMPUTED_VALUE"""),106061.06)</f>
        <v>106061.06</v>
      </c>
      <c r="I49" s="136">
        <f>IFERROR(__xludf.DUMMYFUNCTION("""COMPUTED_VALUE"""),103982.02)</f>
        <v>103982.02</v>
      </c>
      <c r="J49" s="136">
        <f>IFERROR(__xludf.DUMMYFUNCTION("""COMPUTED_VALUE"""),206886.82999999996)</f>
        <v>206886.83</v>
      </c>
      <c r="K49" s="136">
        <f>IFERROR(__xludf.DUMMYFUNCTION("""COMPUTED_VALUE"""),83248.06)</f>
        <v>83248.06</v>
      </c>
      <c r="L49" s="136">
        <f>IFERROR(__xludf.DUMMYFUNCTION("""COMPUTED_VALUE"""),104718.69999999998)</f>
        <v>104718.7</v>
      </c>
      <c r="M49" s="136">
        <f>IFERROR(__xludf.DUMMYFUNCTION("""COMPUTED_VALUE"""),86559.71)</f>
        <v>86559.71</v>
      </c>
      <c r="N49" s="136">
        <f>IFERROR(__xludf.DUMMYFUNCTION("""COMPUTED_VALUE"""),166849.16999999995)</f>
        <v>166849.17</v>
      </c>
      <c r="O49" s="136">
        <f>IFERROR(__xludf.DUMMYFUNCTION("""COMPUTED_VALUE"""),141258.93)</f>
        <v>141258.93</v>
      </c>
      <c r="P49" s="136">
        <f>IFERROR(__xludf.DUMMYFUNCTION("""COMPUTED_VALUE"""),148536.62)</f>
        <v>148536.62</v>
      </c>
      <c r="Q49" s="136">
        <f>IFERROR(__xludf.DUMMYFUNCTION("""COMPUTED_VALUE"""),141854.37)</f>
        <v>141854.37</v>
      </c>
      <c r="R49" s="108">
        <f>IFERROR(__xludf.DUMMYFUNCTION("""COMPUTED_VALUE"""),242275.39999999997)</f>
        <v>242275.4</v>
      </c>
    </row>
    <row r="50">
      <c r="A50" s="109"/>
      <c r="B50" s="110"/>
      <c r="C50" s="109"/>
      <c r="D50" s="109"/>
      <c r="E50" s="137"/>
      <c r="F50" s="141" t="str">
        <f>IFERROR(__xludf.DUMMYFUNCTION("""COMPUTED_VALUE"""),"Facturado")</f>
        <v>Facturado</v>
      </c>
      <c r="G50" s="142">
        <f>IFERROR(__xludf.DUMMYFUNCTION("""COMPUTED_VALUE"""),44896.0)</f>
        <v>44896</v>
      </c>
      <c r="H50" s="143">
        <f>IFERROR(__xludf.DUMMYFUNCTION("""COMPUTED_VALUE"""),1.0)</f>
        <v>1</v>
      </c>
      <c r="I50" s="143">
        <f>IFERROR(__xludf.DUMMYFUNCTION("""COMPUTED_VALUE"""),2.0)</f>
        <v>2</v>
      </c>
      <c r="J50" s="143">
        <f>IFERROR(__xludf.DUMMYFUNCTION("""COMPUTED_VALUE"""),3.0)</f>
        <v>3</v>
      </c>
      <c r="K50" s="143">
        <f>IFERROR(__xludf.DUMMYFUNCTION("""COMPUTED_VALUE"""),4.0)</f>
        <v>4</v>
      </c>
      <c r="L50" s="143">
        <f>IFERROR(__xludf.DUMMYFUNCTION("""COMPUTED_VALUE"""),5.0)</f>
        <v>5</v>
      </c>
      <c r="M50" s="143">
        <f>IFERROR(__xludf.DUMMYFUNCTION("""COMPUTED_VALUE"""),6.0)</f>
        <v>6</v>
      </c>
      <c r="N50" s="143">
        <f>IFERROR(__xludf.DUMMYFUNCTION("""COMPUTED_VALUE"""),7.0)</f>
        <v>7</v>
      </c>
      <c r="O50" s="143">
        <f>IFERROR(__xludf.DUMMYFUNCTION("""COMPUTED_VALUE"""),8.0)</f>
        <v>8</v>
      </c>
      <c r="P50" s="143">
        <f>IFERROR(__xludf.DUMMYFUNCTION("""COMPUTED_VALUE"""),9.0)</f>
        <v>9</v>
      </c>
      <c r="Q50" s="143">
        <f>IFERROR(__xludf.DUMMYFUNCTION("""COMPUTED_VALUE"""),10.0)</f>
        <v>10</v>
      </c>
      <c r="R50" s="144">
        <f>IFERROR(__xludf.DUMMYFUNCTION("""COMPUTED_VALUE"""),11.0)</f>
        <v>11</v>
      </c>
    </row>
    <row r="51">
      <c r="A51" s="109"/>
      <c r="B51" s="110"/>
      <c r="C51" s="109"/>
      <c r="D51" s="109"/>
      <c r="E51" s="137"/>
      <c r="F51" s="108"/>
      <c r="G51" s="145">
        <f>IFERROR(__xludf.DUMMYFUNCTION("""COMPUTED_VALUE"""),854409.52)</f>
        <v>854409.52</v>
      </c>
      <c r="H51" s="136">
        <f>IFERROR(__xludf.DUMMYFUNCTION("""COMPUTED_VALUE"""),903458.7899999997)</f>
        <v>903458.79</v>
      </c>
      <c r="I51" s="136">
        <f>IFERROR(__xludf.DUMMYFUNCTION("""COMPUTED_VALUE"""),572924.9299999999)</f>
        <v>572924.93</v>
      </c>
      <c r="J51" s="136">
        <f>IFERROR(__xludf.DUMMYFUNCTION("""COMPUTED_VALUE"""),1609542.8100000005)</f>
        <v>1609542.81</v>
      </c>
      <c r="K51" s="136">
        <f>IFERROR(__xludf.DUMMYFUNCTION("""COMPUTED_VALUE"""),880218.5099999997)</f>
        <v>880218.51</v>
      </c>
      <c r="L51" s="136">
        <f>IFERROR(__xludf.DUMMYFUNCTION("""COMPUTED_VALUE"""),867565.6499999997)</f>
        <v>867565.65</v>
      </c>
      <c r="M51" s="136">
        <f>IFERROR(__xludf.DUMMYFUNCTION("""COMPUTED_VALUE"""),1173615.66)</f>
        <v>1173615.66</v>
      </c>
      <c r="N51" s="136">
        <f>IFERROR(__xludf.DUMMYFUNCTION("""COMPUTED_VALUE"""),1056720.2100000002)</f>
        <v>1056720.21</v>
      </c>
      <c r="O51" s="136">
        <f>IFERROR(__xludf.DUMMYFUNCTION("""COMPUTED_VALUE"""),647241.7000000003)</f>
        <v>647241.7</v>
      </c>
      <c r="P51" s="136">
        <f>IFERROR(__xludf.DUMMYFUNCTION("""COMPUTED_VALUE"""),579023.24)</f>
        <v>579023.24</v>
      </c>
      <c r="Q51" s="136">
        <f>IFERROR(__xludf.DUMMYFUNCTION("""COMPUTED_VALUE"""),1004154.5400000002)</f>
        <v>1004154.54</v>
      </c>
      <c r="R51" s="108">
        <f>IFERROR(__xludf.DUMMYFUNCTION("""COMPUTED_VALUE"""),610598.01)</f>
        <v>610598.01</v>
      </c>
    </row>
    <row r="52">
      <c r="A52" s="109"/>
      <c r="B52" s="110"/>
      <c r="C52" s="109"/>
      <c r="D52" s="109"/>
      <c r="E52" s="137"/>
      <c r="F52" s="141" t="str">
        <f>IFERROR(__xludf.DUMMYFUNCTION("""COMPUTED_VALUE"""),"Facturado")</f>
        <v>Facturado</v>
      </c>
      <c r="G52" s="143">
        <f>IFERROR(__xludf.DUMMYFUNCTION("""COMPUTED_VALUE"""),1.0)</f>
        <v>1</v>
      </c>
      <c r="H52" s="143">
        <f>IFERROR(__xludf.DUMMYFUNCTION("""COMPUTED_VALUE"""),2.0)</f>
        <v>2</v>
      </c>
      <c r="I52" s="143">
        <f>IFERROR(__xludf.DUMMYFUNCTION("""COMPUTED_VALUE"""),3.0)</f>
        <v>3</v>
      </c>
      <c r="J52" s="143">
        <f>IFERROR(__xludf.DUMMYFUNCTION("""COMPUTED_VALUE"""),4.0)</f>
        <v>4</v>
      </c>
      <c r="K52" s="143">
        <f>IFERROR(__xludf.DUMMYFUNCTION("""COMPUTED_VALUE"""),5.0)</f>
        <v>5</v>
      </c>
      <c r="L52" s="143">
        <f>IFERROR(__xludf.DUMMYFUNCTION("""COMPUTED_VALUE"""),6.0)</f>
        <v>6</v>
      </c>
      <c r="M52" s="143">
        <f>IFERROR(__xludf.DUMMYFUNCTION("""COMPUTED_VALUE"""),7.0)</f>
        <v>7</v>
      </c>
      <c r="N52" s="143">
        <f>IFERROR(__xludf.DUMMYFUNCTION("""COMPUTED_VALUE"""),8.0)</f>
        <v>8</v>
      </c>
      <c r="O52" s="143">
        <f>IFERROR(__xludf.DUMMYFUNCTION("""COMPUTED_VALUE"""),9.0)</f>
        <v>9</v>
      </c>
      <c r="P52" s="143">
        <f>IFERROR(__xludf.DUMMYFUNCTION("""COMPUTED_VALUE"""),10.0)</f>
        <v>10</v>
      </c>
      <c r="Q52" s="143">
        <f>IFERROR(__xludf.DUMMYFUNCTION("""COMPUTED_VALUE"""),11.0)</f>
        <v>11</v>
      </c>
      <c r="R52" s="144">
        <f>IFERROR(__xludf.DUMMYFUNCTION("""COMPUTED_VALUE"""),12.0)</f>
        <v>12</v>
      </c>
    </row>
    <row r="53">
      <c r="A53" s="109"/>
      <c r="B53" s="110"/>
      <c r="C53" s="109"/>
      <c r="D53" s="109"/>
      <c r="E53" s="137"/>
      <c r="F53" s="108"/>
      <c r="G53" s="145">
        <f>IFERROR(__xludf.DUMMYFUNCTION("""COMPUTED_VALUE"""),136960.08)</f>
        <v>136960.08</v>
      </c>
      <c r="H53" s="136">
        <f>IFERROR(__xludf.DUMMYFUNCTION("""COMPUTED_VALUE"""),178822.84000000003)</f>
        <v>178822.84</v>
      </c>
      <c r="I53" s="136">
        <f>IFERROR(__xludf.DUMMYFUNCTION("""COMPUTED_VALUE"""),269218.67000000004)</f>
        <v>269218.67</v>
      </c>
      <c r="J53" s="136">
        <f>IFERROR(__xludf.DUMMYFUNCTION("""COMPUTED_VALUE"""),90877.80000000002)</f>
        <v>90877.8</v>
      </c>
      <c r="K53" s="136">
        <f>IFERROR(__xludf.DUMMYFUNCTION("""COMPUTED_VALUE"""),311881.12999999995)</f>
        <v>311881.13</v>
      </c>
      <c r="L53" s="136">
        <f>IFERROR(__xludf.DUMMYFUNCTION("""COMPUTED_VALUE"""),72262.51)</f>
        <v>72262.51</v>
      </c>
      <c r="M53" s="136">
        <f>IFERROR(__xludf.DUMMYFUNCTION("""COMPUTED_VALUE"""),113287.33)</f>
        <v>113287.33</v>
      </c>
      <c r="N53" s="136">
        <f>IFERROR(__xludf.DUMMYFUNCTION("""COMPUTED_VALUE"""),234155.16000000003)</f>
        <v>234155.16</v>
      </c>
      <c r="O53" s="136">
        <f>IFERROR(__xludf.DUMMYFUNCTION("""COMPUTED_VALUE"""),208668.3)</f>
        <v>208668.3</v>
      </c>
      <c r="P53" s="136">
        <f>IFERROR(__xludf.DUMMYFUNCTION("""COMPUTED_VALUE"""),601695.81)</f>
        <v>601695.81</v>
      </c>
      <c r="Q53" s="136">
        <f>IFERROR(__xludf.DUMMYFUNCTION("""COMPUTED_VALUE"""),222568.32)</f>
        <v>222568.32</v>
      </c>
      <c r="R53" s="108">
        <f>IFERROR(__xludf.DUMMYFUNCTION("""COMPUTED_VALUE"""),191089.48)</f>
        <v>191089.48</v>
      </c>
    </row>
    <row r="54">
      <c r="A54" s="146"/>
      <c r="B54" s="147"/>
      <c r="C54" s="148"/>
      <c r="D54" s="148"/>
      <c r="E54" s="149"/>
      <c r="F54" s="150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</row>
    <row r="55">
      <c r="A55" s="146"/>
      <c r="B55" s="147"/>
      <c r="C55" s="148"/>
      <c r="D55" s="148"/>
      <c r="E55" s="149"/>
      <c r="F55" s="150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</row>
  </sheetData>
  <mergeCells count="3">
    <mergeCell ref="B1:F1"/>
    <mergeCell ref="B2:F2"/>
    <mergeCell ref="A38:C44"/>
  </mergeCells>
  <drawing r:id="rId1"/>
</worksheet>
</file>